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bhpc" hidePivotFieldList="1"/>
  <mc:AlternateContent xmlns:mc="http://schemas.openxmlformats.org/markup-compatibility/2006">
    <mc:Choice Requires="x15">
      <x15ac:absPath xmlns:x15ac="http://schemas.microsoft.com/office/spreadsheetml/2010/11/ac" url="https://d.docs.live.net/47fe6fa1c22f38ec/Coppo1896/applicazioni/CRM BHPC/"/>
    </mc:Choice>
  </mc:AlternateContent>
  <xr:revisionPtr revIDLastSave="1401" documentId="11_8493D845CCA850B276DEF7B24AF7903A5DDBB8E1" xr6:coauthVersionLast="47" xr6:coauthVersionMax="47" xr10:uidLastSave="{9A3AE5D0-60B2-4833-827B-843F7352B872}"/>
  <bookViews>
    <workbookView xWindow="57490" yWindow="-110" windowWidth="38620" windowHeight="21100" tabRatio="719" firstSheet="7" activeTab="7" xr2:uid="{00000000-000D-0000-FFFF-FFFF00000000}"/>
  </bookViews>
  <sheets>
    <sheet name="bhpc_data" sheetId="31" state="hidden" r:id="rId1"/>
    <sheet name="giftSet" sheetId="64" state="hidden" r:id="rId2"/>
    <sheet name="clientData" sheetId="30" state="hidden" r:id="rId3"/>
    <sheet name="dgn_class" sheetId="63" state="hidden" r:id="rId4"/>
    <sheet name="salesHistory" sheetId="33" state="hidden" r:id="rId5"/>
    <sheet name="orderHistory" sheetId="35" state="hidden" r:id="rId6"/>
    <sheet name="inventoryBHPC" sheetId="40" state="hidden" r:id="rId7"/>
    <sheet name="proformaModel1" sheetId="44" r:id="rId8"/>
    <sheet name="proformaModel12" sheetId="48" state="hidden" r:id="rId9"/>
    <sheet name="proformaModel2" sheetId="45" state="hidden" r:id="rId10"/>
    <sheet name="proformaModel22" sheetId="49" state="hidden" r:id="rId11"/>
    <sheet name="plModel1" sheetId="32" state="hidden" r:id="rId12"/>
    <sheet name="plModel12" sheetId="51" state="hidden" r:id="rId13"/>
    <sheet name="carrier_data" sheetId="59" state="hidden" r:id="rId14"/>
    <sheet name="dgnFinalModel" sheetId="62" state="hidden" r:id="rId15"/>
    <sheet name="BHPC MANAGER" sheetId="37" r:id="rId16"/>
    <sheet name="production" sheetId="60" state="hidden" r:id="rId17"/>
    <sheet name="utility" sheetId="61" state="hidden" r:id="rId18"/>
  </sheets>
  <functionGroups builtInGroupCount="19"/>
  <definedNames>
    <definedName name="_xlnm._FilterDatabase" localSheetId="15" hidden="1">'BHPC MANAGER'!$BZ$9:$CS$110</definedName>
    <definedName name="_xlnm._FilterDatabase" localSheetId="0" hidden="1">bhpc_data!$AF$1:$AF$81</definedName>
    <definedName name="_xlnm._FilterDatabase" localSheetId="2" hidden="1">'clientData'!$A$1:$S$50</definedName>
    <definedName name="_xlnm.Print_Area" localSheetId="14">dgnFinalModel!$A$1:$J$71</definedName>
    <definedName name="_xlnm.Print_Area" localSheetId="11">plModel1!$A$1:$L$64</definedName>
    <definedName name="_xlnm.Print_Area" localSheetId="12">plModel12!$A$1:$L$118</definedName>
    <definedName name="_xlnm.Print_Area" localSheetId="7">proformaModel1!$A$1:$L$65</definedName>
    <definedName name="_xlnm.Print_Area" localSheetId="8">proformaModel12!$A$1:$L$119</definedName>
    <definedName name="_xlnm.Print_Area" localSheetId="9">proformaModel2!$A$1:$L$74</definedName>
    <definedName name="_xlnm.Print_Area" localSheetId="10">proformaModel22!$A$1:$L$135</definedName>
    <definedName name="bhpcSKU" localSheetId="12">bhpc_data[sku]</definedName>
    <definedName name="bhpcSKU" localSheetId="7">bhpc_data[sku]</definedName>
    <definedName name="bhpcSKU" localSheetId="8">bhpc_data[sku]</definedName>
    <definedName name="bhpcSKU" localSheetId="9">bhpc_data[sku]</definedName>
    <definedName name="bhpcSKU" localSheetId="10">bhpc_data[sku]</definedName>
    <definedName name="bt_bm200" localSheetId="14">OFFSET(dgn_class!$R$2,0,0,COUNTA(dgn_class!$R$2:$R$200),1)</definedName>
    <definedName name="bt_deo150" localSheetId="14">OFFSET(dgn_class!$L$2,0,0,COUNTA(dgn_class!$L$2:$L$200),1)</definedName>
    <definedName name="bt_deo175" localSheetId="14">OFFSET(dgn_class!$N$2,0,0,COUNTA(dgn_class!$N$2:$N$200),1)</definedName>
    <definedName name="bt_deo300" localSheetId="14">OFFSET(dgn_class!$P$2,0,0,COUNTA(dgn_class!$P$2:$P$200),1)</definedName>
    <definedName name="bt_profumi100" localSheetId="14">OFFSET(dgn_class!$J$2,0,0,COUNTA(dgn_class!$J$2:$J$200),1)</definedName>
    <definedName name="bt_profumi50" localSheetId="14">OFFSET(dgn_class!$H$2,0,0,COUNTA(dgn_class!$H$2:$H$200),1)</definedName>
    <definedName name="carriers_name" localSheetId="14">carriers[CARRIER_CODE]</definedName>
    <definedName name="cartoni_bm" localSheetId="14">OFFSET(dgn_class!$C$2,0,0,COUNTA(dgn_class!$C$2:$C$200),1)</definedName>
    <definedName name="cartoni_deo" localSheetId="14">OFFSET(dgn_class!$B$2,0,0,COUNTA(dgn_class!$B$2:$B$200),1)</definedName>
    <definedName name="cartoni_profumi" localSheetId="14">OFFSET(dgn_class!$A$2,0,0,COUNTA(dgn_class!$A$2:$A$200),1)</definedName>
    <definedName name="clientName">OFFSET('clientData'!$A$2,0,0,COUNTA('clientData'!$A$2:$A$50),1)</definedName>
    <definedName name="giftSetSku">giftsets_components[SKU]</definedName>
    <definedName name="onWaitingOrders">OFFSET('BHPC MANAGER'!$EP$10,0,0,COUNTA('BHPC MANAGER'!$EP$10:$EP$40)-COUNTBLANK('BHPC MANAGER'!$EP$10:$EP$40),1)</definedName>
    <definedName name="payment_method">OFFSET(utility!$B$2,0,0,COUNTA(utility!$B$2:$B$50),1)</definedName>
    <definedName name="pesi_deo150" localSheetId="14">OFFSET(dgn_class!$M$2,0,0,COUNTA(dgn_class!$M$2:$M$200),1)</definedName>
    <definedName name="pesi_deo175" localSheetId="14">OFFSET(dgn_class!$O$2,0,0,COUNTA(dgn_class!$O$2:$O$200),1)</definedName>
    <definedName name="pesi_deo300" localSheetId="14">OFFSET(dgn_class!$Q$2,0,0,COUNTA(dgn_class!$Q$2:$Q$200),1)</definedName>
    <definedName name="pesi_profumi100" localSheetId="14">OFFSET(dgn_class!$K$2,0,0,COUNTA(dgn_class!$K$2:$K$200),1)</definedName>
    <definedName name="pesi_profumi50" localSheetId="14">OFFSET(dgn_class!$I$2,0,0,COUNTA(dgn_class!$I$2:$I$200),1)</definedName>
    <definedName name="preparingOrders">OFFSET('BHPC MANAGER'!$EO$10,0,0,COUNTA('BHPC MANAGER'!$EO$10:$EO$40)-COUNTBLANK('BHPC MANAGER'!$EO$10:$EO$40),1)</definedName>
    <definedName name="productsCartons">'BHPC MANAGER'!$CG$10:$CG$109</definedName>
    <definedName name="productsCategory">'BHPC MANAGER'!$CM$10:$CM$110</definedName>
    <definedName name="productsCbm">'BHPC MANAGER'!$CL$10:$CL$110</definedName>
    <definedName name="productsCostPrice">'BHPC MANAGER'!$CQ$10:$CQ$110</definedName>
    <definedName name="productsCostTot">'BHPC MANAGER'!$CR$10:$CR$110</definedName>
    <definedName name="productsDescription">'BHPC MANAGER'!$CA$10:$CA$110</definedName>
    <definedName name="productsDiscCartons">'BHPC MANAGER'!$CH$10:$CH$109</definedName>
    <definedName name="productsDiscPrice">'BHPC MANAGER'!$CE$10:$CE$110</definedName>
    <definedName name="productsDiscQty">'BHPC MANAGER'!$CD$10:$CD$110</definedName>
    <definedName name="productsFocCartons">'BHPC MANAGER'!$CI$10:$CI$109</definedName>
    <definedName name="productsFocQty">'BHPC MANAGER'!$CF$10:$CF$110</definedName>
    <definedName name="productsGrossWeight">'BHPC MANAGER'!$CK$10:$CK$110</definedName>
    <definedName name="productsNetWeight">'BHPC MANAGER'!$CJ$10:$CJ$110</definedName>
    <definedName name="productsQty">'BHPC MANAGER'!$CB$10:$CB$110</definedName>
    <definedName name="productsSalePrice">'BHPC MANAGER'!$CC$10:$CC$110</definedName>
    <definedName name="productsSize">'BHPC MANAGER'!$CN$10:$CN$110</definedName>
    <definedName name="productsSku">'BHPC MANAGER'!$BZ$10:$BZ$110</definedName>
    <definedName name="productsSoldTot">'BHPC MANAGER'!$CS$10:$CS$110</definedName>
    <definedName name="proformaModel3" localSheetId="14">bhpc_data[sku]</definedName>
    <definedName name="proformaModel3" localSheetId="12">bhpc_data[sku]</definedName>
    <definedName name="proformaModel3" localSheetId="8">bhpc_data[sku]</definedName>
    <definedName name="proformaModel3" localSheetId="9">bhpc_data[sku]</definedName>
    <definedName name="proformaModel3" localSheetId="10">bhpc_data[sku]</definedName>
    <definedName name="proformaModel3">bhpc_data[sku]</definedName>
    <definedName name="saleOrders">OFFSET('BHPC MANAGER'!$ER$10,0,0,COUNTA('BHPC MANAGER'!$ER$10:$ER$40)-COUNTBLANK('BHPC MANAGER'!$ER$10:$ER$40),1)</definedName>
    <definedName name="ss" localSheetId="12">bhpc_data[sku]</definedName>
    <definedName name="ss" localSheetId="7">bhpc_data[sku]</definedName>
    <definedName name="ss" localSheetId="8">bhpc_data[sku]</definedName>
    <definedName name="ss" localSheetId="9">bhpc_data[sku]</definedName>
    <definedName name="ss" localSheetId="10">bhpc_data[sku]</definedName>
    <definedName name="supplyOrders">OFFSET('BHPC MANAGER'!$EQ$10,0,0,COUNTA('BHPC MANAGER'!$EQ$10:$EQ$40)-COUNTBLANK('BHPC MANAGER'!$EQ$10:$EQ$40),1)</definedName>
    <definedName name="_xlnm.Print_Titles" localSheetId="11">plModel1!$1:$10</definedName>
    <definedName name="_xlnm.Print_Titles" localSheetId="12">plModel12!$1:$10</definedName>
    <definedName name="_xlnm.Print_Titles" localSheetId="7">proformaModel1!$1:$12</definedName>
    <definedName name="_xlnm.Print_Titles" localSheetId="8">proformaModel12!$1:$12</definedName>
    <definedName name="_xlnm.Print_Titles" localSheetId="9">proformaModel2!$1:$12</definedName>
    <definedName name="_xlnm.Print_Titles" localSheetId="10">proformaModel22!$1:$12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44" l="1"/>
  <c r="D21" i="44"/>
  <c r="D20" i="44"/>
  <c r="D19" i="44"/>
  <c r="D18" i="44"/>
  <c r="I15" i="44"/>
  <c r="I14" i="44"/>
  <c r="K14" i="44"/>
  <c r="K15" i="44"/>
  <c r="J14" i="44"/>
  <c r="J15" i="44"/>
  <c r="G14" i="44" a="1"/>
  <c r="G14" i="44" s="1"/>
  <c r="B14" i="44"/>
  <c r="B15" i="44"/>
  <c r="A14" i="44" a="1"/>
  <c r="A14" i="44" s="1"/>
  <c r="H13" i="45" a="1"/>
  <c r="H13" i="45" s="1"/>
  <c r="G13" i="45" a="1"/>
  <c r="G13" i="45" s="1"/>
  <c r="A13" i="45" a="1"/>
  <c r="A13" i="45" s="1"/>
  <c r="J13" i="45" s="1"/>
  <c r="B68" i="62"/>
  <c r="G68" i="62"/>
  <c r="B13" i="62"/>
  <c r="B12" i="62"/>
  <c r="B11" i="62"/>
  <c r="B10" i="62"/>
  <c r="B9" i="62"/>
  <c r="D88" i="48"/>
  <c r="D87" i="48"/>
  <c r="G67" i="48" a="1"/>
  <c r="G67" i="48" s="1"/>
  <c r="K67" i="48" s="1"/>
  <c r="A67" i="48" a="1"/>
  <c r="A67" i="48" s="1"/>
  <c r="J67" i="48" s="1"/>
  <c r="H14" i="48" a="1"/>
  <c r="H14" i="48" s="1"/>
  <c r="G14" i="48" a="1"/>
  <c r="G14" i="48" s="1"/>
  <c r="A14" i="48" a="1"/>
  <c r="A14" i="48" s="1"/>
  <c r="J14" i="48" s="1"/>
  <c r="K66" i="51" a="1"/>
  <c r="K66" i="51" s="1"/>
  <c r="G66" i="51" a="1"/>
  <c r="G66" i="51" s="1"/>
  <c r="J66" i="51" s="1"/>
  <c r="A66" i="51" a="1"/>
  <c r="A66" i="51" s="1"/>
  <c r="L66" i="51" s="1"/>
  <c r="K12" i="51" a="1"/>
  <c r="K12" i="51" s="1"/>
  <c r="G12" i="51" a="1"/>
  <c r="G12" i="51" s="1"/>
  <c r="I12" i="51" s="1"/>
  <c r="A12" i="51" a="1"/>
  <c r="A12" i="51" s="1"/>
  <c r="G15" i="44" l="1"/>
  <c r="A15" i="44"/>
  <c r="K13" i="45"/>
  <c r="B13" i="45"/>
  <c r="H14" i="45"/>
  <c r="G14" i="45"/>
  <c r="K14" i="45" s="1"/>
  <c r="A14" i="45"/>
  <c r="K14" i="48"/>
  <c r="B12" i="51"/>
  <c r="H12" i="51"/>
  <c r="J12" i="51"/>
  <c r="B66" i="51"/>
  <c r="I66" i="51"/>
  <c r="I14" i="48"/>
  <c r="B67" i="48"/>
  <c r="I67" i="48"/>
  <c r="L12" i="51"/>
  <c r="H66" i="51"/>
  <c r="B14" i="48"/>
  <c r="G80" i="48"/>
  <c r="G78" i="48"/>
  <c r="G76" i="48"/>
  <c r="G74" i="48"/>
  <c r="G72" i="48"/>
  <c r="G70" i="48"/>
  <c r="G68" i="48"/>
  <c r="G79" i="48"/>
  <c r="G77" i="48"/>
  <c r="G75" i="48"/>
  <c r="G73" i="48"/>
  <c r="G71" i="48"/>
  <c r="G69" i="48"/>
  <c r="A80" i="48"/>
  <c r="A78" i="48"/>
  <c r="A76" i="48"/>
  <c r="A74" i="48"/>
  <c r="A72" i="48"/>
  <c r="A70" i="48"/>
  <c r="A68" i="48"/>
  <c r="A79" i="48"/>
  <c r="A77" i="48"/>
  <c r="A75" i="48"/>
  <c r="A73" i="48"/>
  <c r="A71" i="48"/>
  <c r="A69" i="48"/>
  <c r="H39" i="48"/>
  <c r="H37" i="48"/>
  <c r="H35" i="48"/>
  <c r="H33" i="48"/>
  <c r="H31" i="48"/>
  <c r="H29" i="48"/>
  <c r="H27" i="48"/>
  <c r="H25" i="48"/>
  <c r="H23" i="48"/>
  <c r="H21" i="48"/>
  <c r="H19" i="48"/>
  <c r="H17" i="48"/>
  <c r="H15" i="48"/>
  <c r="H38" i="48"/>
  <c r="H36" i="48"/>
  <c r="H34" i="48"/>
  <c r="H32" i="48"/>
  <c r="H30" i="48"/>
  <c r="H28" i="48"/>
  <c r="H26" i="48"/>
  <c r="H24" i="48"/>
  <c r="H22" i="48"/>
  <c r="H20" i="48"/>
  <c r="H18" i="48"/>
  <c r="H16" i="48"/>
  <c r="G39" i="48"/>
  <c r="G37" i="48"/>
  <c r="G35" i="48"/>
  <c r="G33" i="48"/>
  <c r="G31" i="48"/>
  <c r="G29" i="48"/>
  <c r="G27" i="48"/>
  <c r="G25" i="48"/>
  <c r="G23" i="48"/>
  <c r="G21" i="48"/>
  <c r="G19" i="48"/>
  <c r="G17" i="48"/>
  <c r="G15" i="48"/>
  <c r="G38" i="48"/>
  <c r="G36" i="48"/>
  <c r="G34" i="48"/>
  <c r="G32" i="48"/>
  <c r="G30" i="48"/>
  <c r="G28" i="48"/>
  <c r="G26" i="48"/>
  <c r="G24" i="48"/>
  <c r="G22" i="48"/>
  <c r="G20" i="48"/>
  <c r="G18" i="48"/>
  <c r="G16" i="48"/>
  <c r="A39" i="48"/>
  <c r="A37" i="48"/>
  <c r="A35" i="48"/>
  <c r="A33" i="48"/>
  <c r="A31" i="48"/>
  <c r="A29" i="48"/>
  <c r="A27" i="48"/>
  <c r="A25" i="48"/>
  <c r="A23" i="48"/>
  <c r="A21" i="48"/>
  <c r="A19" i="48"/>
  <c r="A17" i="48"/>
  <c r="A15" i="48"/>
  <c r="A38" i="48"/>
  <c r="A36" i="48"/>
  <c r="A34" i="48"/>
  <c r="A32" i="48"/>
  <c r="A30" i="48"/>
  <c r="A28" i="48"/>
  <c r="A26" i="48"/>
  <c r="A24" i="48"/>
  <c r="A22" i="48"/>
  <c r="A20" i="48"/>
  <c r="A18" i="48"/>
  <c r="A16" i="48"/>
  <c r="K79" i="51"/>
  <c r="K77" i="51"/>
  <c r="K75" i="51"/>
  <c r="K73" i="51"/>
  <c r="K71" i="51"/>
  <c r="K69" i="51"/>
  <c r="K67" i="51"/>
  <c r="K78" i="51"/>
  <c r="K76" i="51"/>
  <c r="K74" i="51"/>
  <c r="K72" i="51"/>
  <c r="K70" i="51"/>
  <c r="K68" i="51"/>
  <c r="G79" i="51"/>
  <c r="G77" i="51"/>
  <c r="G75" i="51"/>
  <c r="G73" i="51"/>
  <c r="G71" i="51"/>
  <c r="G69" i="51"/>
  <c r="G67" i="51"/>
  <c r="G78" i="51"/>
  <c r="G76" i="51"/>
  <c r="G74" i="51"/>
  <c r="G72" i="51"/>
  <c r="G70" i="51"/>
  <c r="G68" i="51"/>
  <c r="A79" i="51"/>
  <c r="A77" i="51"/>
  <c r="A75" i="51"/>
  <c r="A73" i="51"/>
  <c r="A71" i="51"/>
  <c r="A69" i="51"/>
  <c r="A67" i="51"/>
  <c r="A78" i="51"/>
  <c r="A76" i="51"/>
  <c r="A74" i="51"/>
  <c r="A72" i="51"/>
  <c r="A70" i="51"/>
  <c r="A68" i="51"/>
  <c r="K37" i="51"/>
  <c r="K35" i="51"/>
  <c r="K33" i="51"/>
  <c r="K31" i="51"/>
  <c r="K29" i="51"/>
  <c r="K27" i="51"/>
  <c r="K25" i="51"/>
  <c r="K23" i="51"/>
  <c r="K21" i="51"/>
  <c r="K19" i="51"/>
  <c r="K17" i="51"/>
  <c r="K15" i="51"/>
  <c r="K13" i="51"/>
  <c r="K36" i="51"/>
  <c r="K34" i="51"/>
  <c r="K32" i="51"/>
  <c r="K30" i="51"/>
  <c r="K28" i="51"/>
  <c r="K26" i="51"/>
  <c r="K24" i="51"/>
  <c r="K22" i="51"/>
  <c r="K20" i="51"/>
  <c r="K18" i="51"/>
  <c r="K16" i="51"/>
  <c r="K14" i="51"/>
  <c r="G37" i="51"/>
  <c r="G35" i="51"/>
  <c r="G33" i="51"/>
  <c r="G31" i="51"/>
  <c r="G29" i="51"/>
  <c r="G27" i="51"/>
  <c r="G25" i="51"/>
  <c r="G23" i="51"/>
  <c r="G21" i="51"/>
  <c r="G19" i="51"/>
  <c r="G17" i="51"/>
  <c r="G15" i="51"/>
  <c r="G13" i="51"/>
  <c r="G36" i="51"/>
  <c r="G34" i="51"/>
  <c r="G32" i="51"/>
  <c r="G30" i="51"/>
  <c r="G28" i="51"/>
  <c r="G26" i="51"/>
  <c r="G24" i="51"/>
  <c r="G22" i="51"/>
  <c r="G20" i="51"/>
  <c r="G18" i="51"/>
  <c r="G16" i="51"/>
  <c r="G14" i="51"/>
  <c r="A37" i="51"/>
  <c r="A35" i="51"/>
  <c r="A33" i="51"/>
  <c r="A31" i="51"/>
  <c r="A29" i="51"/>
  <c r="A27" i="51"/>
  <c r="A25" i="51"/>
  <c r="A23" i="51"/>
  <c r="A21" i="51"/>
  <c r="A19" i="51"/>
  <c r="A17" i="51"/>
  <c r="A15" i="51"/>
  <c r="A13" i="51"/>
  <c r="A36" i="51"/>
  <c r="A34" i="51"/>
  <c r="A32" i="51"/>
  <c r="A30" i="51"/>
  <c r="A28" i="51"/>
  <c r="A26" i="51"/>
  <c r="A24" i="51"/>
  <c r="A22" i="51"/>
  <c r="A20" i="51"/>
  <c r="A18" i="51"/>
  <c r="A16" i="51"/>
  <c r="A14" i="51"/>
  <c r="J14" i="45" l="1"/>
  <c r="B14" i="45"/>
  <c r="L14" i="51"/>
  <c r="B14" i="51"/>
  <c r="L18" i="51"/>
  <c r="B18" i="51"/>
  <c r="L22" i="51"/>
  <c r="B22" i="51"/>
  <c r="L26" i="51"/>
  <c r="B26" i="51"/>
  <c r="L30" i="51"/>
  <c r="B30" i="51"/>
  <c r="L34" i="51"/>
  <c r="B34" i="51"/>
  <c r="L13" i="51"/>
  <c r="B13" i="51"/>
  <c r="L17" i="51"/>
  <c r="B17" i="51"/>
  <c r="L21" i="51"/>
  <c r="B21" i="51"/>
  <c r="L25" i="51"/>
  <c r="B25" i="51"/>
  <c r="L29" i="51"/>
  <c r="B29" i="51"/>
  <c r="L33" i="51"/>
  <c r="B33" i="51"/>
  <c r="L37" i="51"/>
  <c r="B37" i="51"/>
  <c r="I16" i="51"/>
  <c r="J16" i="51"/>
  <c r="H16" i="51"/>
  <c r="I20" i="51"/>
  <c r="J20" i="51"/>
  <c r="H20" i="51"/>
  <c r="I24" i="51"/>
  <c r="J24" i="51"/>
  <c r="H24" i="51"/>
  <c r="I28" i="51"/>
  <c r="J28" i="51"/>
  <c r="H28" i="51"/>
  <c r="I32" i="51"/>
  <c r="J32" i="51"/>
  <c r="H32" i="51"/>
  <c r="I36" i="51"/>
  <c r="J36" i="51"/>
  <c r="H36" i="51"/>
  <c r="J15" i="51"/>
  <c r="H15" i="51"/>
  <c r="I15" i="51"/>
  <c r="J19" i="51"/>
  <c r="H19" i="51"/>
  <c r="I19" i="51"/>
  <c r="J23" i="51"/>
  <c r="H23" i="51"/>
  <c r="I23" i="51"/>
  <c r="J27" i="51"/>
  <c r="H27" i="51"/>
  <c r="I27" i="51"/>
  <c r="J31" i="51"/>
  <c r="H31" i="51"/>
  <c r="I31" i="51"/>
  <c r="J35" i="51"/>
  <c r="H35" i="51"/>
  <c r="I35" i="51"/>
  <c r="L70" i="51"/>
  <c r="B70" i="51"/>
  <c r="L74" i="51"/>
  <c r="B74" i="51"/>
  <c r="L78" i="51"/>
  <c r="B78" i="51"/>
  <c r="L69" i="51"/>
  <c r="B69" i="51"/>
  <c r="L73" i="51"/>
  <c r="B73" i="51"/>
  <c r="L77" i="51"/>
  <c r="B77" i="51"/>
  <c r="J68" i="51"/>
  <c r="H68" i="51"/>
  <c r="I68" i="51"/>
  <c r="J72" i="51"/>
  <c r="H72" i="51"/>
  <c r="I72" i="51"/>
  <c r="J76" i="51"/>
  <c r="H76" i="51"/>
  <c r="I76" i="51"/>
  <c r="I67" i="51"/>
  <c r="J67" i="51"/>
  <c r="H67" i="51"/>
  <c r="I71" i="51"/>
  <c r="J71" i="51"/>
  <c r="H71" i="51"/>
  <c r="I75" i="51"/>
  <c r="J75" i="51"/>
  <c r="H75" i="51"/>
  <c r="I79" i="51"/>
  <c r="J79" i="51"/>
  <c r="H79" i="51"/>
  <c r="J16" i="48"/>
  <c r="B16" i="48"/>
  <c r="J20" i="48"/>
  <c r="B20" i="48"/>
  <c r="J24" i="48"/>
  <c r="B24" i="48"/>
  <c r="J28" i="48"/>
  <c r="B28" i="48"/>
  <c r="J32" i="48"/>
  <c r="B32" i="48"/>
  <c r="J36" i="48"/>
  <c r="B36" i="48"/>
  <c r="J15" i="48"/>
  <c r="B15" i="48"/>
  <c r="J19" i="48"/>
  <c r="B19" i="48"/>
  <c r="J23" i="48"/>
  <c r="B23" i="48"/>
  <c r="J27" i="48"/>
  <c r="B27" i="48"/>
  <c r="J31" i="48"/>
  <c r="B31" i="48"/>
  <c r="J35" i="48"/>
  <c r="B35" i="48"/>
  <c r="J39" i="48"/>
  <c r="B39" i="48"/>
  <c r="K18" i="48"/>
  <c r="I18" i="48"/>
  <c r="K22" i="48"/>
  <c r="I22" i="48"/>
  <c r="K26" i="48"/>
  <c r="I26" i="48"/>
  <c r="K30" i="48"/>
  <c r="I30" i="48"/>
  <c r="K34" i="48"/>
  <c r="I34" i="48"/>
  <c r="K38" i="48"/>
  <c r="I38" i="48"/>
  <c r="I17" i="48"/>
  <c r="K17" i="48"/>
  <c r="I21" i="48"/>
  <c r="K21" i="48"/>
  <c r="I25" i="48"/>
  <c r="K25" i="48"/>
  <c r="I29" i="48"/>
  <c r="K29" i="48"/>
  <c r="I33" i="48"/>
  <c r="K33" i="48"/>
  <c r="I37" i="48"/>
  <c r="K37" i="48"/>
  <c r="J71" i="48"/>
  <c r="B71" i="48"/>
  <c r="J75" i="48"/>
  <c r="B75" i="48"/>
  <c r="J79" i="48"/>
  <c r="B79" i="48"/>
  <c r="B70" i="48"/>
  <c r="J70" i="48"/>
  <c r="B74" i="48"/>
  <c r="J74" i="48"/>
  <c r="B78" i="48"/>
  <c r="J78" i="48"/>
  <c r="K69" i="48"/>
  <c r="I69" i="48"/>
  <c r="K73" i="48"/>
  <c r="I73" i="48"/>
  <c r="K77" i="48"/>
  <c r="I77" i="48"/>
  <c r="I68" i="48"/>
  <c r="K68" i="48"/>
  <c r="I72" i="48"/>
  <c r="K72" i="48"/>
  <c r="I76" i="48"/>
  <c r="K76" i="48"/>
  <c r="I80" i="48"/>
  <c r="K80" i="48"/>
  <c r="B44" i="62" a="1"/>
  <c r="B44" i="62" s="1"/>
  <c r="B45" i="62" a="1"/>
  <c r="B45" i="62" s="1"/>
  <c r="G45" i="62" a="1"/>
  <c r="G45" i="62" s="1"/>
  <c r="L16" i="51"/>
  <c r="B16" i="51"/>
  <c r="L20" i="51"/>
  <c r="B20" i="51"/>
  <c r="L24" i="51"/>
  <c r="B24" i="51"/>
  <c r="L28" i="51"/>
  <c r="B28" i="51"/>
  <c r="L32" i="51"/>
  <c r="B32" i="51"/>
  <c r="L36" i="51"/>
  <c r="B36" i="51"/>
  <c r="L15" i="51"/>
  <c r="B15" i="51"/>
  <c r="L19" i="51"/>
  <c r="B19" i="51"/>
  <c r="L23" i="51"/>
  <c r="B23" i="51"/>
  <c r="L27" i="51"/>
  <c r="B27" i="51"/>
  <c r="L31" i="51"/>
  <c r="B31" i="51"/>
  <c r="L35" i="51"/>
  <c r="B35" i="51"/>
  <c r="I14" i="51"/>
  <c r="J14" i="51"/>
  <c r="H14" i="51"/>
  <c r="I18" i="51"/>
  <c r="J18" i="51"/>
  <c r="H18" i="51"/>
  <c r="I22" i="51"/>
  <c r="J22" i="51"/>
  <c r="H22" i="51"/>
  <c r="I26" i="51"/>
  <c r="J26" i="51"/>
  <c r="H26" i="51"/>
  <c r="I30" i="51"/>
  <c r="J30" i="51"/>
  <c r="H30" i="51"/>
  <c r="I34" i="51"/>
  <c r="J34" i="51"/>
  <c r="H34" i="51"/>
  <c r="J13" i="51"/>
  <c r="H13" i="51"/>
  <c r="I13" i="51"/>
  <c r="J17" i="51"/>
  <c r="H17" i="51"/>
  <c r="I17" i="51"/>
  <c r="J21" i="51"/>
  <c r="H21" i="51"/>
  <c r="I21" i="51"/>
  <c r="J25" i="51"/>
  <c r="H25" i="51"/>
  <c r="I25" i="51"/>
  <c r="J29" i="51"/>
  <c r="H29" i="51"/>
  <c r="I29" i="51"/>
  <c r="J33" i="51"/>
  <c r="H33" i="51"/>
  <c r="I33" i="51"/>
  <c r="J37" i="51"/>
  <c r="H37" i="51"/>
  <c r="I37" i="51"/>
  <c r="L68" i="51"/>
  <c r="B68" i="51"/>
  <c r="L72" i="51"/>
  <c r="B72" i="51"/>
  <c r="L76" i="51"/>
  <c r="B76" i="51"/>
  <c r="L67" i="51"/>
  <c r="B67" i="51"/>
  <c r="L71" i="51"/>
  <c r="B71" i="51"/>
  <c r="L75" i="51"/>
  <c r="B75" i="51"/>
  <c r="L79" i="51"/>
  <c r="B79" i="51"/>
  <c r="J70" i="51"/>
  <c r="H70" i="51"/>
  <c r="I70" i="51"/>
  <c r="J74" i="51"/>
  <c r="H74" i="51"/>
  <c r="I74" i="51"/>
  <c r="J78" i="51"/>
  <c r="H78" i="51"/>
  <c r="I78" i="51"/>
  <c r="I69" i="51"/>
  <c r="J69" i="51"/>
  <c r="H69" i="51"/>
  <c r="I73" i="51"/>
  <c r="J73" i="51"/>
  <c r="H73" i="51"/>
  <c r="I77" i="51"/>
  <c r="J77" i="51"/>
  <c r="H77" i="51"/>
  <c r="J18" i="48"/>
  <c r="B18" i="48"/>
  <c r="J22" i="48"/>
  <c r="B22" i="48"/>
  <c r="J26" i="48"/>
  <c r="B26" i="48"/>
  <c r="J30" i="48"/>
  <c r="B30" i="48"/>
  <c r="J34" i="48"/>
  <c r="B34" i="48"/>
  <c r="J38" i="48"/>
  <c r="B38" i="48"/>
  <c r="J17" i="48"/>
  <c r="B17" i="48"/>
  <c r="J21" i="48"/>
  <c r="B21" i="48"/>
  <c r="J25" i="48"/>
  <c r="B25" i="48"/>
  <c r="J29" i="48"/>
  <c r="B29" i="48"/>
  <c r="J33" i="48"/>
  <c r="B33" i="48"/>
  <c r="J37" i="48"/>
  <c r="B37" i="48"/>
  <c r="K16" i="48"/>
  <c r="I16" i="48"/>
  <c r="K20" i="48"/>
  <c r="I20" i="48"/>
  <c r="K24" i="48"/>
  <c r="I24" i="48"/>
  <c r="K28" i="48"/>
  <c r="I28" i="48"/>
  <c r="K32" i="48"/>
  <c r="I32" i="48"/>
  <c r="K36" i="48"/>
  <c r="I36" i="48"/>
  <c r="I15" i="48"/>
  <c r="K15" i="48"/>
  <c r="I19" i="48"/>
  <c r="K19" i="48"/>
  <c r="I23" i="48"/>
  <c r="K23" i="48"/>
  <c r="I27" i="48"/>
  <c r="K27" i="48"/>
  <c r="I31" i="48"/>
  <c r="K31" i="48"/>
  <c r="I35" i="48"/>
  <c r="K35" i="48"/>
  <c r="I39" i="48"/>
  <c r="K39" i="48"/>
  <c r="J69" i="48"/>
  <c r="B69" i="48"/>
  <c r="J73" i="48"/>
  <c r="B73" i="48"/>
  <c r="J77" i="48"/>
  <c r="B77" i="48"/>
  <c r="B68" i="48"/>
  <c r="J68" i="48"/>
  <c r="B72" i="48"/>
  <c r="J72" i="48"/>
  <c r="B76" i="48"/>
  <c r="J76" i="48"/>
  <c r="B80" i="48"/>
  <c r="J80" i="48"/>
  <c r="K71" i="48"/>
  <c r="I71" i="48"/>
  <c r="K75" i="48"/>
  <c r="I75" i="48"/>
  <c r="K79" i="48"/>
  <c r="I79" i="48"/>
  <c r="I70" i="48"/>
  <c r="K70" i="48"/>
  <c r="I74" i="48"/>
  <c r="K74" i="48"/>
  <c r="I78" i="48"/>
  <c r="K78" i="48"/>
  <c r="B32" i="62" a="1"/>
  <c r="B32" i="62" s="1"/>
  <c r="H45" i="62" a="1"/>
  <c r="H45" i="62" s="1"/>
  <c r="B43" i="62" a="1"/>
  <c r="B43" i="62" s="1"/>
  <c r="B38" i="62" a="1"/>
  <c r="B38" i="62" s="1"/>
  <c r="K14" i="32" a="1"/>
  <c r="K14" i="32" s="1"/>
  <c r="G14" i="32" a="1"/>
  <c r="G14" i="32" s="1"/>
  <c r="H14" i="32" s="1"/>
  <c r="A14" i="32" a="1"/>
  <c r="A14" i="32" s="1"/>
  <c r="B14" i="32" s="1"/>
  <c r="K11" i="32" a="1"/>
  <c r="K11" i="32" s="1"/>
  <c r="G11" i="32" a="1"/>
  <c r="G11" i="32" s="1"/>
  <c r="A11" i="32" a="1"/>
  <c r="A11" i="32" s="1"/>
  <c r="B11" i="32" s="1"/>
  <c r="H43" i="62" l="1" a="1"/>
  <c r="H43" i="62" s="1"/>
  <c r="G43" i="62" a="1"/>
  <c r="G43" i="62" s="1"/>
  <c r="G33" i="62" a="1"/>
  <c r="G33" i="62" s="1"/>
  <c r="H32" i="62" a="1"/>
  <c r="H32" i="62" s="1"/>
  <c r="B31" i="62" a="1"/>
  <c r="B31" i="62" s="1"/>
  <c r="H33" i="62" a="1"/>
  <c r="H33" i="62" s="1"/>
  <c r="B37" i="62" a="1"/>
  <c r="B37" i="62" s="1"/>
  <c r="B42" i="62" a="1"/>
  <c r="B42" i="62" s="1"/>
  <c r="B33" i="62" a="1"/>
  <c r="B33" i="62" s="1"/>
  <c r="G38" i="62" a="1"/>
  <c r="G38" i="62" s="1"/>
  <c r="H38" i="62" a="1"/>
  <c r="H38" i="62" s="1"/>
  <c r="G32" i="62" a="1"/>
  <c r="G32" i="62" s="1"/>
  <c r="H44" i="62" a="1"/>
  <c r="H44" i="62" s="1"/>
  <c r="G44" i="62" a="1"/>
  <c r="G44" i="62" s="1"/>
  <c r="G12" i="32"/>
  <c r="J14" i="32"/>
  <c r="I14" i="32"/>
  <c r="G25" i="32"/>
  <c r="J25" i="32" s="1"/>
  <c r="G21" i="32"/>
  <c r="J21" i="32" s="1"/>
  <c r="G17" i="32"/>
  <c r="J17" i="32" s="1"/>
  <c r="G27" i="32"/>
  <c r="J27" i="32" s="1"/>
  <c r="G23" i="32"/>
  <c r="J23" i="32" s="1"/>
  <c r="G19" i="32"/>
  <c r="J19" i="32" s="1"/>
  <c r="G15" i="32"/>
  <c r="J15" i="32" s="1"/>
  <c r="L14" i="32"/>
  <c r="K27" i="32"/>
  <c r="K25" i="32"/>
  <c r="K23" i="32"/>
  <c r="K21" i="32"/>
  <c r="K19" i="32"/>
  <c r="K17" i="32"/>
  <c r="K15" i="32"/>
  <c r="K28" i="32"/>
  <c r="K26" i="32"/>
  <c r="K24" i="32"/>
  <c r="K22" i="32"/>
  <c r="K20" i="32"/>
  <c r="K18" i="32"/>
  <c r="K16" i="32"/>
  <c r="L11" i="32"/>
  <c r="G28" i="32"/>
  <c r="J28" i="32" s="1"/>
  <c r="G26" i="32"/>
  <c r="J26" i="32" s="1"/>
  <c r="G24" i="32"/>
  <c r="J24" i="32" s="1"/>
  <c r="G22" i="32"/>
  <c r="J22" i="32" s="1"/>
  <c r="G20" i="32"/>
  <c r="J20" i="32" s="1"/>
  <c r="G18" i="32"/>
  <c r="J18" i="32" s="1"/>
  <c r="G16" i="32"/>
  <c r="J16" i="32" s="1"/>
  <c r="A27" i="32"/>
  <c r="A25" i="32"/>
  <c r="A23" i="32"/>
  <c r="A21" i="32"/>
  <c r="A19" i="32"/>
  <c r="A17" i="32"/>
  <c r="A15" i="32"/>
  <c r="A28" i="32"/>
  <c r="A26" i="32"/>
  <c r="A24" i="32"/>
  <c r="A22" i="32"/>
  <c r="A20" i="32"/>
  <c r="A18" i="32"/>
  <c r="A16" i="32"/>
  <c r="K12" i="32"/>
  <c r="A12" i="32"/>
  <c r="H28" i="32" l="1"/>
  <c r="I28" i="32"/>
  <c r="H27" i="32"/>
  <c r="I27" i="32"/>
  <c r="H26" i="32"/>
  <c r="I26" i="32"/>
  <c r="H25" i="32"/>
  <c r="I25" i="32"/>
  <c r="H24" i="32"/>
  <c r="I24" i="32"/>
  <c r="H23" i="32"/>
  <c r="I23" i="32"/>
  <c r="H22" i="32"/>
  <c r="I22" i="32"/>
  <c r="H21" i="32"/>
  <c r="I21" i="32"/>
  <c r="H20" i="32"/>
  <c r="I20" i="32"/>
  <c r="H19" i="32"/>
  <c r="I19" i="32"/>
  <c r="H18" i="32"/>
  <c r="I18" i="32"/>
  <c r="H17" i="32"/>
  <c r="I17" i="32"/>
  <c r="H16" i="32"/>
  <c r="I16" i="32"/>
  <c r="H15" i="32"/>
  <c r="I15" i="32"/>
  <c r="B16" i="32"/>
  <c r="L16" i="32"/>
  <c r="B20" i="32"/>
  <c r="L20" i="32"/>
  <c r="B24" i="32"/>
  <c r="L24" i="32"/>
  <c r="B28" i="32"/>
  <c r="L28" i="32"/>
  <c r="B17" i="32"/>
  <c r="L17" i="32"/>
  <c r="B21" i="32"/>
  <c r="L21" i="32"/>
  <c r="B25" i="32"/>
  <c r="L25" i="32"/>
  <c r="B18" i="32"/>
  <c r="L18" i="32"/>
  <c r="B22" i="32"/>
  <c r="L22" i="32"/>
  <c r="B26" i="32"/>
  <c r="L26" i="32"/>
  <c r="B15" i="32"/>
  <c r="L15" i="32"/>
  <c r="B19" i="32"/>
  <c r="L19" i="32"/>
  <c r="B23" i="32"/>
  <c r="L23" i="32"/>
  <c r="B27" i="32"/>
  <c r="L27" i="32"/>
  <c r="B12" i="32"/>
  <c r="L12" i="32"/>
  <c r="G55" i="62" l="1"/>
  <c r="CO22" i="37" l="1"/>
  <c r="I55" i="62" l="1"/>
  <c r="CA110" i="37"/>
  <c r="CA109" i="37"/>
  <c r="CA108" i="37"/>
  <c r="CA107" i="37"/>
  <c r="CA106" i="37"/>
  <c r="CA105" i="37"/>
  <c r="CA104" i="37"/>
  <c r="CA103" i="37"/>
  <c r="CA102" i="37"/>
  <c r="CA101" i="37"/>
  <c r="CA100" i="37"/>
  <c r="CA99" i="37"/>
  <c r="CA98" i="37"/>
  <c r="CA97" i="37"/>
  <c r="CA96" i="37"/>
  <c r="CA95" i="37"/>
  <c r="CA94" i="37"/>
  <c r="CA93" i="37"/>
  <c r="CA92" i="37"/>
  <c r="CA91" i="37"/>
  <c r="CA90" i="37"/>
  <c r="CA89" i="37"/>
  <c r="CA88" i="37"/>
  <c r="CA87" i="37"/>
  <c r="CA86" i="37"/>
  <c r="CA85" i="37"/>
  <c r="CA84" i="37"/>
  <c r="CA83" i="37"/>
  <c r="CA82" i="37"/>
  <c r="CA81" i="37"/>
  <c r="CA80" i="37"/>
  <c r="CA79" i="37"/>
  <c r="CA78" i="37"/>
  <c r="CA77" i="37"/>
  <c r="CA76" i="37"/>
  <c r="CA75" i="37"/>
  <c r="CA74" i="37"/>
  <c r="CA73" i="37"/>
  <c r="CA72" i="37"/>
  <c r="CA71" i="37"/>
  <c r="CA70" i="37"/>
  <c r="CA69" i="37"/>
  <c r="CA68" i="37"/>
  <c r="CA67" i="37"/>
  <c r="CA66" i="37"/>
  <c r="CA65" i="37"/>
  <c r="CA64" i="37"/>
  <c r="CA63" i="37"/>
  <c r="CA62" i="37"/>
  <c r="CA61" i="37"/>
  <c r="CA60" i="37"/>
  <c r="CA59" i="37"/>
  <c r="CA58" i="37"/>
  <c r="CA57" i="37"/>
  <c r="CA56" i="37"/>
  <c r="CA55" i="37"/>
  <c r="CA54" i="37"/>
  <c r="CA53" i="37"/>
  <c r="CA52" i="37"/>
  <c r="CA51" i="37"/>
  <c r="CA50" i="37"/>
  <c r="CA49" i="37"/>
  <c r="CA48" i="37"/>
  <c r="CA47" i="37"/>
  <c r="CA46" i="37"/>
  <c r="CA45" i="37"/>
  <c r="CA44" i="37"/>
  <c r="CA43" i="37"/>
  <c r="CA42" i="37"/>
  <c r="CA41" i="37"/>
  <c r="CA40" i="37"/>
  <c r="CA39" i="37"/>
  <c r="CA38" i="37"/>
  <c r="CA37" i="37"/>
  <c r="CA36" i="37"/>
  <c r="CA33" i="37"/>
  <c r="CA34" i="37"/>
  <c r="CA35" i="37"/>
  <c r="CA21" i="37"/>
  <c r="CA20" i="37"/>
  <c r="CA19" i="37"/>
  <c r="CA18" i="37"/>
  <c r="CA17" i="37"/>
  <c r="CA16" i="37"/>
  <c r="CA15" i="37"/>
  <c r="CA14" i="37"/>
  <c r="CA30" i="37"/>
  <c r="CA29" i="37"/>
  <c r="CA28" i="37"/>
  <c r="CA27" i="37"/>
  <c r="CA26" i="37"/>
  <c r="CA25" i="37"/>
  <c r="CA23" i="37"/>
  <c r="CA24" i="37"/>
  <c r="CA22" i="37"/>
  <c r="CA13" i="37"/>
  <c r="CA12" i="37"/>
  <c r="CA11" i="37"/>
  <c r="CA10" i="37"/>
  <c r="CA32" i="37"/>
  <c r="CA31" i="37"/>
  <c r="CQ110" i="37"/>
  <c r="CQ109" i="37"/>
  <c r="CQ108" i="37"/>
  <c r="CQ107" i="37"/>
  <c r="CQ106" i="37"/>
  <c r="CQ105" i="37"/>
  <c r="CQ104" i="37"/>
  <c r="CQ103" i="37"/>
  <c r="CQ102" i="37"/>
  <c r="CQ101" i="37"/>
  <c r="CQ100" i="37"/>
  <c r="CQ99" i="37"/>
  <c r="CQ98" i="37"/>
  <c r="CQ97" i="37"/>
  <c r="CQ96" i="37"/>
  <c r="CQ95" i="37"/>
  <c r="CQ94" i="37"/>
  <c r="CQ93" i="37"/>
  <c r="CQ92" i="37"/>
  <c r="CQ91" i="37"/>
  <c r="CQ90" i="37"/>
  <c r="CQ89" i="37"/>
  <c r="CQ88" i="37"/>
  <c r="CQ87" i="37"/>
  <c r="CQ86" i="37"/>
  <c r="CQ85" i="37"/>
  <c r="CQ84" i="37"/>
  <c r="CQ83" i="37"/>
  <c r="CQ82" i="37"/>
  <c r="CQ81" i="37"/>
  <c r="CQ80" i="37"/>
  <c r="CQ79" i="37"/>
  <c r="CQ78" i="37"/>
  <c r="CQ77" i="37"/>
  <c r="CQ76" i="37"/>
  <c r="CQ75" i="37"/>
  <c r="CQ74" i="37"/>
  <c r="CQ73" i="37"/>
  <c r="CQ72" i="37"/>
  <c r="CQ71" i="37"/>
  <c r="CQ70" i="37"/>
  <c r="CQ69" i="37"/>
  <c r="CQ68" i="37"/>
  <c r="CQ67" i="37"/>
  <c r="CQ66" i="37"/>
  <c r="CQ65" i="37"/>
  <c r="CQ64" i="37"/>
  <c r="CQ63" i="37"/>
  <c r="CQ62" i="37"/>
  <c r="CQ61" i="37"/>
  <c r="CQ60" i="37"/>
  <c r="CQ59" i="37"/>
  <c r="CQ58" i="37"/>
  <c r="CQ57" i="37"/>
  <c r="CQ56" i="37"/>
  <c r="CQ55" i="37"/>
  <c r="CQ54" i="37"/>
  <c r="CQ53" i="37"/>
  <c r="CQ52" i="37"/>
  <c r="CQ51" i="37"/>
  <c r="CQ50" i="37"/>
  <c r="CQ49" i="37"/>
  <c r="CQ48" i="37"/>
  <c r="CQ47" i="37"/>
  <c r="CQ46" i="37"/>
  <c r="CQ45" i="37"/>
  <c r="CQ44" i="37"/>
  <c r="CQ43" i="37"/>
  <c r="CQ42" i="37"/>
  <c r="CQ41" i="37"/>
  <c r="CQ40" i="37"/>
  <c r="CQ39" i="37"/>
  <c r="CQ38" i="37"/>
  <c r="CP110" i="37"/>
  <c r="CP109" i="37"/>
  <c r="CP108" i="37"/>
  <c r="CP107" i="37"/>
  <c r="CP106" i="37"/>
  <c r="CP105" i="37"/>
  <c r="CP104" i="37"/>
  <c r="CP103" i="37"/>
  <c r="CP102" i="37"/>
  <c r="CP101" i="37"/>
  <c r="CP100" i="37"/>
  <c r="CP99" i="37"/>
  <c r="CP98" i="37"/>
  <c r="CP97" i="37"/>
  <c r="CP96" i="37"/>
  <c r="CP95" i="37"/>
  <c r="CP94" i="37"/>
  <c r="CP93" i="37"/>
  <c r="CP92" i="37"/>
  <c r="CP91" i="37"/>
  <c r="CP90" i="37"/>
  <c r="CP89" i="37"/>
  <c r="CP88" i="37"/>
  <c r="CP87" i="37"/>
  <c r="CP86" i="37"/>
  <c r="CP85" i="37"/>
  <c r="CP84" i="37"/>
  <c r="CP83" i="37"/>
  <c r="CP82" i="37"/>
  <c r="CP81" i="37"/>
  <c r="CP80" i="37"/>
  <c r="CP79" i="37"/>
  <c r="CP78" i="37"/>
  <c r="CP77" i="37"/>
  <c r="CP76" i="37"/>
  <c r="CP75" i="37"/>
  <c r="CP74" i="37"/>
  <c r="CP73" i="37"/>
  <c r="CP72" i="37"/>
  <c r="CP71" i="37"/>
  <c r="CP70" i="37"/>
  <c r="CP69" i="37"/>
  <c r="CP68" i="37"/>
  <c r="CP67" i="37"/>
  <c r="CP66" i="37"/>
  <c r="CP65" i="37"/>
  <c r="CP64" i="37"/>
  <c r="CP63" i="37"/>
  <c r="CP62" i="37"/>
  <c r="CP61" i="37"/>
  <c r="CP60" i="37"/>
  <c r="CP59" i="37"/>
  <c r="CP58" i="37"/>
  <c r="CP57" i="37"/>
  <c r="CP56" i="37"/>
  <c r="CP55" i="37"/>
  <c r="CP54" i="37"/>
  <c r="CP53" i="37"/>
  <c r="CP52" i="37"/>
  <c r="CP51" i="37"/>
  <c r="CP50" i="37"/>
  <c r="CP49" i="37"/>
  <c r="CP48" i="37"/>
  <c r="CP47" i="37"/>
  <c r="CP46" i="37"/>
  <c r="CP45" i="37"/>
  <c r="CP44" i="37"/>
  <c r="CP43" i="37"/>
  <c r="CP42" i="37"/>
  <c r="CP41" i="37"/>
  <c r="CP40" i="37"/>
  <c r="CP39" i="37"/>
  <c r="CP38" i="37"/>
  <c r="CP37" i="37"/>
  <c r="CP36" i="37"/>
  <c r="CP33" i="37"/>
  <c r="CP34" i="37"/>
  <c r="CP35" i="37"/>
  <c r="CP21" i="37"/>
  <c r="CP20" i="37"/>
  <c r="CP19" i="37"/>
  <c r="CP18" i="37"/>
  <c r="CP17" i="37"/>
  <c r="CP16" i="37"/>
  <c r="CP15" i="37"/>
  <c r="CP14" i="37"/>
  <c r="CP30" i="37"/>
  <c r="CP29" i="37"/>
  <c r="CP28" i="37"/>
  <c r="CP27" i="37"/>
  <c r="CP26" i="37"/>
  <c r="CP25" i="37"/>
  <c r="CP23" i="37"/>
  <c r="CP24" i="37"/>
  <c r="CP22" i="37"/>
  <c r="CP13" i="37"/>
  <c r="CP12" i="37"/>
  <c r="CP11" i="37"/>
  <c r="CP10" i="37"/>
  <c r="CP32" i="37"/>
  <c r="CP31" i="37"/>
  <c r="CO110" i="37"/>
  <c r="CO109" i="37"/>
  <c r="CO108" i="37"/>
  <c r="CO107" i="37"/>
  <c r="CO106" i="37"/>
  <c r="CO105" i="37"/>
  <c r="CO104" i="37"/>
  <c r="CO103" i="37"/>
  <c r="CO102" i="37"/>
  <c r="CO101" i="37"/>
  <c r="CO100" i="37"/>
  <c r="CO99" i="37"/>
  <c r="CO98" i="37"/>
  <c r="CO97" i="37"/>
  <c r="CO96" i="37"/>
  <c r="CO95" i="37"/>
  <c r="CO94" i="37"/>
  <c r="CO93" i="37"/>
  <c r="CO92" i="37"/>
  <c r="CO91" i="37"/>
  <c r="CO90" i="37"/>
  <c r="CO89" i="37"/>
  <c r="CO88" i="37"/>
  <c r="CO87" i="37"/>
  <c r="CO86" i="37"/>
  <c r="CO85" i="37"/>
  <c r="CO84" i="37"/>
  <c r="CO83" i="37"/>
  <c r="CO82" i="37"/>
  <c r="CO81" i="37"/>
  <c r="CO80" i="37"/>
  <c r="CO79" i="37"/>
  <c r="CO78" i="37"/>
  <c r="CO77" i="37"/>
  <c r="CO76" i="37"/>
  <c r="CO75" i="37"/>
  <c r="CO74" i="37"/>
  <c r="CO73" i="37"/>
  <c r="CO72" i="37"/>
  <c r="CO71" i="37"/>
  <c r="CO70" i="37"/>
  <c r="CO69" i="37"/>
  <c r="CO68" i="37"/>
  <c r="CO67" i="37"/>
  <c r="CO66" i="37"/>
  <c r="CO65" i="37"/>
  <c r="CO64" i="37"/>
  <c r="CO63" i="37"/>
  <c r="CO62" i="37"/>
  <c r="CO61" i="37"/>
  <c r="CO60" i="37"/>
  <c r="CO59" i="37"/>
  <c r="CO58" i="37"/>
  <c r="CO57" i="37"/>
  <c r="CO56" i="37"/>
  <c r="CO55" i="37"/>
  <c r="CO54" i="37"/>
  <c r="CO53" i="37"/>
  <c r="CO52" i="37"/>
  <c r="CO51" i="37"/>
  <c r="CO50" i="37"/>
  <c r="CO49" i="37"/>
  <c r="CO48" i="37"/>
  <c r="CO47" i="37"/>
  <c r="CO46" i="37"/>
  <c r="CO45" i="37"/>
  <c r="CO44" i="37"/>
  <c r="CO43" i="37"/>
  <c r="CO42" i="37"/>
  <c r="CO41" i="37"/>
  <c r="CO40" i="37"/>
  <c r="CO39" i="37"/>
  <c r="CO38" i="37"/>
  <c r="CO37" i="37"/>
  <c r="CO36" i="37"/>
  <c r="CO33" i="37"/>
  <c r="CO34" i="37"/>
  <c r="CO35" i="37"/>
  <c r="CO21" i="37"/>
  <c r="CO20" i="37"/>
  <c r="CO19" i="37"/>
  <c r="CO18" i="37"/>
  <c r="CO17" i="37"/>
  <c r="CO16" i="37"/>
  <c r="CO15" i="37"/>
  <c r="CO14" i="37"/>
  <c r="CO30" i="37"/>
  <c r="CO29" i="37"/>
  <c r="CO28" i="37"/>
  <c r="CO27" i="37"/>
  <c r="CO26" i="37"/>
  <c r="CO25" i="37"/>
  <c r="CO23" i="37"/>
  <c r="CO24" i="37"/>
  <c r="CO13" i="37"/>
  <c r="CO12" i="37"/>
  <c r="CO11" i="37"/>
  <c r="CO10" i="37"/>
  <c r="CO32" i="37"/>
  <c r="CO31" i="37"/>
  <c r="CN110" i="37"/>
  <c r="CM110" i="37"/>
  <c r="CN109" i="37"/>
  <c r="CM109" i="37"/>
  <c r="CN108" i="37"/>
  <c r="CM108" i="37"/>
  <c r="CN107" i="37"/>
  <c r="CM107" i="37"/>
  <c r="CN106" i="37"/>
  <c r="CM106" i="37"/>
  <c r="CN105" i="37"/>
  <c r="CM105" i="37"/>
  <c r="CN104" i="37"/>
  <c r="CM104" i="37"/>
  <c r="CN103" i="37"/>
  <c r="CM103" i="37"/>
  <c r="CN102" i="37"/>
  <c r="CM102" i="37"/>
  <c r="CN101" i="37"/>
  <c r="CM101" i="37"/>
  <c r="CN100" i="37"/>
  <c r="CM100" i="37"/>
  <c r="CN99" i="37"/>
  <c r="CM99" i="37"/>
  <c r="CN98" i="37"/>
  <c r="CM98" i="37"/>
  <c r="CN97" i="37"/>
  <c r="CM97" i="37"/>
  <c r="CN96" i="37"/>
  <c r="CM96" i="37"/>
  <c r="CN95" i="37"/>
  <c r="CM95" i="37"/>
  <c r="CN94" i="37"/>
  <c r="CM94" i="37"/>
  <c r="CN93" i="37"/>
  <c r="CM93" i="37"/>
  <c r="CN92" i="37"/>
  <c r="CM92" i="37"/>
  <c r="CN91" i="37"/>
  <c r="CM91" i="37"/>
  <c r="CN90" i="37"/>
  <c r="CM90" i="37"/>
  <c r="CN89" i="37"/>
  <c r="CM89" i="37"/>
  <c r="CN88" i="37"/>
  <c r="CM88" i="37"/>
  <c r="CN87" i="37"/>
  <c r="CM87" i="37"/>
  <c r="CN86" i="37"/>
  <c r="CM86" i="37"/>
  <c r="CN85" i="37"/>
  <c r="CM85" i="37"/>
  <c r="CN84" i="37"/>
  <c r="CM84" i="37"/>
  <c r="CN83" i="37"/>
  <c r="CM83" i="37"/>
  <c r="CN82" i="37"/>
  <c r="CM82" i="37"/>
  <c r="CN81" i="37"/>
  <c r="CM81" i="37"/>
  <c r="CN80" i="37"/>
  <c r="CM80" i="37"/>
  <c r="CN79" i="37"/>
  <c r="CM79" i="37"/>
  <c r="CN78" i="37"/>
  <c r="CM78" i="37"/>
  <c r="CN77" i="37"/>
  <c r="CM77" i="37"/>
  <c r="CN76" i="37"/>
  <c r="CM76" i="37"/>
  <c r="CN75" i="37"/>
  <c r="CM75" i="37"/>
  <c r="CN74" i="37"/>
  <c r="CM74" i="37"/>
  <c r="CN73" i="37"/>
  <c r="CM73" i="37"/>
  <c r="CN72" i="37"/>
  <c r="CM72" i="37"/>
  <c r="CN71" i="37"/>
  <c r="CM71" i="37"/>
  <c r="CN70" i="37"/>
  <c r="CM70" i="37"/>
  <c r="CN69" i="37"/>
  <c r="CM69" i="37"/>
  <c r="CN68" i="37"/>
  <c r="CM68" i="37"/>
  <c r="CN67" i="37"/>
  <c r="CM67" i="37"/>
  <c r="CN66" i="37"/>
  <c r="CM66" i="37"/>
  <c r="CN65" i="37"/>
  <c r="CM65" i="37"/>
  <c r="CN64" i="37"/>
  <c r="CM64" i="37"/>
  <c r="CN63" i="37"/>
  <c r="CM63" i="37"/>
  <c r="CN62" i="37"/>
  <c r="CM62" i="37"/>
  <c r="CN61" i="37"/>
  <c r="CM61" i="37"/>
  <c r="CN60" i="37"/>
  <c r="CM60" i="37"/>
  <c r="CN59" i="37"/>
  <c r="CM59" i="37"/>
  <c r="CN58" i="37"/>
  <c r="CM58" i="37"/>
  <c r="CN57" i="37"/>
  <c r="CM57" i="37"/>
  <c r="CN56" i="37"/>
  <c r="CM56" i="37"/>
  <c r="CN55" i="37"/>
  <c r="CM55" i="37"/>
  <c r="CN54" i="37"/>
  <c r="CM54" i="37"/>
  <c r="CN53" i="37"/>
  <c r="CM53" i="37"/>
  <c r="CN52" i="37"/>
  <c r="CM52" i="37"/>
  <c r="CN51" i="37"/>
  <c r="CM51" i="37"/>
  <c r="CN50" i="37"/>
  <c r="CM50" i="37"/>
  <c r="CN49" i="37"/>
  <c r="CM49" i="37"/>
  <c r="CN48" i="37"/>
  <c r="CM48" i="37"/>
  <c r="CN47" i="37"/>
  <c r="CM47" i="37"/>
  <c r="CN46" i="37"/>
  <c r="CM46" i="37"/>
  <c r="CN45" i="37"/>
  <c r="CM45" i="37"/>
  <c r="CN44" i="37"/>
  <c r="CM44" i="37"/>
  <c r="CN43" i="37"/>
  <c r="CM43" i="37"/>
  <c r="CN42" i="37"/>
  <c r="CM42" i="37"/>
  <c r="CN41" i="37"/>
  <c r="CM41" i="37"/>
  <c r="CN40" i="37"/>
  <c r="CM40" i="37"/>
  <c r="CN39" i="37"/>
  <c r="CM39" i="37"/>
  <c r="CN38" i="37"/>
  <c r="CM38" i="37"/>
  <c r="CN37" i="37"/>
  <c r="CM37" i="37"/>
  <c r="CN36" i="37"/>
  <c r="CM36" i="37"/>
  <c r="CN33" i="37"/>
  <c r="CM33" i="37"/>
  <c r="CN34" i="37"/>
  <c r="CM34" i="37"/>
  <c r="CN35" i="37"/>
  <c r="CM35" i="37"/>
  <c r="CN21" i="37"/>
  <c r="CM21" i="37"/>
  <c r="CN20" i="37"/>
  <c r="CM20" i="37"/>
  <c r="CN19" i="37"/>
  <c r="CM19" i="37"/>
  <c r="CN18" i="37"/>
  <c r="CM18" i="37"/>
  <c r="CN17" i="37"/>
  <c r="CM17" i="37"/>
  <c r="CN16" i="37"/>
  <c r="CM16" i="37"/>
  <c r="CN15" i="37"/>
  <c r="CM15" i="37"/>
  <c r="CN14" i="37"/>
  <c r="CM14" i="37"/>
  <c r="CN30" i="37"/>
  <c r="CM30" i="37"/>
  <c r="CN29" i="37"/>
  <c r="CM29" i="37"/>
  <c r="CN28" i="37"/>
  <c r="CM28" i="37"/>
  <c r="CN27" i="37"/>
  <c r="CM27" i="37"/>
  <c r="CN26" i="37"/>
  <c r="CM26" i="37"/>
  <c r="CN25" i="37"/>
  <c r="CM25" i="37"/>
  <c r="CN23" i="37"/>
  <c r="CM23" i="37"/>
  <c r="CN24" i="37"/>
  <c r="CM24" i="37"/>
  <c r="CN22" i="37"/>
  <c r="CM22" i="37"/>
  <c r="CN13" i="37"/>
  <c r="CM13" i="37"/>
  <c r="CN12" i="37"/>
  <c r="CM12" i="37"/>
  <c r="CN11" i="37"/>
  <c r="CM11" i="37"/>
  <c r="CN10" i="37"/>
  <c r="CM10" i="37"/>
  <c r="CN32" i="37"/>
  <c r="CM32" i="37"/>
  <c r="CN31" i="37"/>
  <c r="CM31" i="37"/>
  <c r="CL110" i="37"/>
  <c r="CL109" i="37"/>
  <c r="CL108" i="37"/>
  <c r="CL107" i="37"/>
  <c r="CL106" i="37"/>
  <c r="CL105" i="37"/>
  <c r="CL104" i="37"/>
  <c r="CL103" i="37"/>
  <c r="CL102" i="37"/>
  <c r="CL101" i="37"/>
  <c r="CL100" i="37"/>
  <c r="CL99" i="37"/>
  <c r="CL98" i="37"/>
  <c r="CL97" i="37"/>
  <c r="CL96" i="37"/>
  <c r="CL95" i="37"/>
  <c r="CL94" i="37"/>
  <c r="CL93" i="37"/>
  <c r="CL92" i="37"/>
  <c r="CL91" i="37"/>
  <c r="CL90" i="37"/>
  <c r="CL89" i="37"/>
  <c r="CL88" i="37"/>
  <c r="CL87" i="37"/>
  <c r="CL86" i="37"/>
  <c r="CL85" i="37"/>
  <c r="CL84" i="37"/>
  <c r="CL83" i="37"/>
  <c r="CL82" i="37"/>
  <c r="CL81" i="37"/>
  <c r="CL80" i="37"/>
  <c r="CL79" i="37"/>
  <c r="CL78" i="37"/>
  <c r="CL77" i="37"/>
  <c r="CL76" i="37"/>
  <c r="CL75" i="37"/>
  <c r="CL74" i="37"/>
  <c r="CL73" i="37"/>
  <c r="CL72" i="37"/>
  <c r="CL71" i="37"/>
  <c r="CL70" i="37"/>
  <c r="CL69" i="37"/>
  <c r="CL68" i="37"/>
  <c r="CL67" i="37"/>
  <c r="CL66" i="37"/>
  <c r="CL65" i="37"/>
  <c r="CL64" i="37"/>
  <c r="CL63" i="37"/>
  <c r="CL62" i="37"/>
  <c r="CL61" i="37"/>
  <c r="CL60" i="37"/>
  <c r="CL59" i="37"/>
  <c r="CL58" i="37"/>
  <c r="CL57" i="37"/>
  <c r="CL56" i="37"/>
  <c r="CL55" i="37"/>
  <c r="CL54" i="37"/>
  <c r="CL53" i="37"/>
  <c r="CL52" i="37"/>
  <c r="CL51" i="37"/>
  <c r="CL50" i="37"/>
  <c r="CL49" i="37"/>
  <c r="CL48" i="37"/>
  <c r="CL47" i="37"/>
  <c r="CL46" i="37"/>
  <c r="CL45" i="37"/>
  <c r="CL44" i="37"/>
  <c r="CL43" i="37"/>
  <c r="CL42" i="37"/>
  <c r="CL41" i="37"/>
  <c r="CL40" i="37"/>
  <c r="CL39" i="37"/>
  <c r="CL38" i="37"/>
  <c r="CL37" i="37"/>
  <c r="CL36" i="37"/>
  <c r="CL33" i="37"/>
  <c r="CL34" i="37"/>
  <c r="CL35" i="37"/>
  <c r="CL21" i="37"/>
  <c r="CL20" i="37"/>
  <c r="CL19" i="37"/>
  <c r="CL18" i="37"/>
  <c r="CL17" i="37"/>
  <c r="CL16" i="37"/>
  <c r="CL15" i="37"/>
  <c r="CL14" i="37"/>
  <c r="CL30" i="37"/>
  <c r="CL29" i="37"/>
  <c r="CL28" i="37"/>
  <c r="CL27" i="37"/>
  <c r="CL26" i="37"/>
  <c r="CL25" i="37"/>
  <c r="CL23" i="37"/>
  <c r="CL24" i="37"/>
  <c r="CL22" i="37"/>
  <c r="CL13" i="37"/>
  <c r="CL12" i="37"/>
  <c r="CL11" i="37"/>
  <c r="CL10" i="37"/>
  <c r="CL32" i="37"/>
  <c r="CL31" i="37"/>
  <c r="CK110" i="37"/>
  <c r="CK109" i="37"/>
  <c r="CK108" i="37"/>
  <c r="CK107" i="37"/>
  <c r="CK106" i="37"/>
  <c r="CK105" i="37"/>
  <c r="CK104" i="37"/>
  <c r="CK103" i="37"/>
  <c r="CK102" i="37"/>
  <c r="CK101" i="37"/>
  <c r="CK100" i="37"/>
  <c r="CK99" i="37"/>
  <c r="CK98" i="37"/>
  <c r="CK97" i="37"/>
  <c r="CK96" i="37"/>
  <c r="CK95" i="37"/>
  <c r="CK94" i="37"/>
  <c r="CK93" i="37"/>
  <c r="CK92" i="37"/>
  <c r="CK91" i="37"/>
  <c r="CK90" i="37"/>
  <c r="CK89" i="37"/>
  <c r="CK88" i="37"/>
  <c r="CK87" i="37"/>
  <c r="CK86" i="37"/>
  <c r="CK85" i="37"/>
  <c r="CK84" i="37"/>
  <c r="CK83" i="37"/>
  <c r="CK82" i="37"/>
  <c r="CK81" i="37"/>
  <c r="CK80" i="37"/>
  <c r="CK79" i="37"/>
  <c r="CK78" i="37"/>
  <c r="CK77" i="37"/>
  <c r="CK76" i="37"/>
  <c r="CK75" i="37"/>
  <c r="CK74" i="37"/>
  <c r="CK73" i="37"/>
  <c r="CK72" i="37"/>
  <c r="CK71" i="37"/>
  <c r="CK70" i="37"/>
  <c r="CK69" i="37"/>
  <c r="CK68" i="37"/>
  <c r="CK67" i="37"/>
  <c r="CK66" i="37"/>
  <c r="CK65" i="37"/>
  <c r="CK64" i="37"/>
  <c r="CK63" i="37"/>
  <c r="CK62" i="37"/>
  <c r="CK61" i="37"/>
  <c r="CK60" i="37"/>
  <c r="CK59" i="37"/>
  <c r="CK58" i="37"/>
  <c r="CK57" i="37"/>
  <c r="CK56" i="37"/>
  <c r="CK55" i="37"/>
  <c r="CK54" i="37"/>
  <c r="CK53" i="37"/>
  <c r="CK52" i="37"/>
  <c r="CK51" i="37"/>
  <c r="CK50" i="37"/>
  <c r="CK49" i="37"/>
  <c r="CK48" i="37"/>
  <c r="CK47" i="37"/>
  <c r="CK46" i="37"/>
  <c r="CK45" i="37"/>
  <c r="CK44" i="37"/>
  <c r="CK43" i="37"/>
  <c r="CK42" i="37"/>
  <c r="CK41" i="37"/>
  <c r="CK40" i="37"/>
  <c r="CK39" i="37"/>
  <c r="CK38" i="37"/>
  <c r="CK37" i="37"/>
  <c r="CK36" i="37"/>
  <c r="CK33" i="37"/>
  <c r="CK34" i="37"/>
  <c r="CK35" i="37"/>
  <c r="CK21" i="37"/>
  <c r="CK20" i="37"/>
  <c r="CK19" i="37"/>
  <c r="CK18" i="37"/>
  <c r="CK17" i="37"/>
  <c r="CK16" i="37"/>
  <c r="CK15" i="37"/>
  <c r="CK14" i="37"/>
  <c r="CK30" i="37"/>
  <c r="CK29" i="37"/>
  <c r="CK28" i="37"/>
  <c r="CK27" i="37"/>
  <c r="CK26" i="37"/>
  <c r="CK25" i="37"/>
  <c r="CK23" i="37"/>
  <c r="CK24" i="37"/>
  <c r="CK22" i="37"/>
  <c r="CK13" i="37"/>
  <c r="CK12" i="37"/>
  <c r="CK11" i="37"/>
  <c r="CK10" i="37"/>
  <c r="CK32" i="37"/>
  <c r="CK31" i="37"/>
  <c r="CJ110" i="37"/>
  <c r="CJ109" i="37"/>
  <c r="CJ108" i="37"/>
  <c r="CJ107" i="37"/>
  <c r="CJ106" i="37"/>
  <c r="CJ105" i="37"/>
  <c r="CJ104" i="37"/>
  <c r="CJ103" i="37"/>
  <c r="CJ102" i="37"/>
  <c r="CJ101" i="37"/>
  <c r="CJ100" i="37"/>
  <c r="CJ99" i="37"/>
  <c r="CJ98" i="37"/>
  <c r="CJ97" i="37"/>
  <c r="CJ96" i="37"/>
  <c r="CJ95" i="37"/>
  <c r="CJ94" i="37"/>
  <c r="CJ93" i="37"/>
  <c r="CJ92" i="37"/>
  <c r="CJ91" i="37"/>
  <c r="CJ90" i="37"/>
  <c r="CJ89" i="37"/>
  <c r="CJ88" i="37"/>
  <c r="CJ87" i="37"/>
  <c r="CJ86" i="37"/>
  <c r="CJ85" i="37"/>
  <c r="CJ84" i="37"/>
  <c r="CJ83" i="37"/>
  <c r="CJ82" i="37"/>
  <c r="CJ81" i="37"/>
  <c r="CJ80" i="37"/>
  <c r="CJ79" i="37"/>
  <c r="CJ78" i="37"/>
  <c r="CJ77" i="37"/>
  <c r="CJ76" i="37"/>
  <c r="CJ75" i="37"/>
  <c r="CJ74" i="37"/>
  <c r="CJ73" i="37"/>
  <c r="CJ72" i="37"/>
  <c r="CJ71" i="37"/>
  <c r="CJ70" i="37"/>
  <c r="CJ69" i="37"/>
  <c r="CJ68" i="37"/>
  <c r="CJ67" i="37"/>
  <c r="CJ66" i="37"/>
  <c r="CJ65" i="37"/>
  <c r="CJ64" i="37"/>
  <c r="CJ63" i="37"/>
  <c r="CJ62" i="37"/>
  <c r="CJ61" i="37"/>
  <c r="CJ60" i="37"/>
  <c r="CJ59" i="37"/>
  <c r="CJ58" i="37"/>
  <c r="CJ57" i="37"/>
  <c r="CJ56" i="37"/>
  <c r="CJ55" i="37"/>
  <c r="CJ54" i="37"/>
  <c r="CJ53" i="37"/>
  <c r="CJ52" i="37"/>
  <c r="CJ51" i="37"/>
  <c r="CJ50" i="37"/>
  <c r="CJ49" i="37"/>
  <c r="CJ48" i="37"/>
  <c r="CJ47" i="37"/>
  <c r="CJ46" i="37"/>
  <c r="CJ45" i="37"/>
  <c r="CJ44" i="37"/>
  <c r="CJ43" i="37"/>
  <c r="CJ42" i="37"/>
  <c r="CJ41" i="37"/>
  <c r="CJ40" i="37"/>
  <c r="CJ39" i="37"/>
  <c r="CJ38" i="37"/>
  <c r="CJ37" i="37"/>
  <c r="CJ36" i="37"/>
  <c r="CJ33" i="37"/>
  <c r="CJ34" i="37"/>
  <c r="CJ35" i="37"/>
  <c r="CJ21" i="37"/>
  <c r="CJ20" i="37"/>
  <c r="CJ19" i="37"/>
  <c r="CJ18" i="37"/>
  <c r="CJ17" i="37"/>
  <c r="CJ16" i="37"/>
  <c r="CJ15" i="37"/>
  <c r="CJ14" i="37"/>
  <c r="CJ30" i="37"/>
  <c r="CJ29" i="37"/>
  <c r="CJ28" i="37"/>
  <c r="CJ27" i="37"/>
  <c r="CJ26" i="37"/>
  <c r="CJ25" i="37"/>
  <c r="CJ23" i="37"/>
  <c r="CJ24" i="37"/>
  <c r="CJ22" i="37"/>
  <c r="CJ13" i="37"/>
  <c r="CJ12" i="37"/>
  <c r="CJ11" i="37"/>
  <c r="CJ10" i="37"/>
  <c r="CJ32" i="37"/>
  <c r="CJ31" i="37"/>
  <c r="CI110" i="37"/>
  <c r="CI109" i="37"/>
  <c r="CI108" i="37"/>
  <c r="CI107" i="37"/>
  <c r="CI106" i="37"/>
  <c r="CI105" i="37"/>
  <c r="CI104" i="37"/>
  <c r="CI103" i="37"/>
  <c r="CI102" i="37"/>
  <c r="CI101" i="37"/>
  <c r="CI100" i="37"/>
  <c r="CI99" i="37"/>
  <c r="CI98" i="37"/>
  <c r="CI97" i="37"/>
  <c r="CI96" i="37"/>
  <c r="CI95" i="37"/>
  <c r="CI94" i="37"/>
  <c r="CI93" i="37"/>
  <c r="CI92" i="37"/>
  <c r="CI91" i="37"/>
  <c r="CI90" i="37"/>
  <c r="CI89" i="37"/>
  <c r="CI88" i="37"/>
  <c r="CI87" i="37"/>
  <c r="CI86" i="37"/>
  <c r="CI85" i="37"/>
  <c r="CI84" i="37"/>
  <c r="CI83" i="37"/>
  <c r="CI82" i="37"/>
  <c r="CI81" i="37"/>
  <c r="CI80" i="37"/>
  <c r="CI79" i="37"/>
  <c r="CI78" i="37"/>
  <c r="CI77" i="37"/>
  <c r="CI76" i="37"/>
  <c r="CI75" i="37"/>
  <c r="CI74" i="37"/>
  <c r="CI73" i="37"/>
  <c r="CI72" i="37"/>
  <c r="CI71" i="37"/>
  <c r="CI70" i="37"/>
  <c r="CI69" i="37"/>
  <c r="CI68" i="37"/>
  <c r="CI67" i="37"/>
  <c r="CI66" i="37"/>
  <c r="CI65" i="37"/>
  <c r="CI64" i="37"/>
  <c r="CI63" i="37"/>
  <c r="CI62" i="37"/>
  <c r="CI61" i="37"/>
  <c r="CI60" i="37"/>
  <c r="CI59" i="37"/>
  <c r="CI58" i="37"/>
  <c r="CI57" i="37"/>
  <c r="CI56" i="37"/>
  <c r="CI55" i="37"/>
  <c r="CI54" i="37"/>
  <c r="CI53" i="37"/>
  <c r="CI52" i="37"/>
  <c r="CI51" i="37"/>
  <c r="CI50" i="37"/>
  <c r="CI49" i="37"/>
  <c r="CI48" i="37"/>
  <c r="CI47" i="37"/>
  <c r="CI46" i="37"/>
  <c r="CI45" i="37"/>
  <c r="CI44" i="37"/>
  <c r="CI43" i="37"/>
  <c r="CI42" i="37"/>
  <c r="CI41" i="37"/>
  <c r="CI40" i="37"/>
  <c r="CI39" i="37"/>
  <c r="CI38" i="37"/>
  <c r="CI37" i="37"/>
  <c r="CI36" i="37"/>
  <c r="CI33" i="37"/>
  <c r="CI34" i="37"/>
  <c r="CI35" i="37"/>
  <c r="CI21" i="37"/>
  <c r="CI20" i="37"/>
  <c r="CI19" i="37"/>
  <c r="CI18" i="37"/>
  <c r="CI17" i="37"/>
  <c r="CI16" i="37"/>
  <c r="CI15" i="37"/>
  <c r="CI14" i="37"/>
  <c r="CI30" i="37"/>
  <c r="CI29" i="37"/>
  <c r="CI28" i="37"/>
  <c r="CI27" i="37"/>
  <c r="CI26" i="37"/>
  <c r="CI25" i="37"/>
  <c r="CI23" i="37"/>
  <c r="CI24" i="37"/>
  <c r="CI22" i="37"/>
  <c r="CI13" i="37"/>
  <c r="CI12" i="37"/>
  <c r="CI11" i="37"/>
  <c r="CI10" i="37"/>
  <c r="CI32" i="37"/>
  <c r="CI31" i="37"/>
  <c r="CH110" i="37"/>
  <c r="CH109" i="37"/>
  <c r="CH108" i="37"/>
  <c r="CH107" i="37"/>
  <c r="CH106" i="37"/>
  <c r="CH105" i="37"/>
  <c r="CH104" i="37"/>
  <c r="CH103" i="37"/>
  <c r="CH102" i="37"/>
  <c r="CH101" i="37"/>
  <c r="CH100" i="37"/>
  <c r="CH99" i="37"/>
  <c r="CH98" i="37"/>
  <c r="CH97" i="37"/>
  <c r="CH96" i="37"/>
  <c r="CH95" i="37"/>
  <c r="CH94" i="37"/>
  <c r="CH93" i="37"/>
  <c r="CH92" i="37"/>
  <c r="CH91" i="37"/>
  <c r="CH90" i="37"/>
  <c r="CH89" i="37"/>
  <c r="CH88" i="37"/>
  <c r="CH87" i="37"/>
  <c r="CH86" i="37"/>
  <c r="CH85" i="37"/>
  <c r="CH84" i="37"/>
  <c r="CH83" i="37"/>
  <c r="CH82" i="37"/>
  <c r="CH81" i="37"/>
  <c r="CH80" i="37"/>
  <c r="CH79" i="37"/>
  <c r="CH78" i="37"/>
  <c r="CH77" i="37"/>
  <c r="CH76" i="37"/>
  <c r="CH75" i="37"/>
  <c r="CH74" i="37"/>
  <c r="CH73" i="37"/>
  <c r="CH72" i="37"/>
  <c r="CH71" i="37"/>
  <c r="CH70" i="37"/>
  <c r="CH69" i="37"/>
  <c r="CH68" i="37"/>
  <c r="CH67" i="37"/>
  <c r="CH66" i="37"/>
  <c r="CH65" i="37"/>
  <c r="CH64" i="37"/>
  <c r="CH63" i="37"/>
  <c r="CH62" i="37"/>
  <c r="CH61" i="37"/>
  <c r="CH60" i="37"/>
  <c r="CH59" i="37"/>
  <c r="CH58" i="37"/>
  <c r="CH57" i="37"/>
  <c r="CH56" i="37"/>
  <c r="CH55" i="37"/>
  <c r="CH54" i="37"/>
  <c r="CH53" i="37"/>
  <c r="CH52" i="37"/>
  <c r="CH51" i="37"/>
  <c r="CH50" i="37"/>
  <c r="CH49" i="37"/>
  <c r="CH48" i="37"/>
  <c r="CH47" i="37"/>
  <c r="CH46" i="37"/>
  <c r="CH45" i="37"/>
  <c r="CH44" i="37"/>
  <c r="CH43" i="37"/>
  <c r="CH42" i="37"/>
  <c r="CH41" i="37"/>
  <c r="CH40" i="37"/>
  <c r="CH39" i="37"/>
  <c r="CH38" i="37"/>
  <c r="CH37" i="37"/>
  <c r="CH36" i="37"/>
  <c r="CH33" i="37"/>
  <c r="CH34" i="37"/>
  <c r="CH35" i="37"/>
  <c r="CH21" i="37"/>
  <c r="CH20" i="37"/>
  <c r="CH19" i="37"/>
  <c r="CH18" i="37"/>
  <c r="CH17" i="37"/>
  <c r="CH16" i="37"/>
  <c r="CH15" i="37"/>
  <c r="CH14" i="37"/>
  <c r="CH30" i="37"/>
  <c r="CH29" i="37"/>
  <c r="CH28" i="37"/>
  <c r="CH27" i="37"/>
  <c r="CH26" i="37"/>
  <c r="CH25" i="37"/>
  <c r="CH23" i="37"/>
  <c r="CH24" i="37"/>
  <c r="CH22" i="37"/>
  <c r="CH13" i="37"/>
  <c r="CH12" i="37"/>
  <c r="CH11" i="37"/>
  <c r="CH10" i="37"/>
  <c r="CH32" i="37"/>
  <c r="CH31" i="37"/>
  <c r="CG110" i="37"/>
  <c r="CG109" i="37"/>
  <c r="CG108" i="37"/>
  <c r="CG107" i="37"/>
  <c r="CG106" i="37"/>
  <c r="CG105" i="37"/>
  <c r="CG104" i="37"/>
  <c r="CG103" i="37"/>
  <c r="CG102" i="37"/>
  <c r="CG101" i="37"/>
  <c r="CG100" i="37"/>
  <c r="CG99" i="37"/>
  <c r="CG98" i="37"/>
  <c r="CG97" i="37"/>
  <c r="CG96" i="37"/>
  <c r="CG95" i="37"/>
  <c r="CG94" i="37"/>
  <c r="CG93" i="37"/>
  <c r="CG92" i="37"/>
  <c r="CG91" i="37"/>
  <c r="CG90" i="37"/>
  <c r="CG89" i="37"/>
  <c r="CG88" i="37"/>
  <c r="CG87" i="37"/>
  <c r="CG86" i="37"/>
  <c r="CG85" i="37"/>
  <c r="CG84" i="37"/>
  <c r="CG83" i="37"/>
  <c r="CG82" i="37"/>
  <c r="CG81" i="37"/>
  <c r="CG80" i="37"/>
  <c r="CG79" i="37"/>
  <c r="CG78" i="37"/>
  <c r="CG77" i="37"/>
  <c r="CG76" i="37"/>
  <c r="CG75" i="37"/>
  <c r="CG74" i="37"/>
  <c r="CG73" i="37"/>
  <c r="CG72" i="37"/>
  <c r="CG71" i="37"/>
  <c r="CG70" i="37"/>
  <c r="CG69" i="37"/>
  <c r="CG68" i="37"/>
  <c r="CG67" i="37"/>
  <c r="CG66" i="37"/>
  <c r="CG65" i="37"/>
  <c r="CG64" i="37"/>
  <c r="CG63" i="37"/>
  <c r="CG62" i="37"/>
  <c r="CG61" i="37"/>
  <c r="CG60" i="37"/>
  <c r="CG59" i="37"/>
  <c r="CG58" i="37"/>
  <c r="CG57" i="37"/>
  <c r="CG56" i="37"/>
  <c r="CG55" i="37"/>
  <c r="CG54" i="37"/>
  <c r="CG53" i="37"/>
  <c r="CG52" i="37"/>
  <c r="CG51" i="37"/>
  <c r="CG50" i="37"/>
  <c r="CG49" i="37"/>
  <c r="CG48" i="37"/>
  <c r="CG47" i="37"/>
  <c r="CG46" i="37"/>
  <c r="CG45" i="37"/>
  <c r="CG44" i="37"/>
  <c r="CG43" i="37"/>
  <c r="CG42" i="37"/>
  <c r="CG41" i="37"/>
  <c r="CG40" i="37"/>
  <c r="CG39" i="37"/>
  <c r="CG38" i="37"/>
  <c r="CG37" i="37"/>
  <c r="CG36" i="37"/>
  <c r="CG33" i="37"/>
  <c r="CG34" i="37"/>
  <c r="CG35" i="37"/>
  <c r="CG21" i="37"/>
  <c r="CG20" i="37"/>
  <c r="CG19" i="37"/>
  <c r="CG18" i="37"/>
  <c r="CG17" i="37"/>
  <c r="CG16" i="37"/>
  <c r="CG15" i="37"/>
  <c r="CG14" i="37"/>
  <c r="CG30" i="37"/>
  <c r="CG29" i="37"/>
  <c r="CG28" i="37"/>
  <c r="CG27" i="37"/>
  <c r="CG26" i="37"/>
  <c r="CG25" i="37"/>
  <c r="CG23" i="37"/>
  <c r="CG24" i="37"/>
  <c r="CG22" i="37"/>
  <c r="CG13" i="37"/>
  <c r="CG12" i="37"/>
  <c r="CG11" i="37"/>
  <c r="CG10" i="37"/>
  <c r="CG32" i="37"/>
  <c r="CG31" i="37"/>
  <c r="H55" i="62" l="1"/>
  <c r="M3" i="61" l="1"/>
  <c r="L10" i="37" l="1" a="1"/>
  <c r="L10" i="37" s="1"/>
  <c r="CS31" i="37" l="1"/>
  <c r="CS32" i="37" l="1"/>
  <c r="L15" i="37" l="1" a="1"/>
  <c r="L15" i="37" s="1"/>
  <c r="C61" i="48" l="1"/>
  <c r="C60" i="51" l="1"/>
  <c r="C114" i="51" s="1"/>
  <c r="D85" i="48" s="1"/>
  <c r="E59" i="48"/>
  <c r="E114" i="51" l="1"/>
  <c r="EF10" i="37" a="1"/>
  <c r="EF10" i="37" s="1"/>
  <c r="EF11" i="37" a="1"/>
  <c r="EF11" i="37" s="1"/>
  <c r="EF12" i="37" a="1"/>
  <c r="EF12" i="37" s="1"/>
  <c r="EF13" i="37" a="1"/>
  <c r="EF13" i="37" s="1"/>
  <c r="EF14" i="37" a="1"/>
  <c r="EF14" i="37" s="1"/>
  <c r="EF15" i="37" a="1"/>
  <c r="EF15" i="37" s="1"/>
  <c r="EF16" i="37" a="1"/>
  <c r="EF16" i="37" s="1"/>
  <c r="EF17" i="37" a="1"/>
  <c r="EF17" i="37" s="1"/>
  <c r="EF18" i="37" a="1"/>
  <c r="EF18" i="37" s="1"/>
  <c r="EF19" i="37" a="1"/>
  <c r="EF19" i="37" s="1"/>
  <c r="EF20" i="37" a="1"/>
  <c r="EF20" i="37" s="1"/>
  <c r="EF21" i="37" a="1"/>
  <c r="EF21" i="37" s="1"/>
  <c r="EF22" i="37" a="1"/>
  <c r="EF22" i="37" s="1"/>
  <c r="EF23" i="37" a="1"/>
  <c r="EF23" i="37" s="1"/>
  <c r="EF24" i="37" a="1"/>
  <c r="EF24" i="37" s="1"/>
  <c r="EF25" i="37" a="1"/>
  <c r="EF25" i="37" s="1"/>
  <c r="EF26" i="37" a="1"/>
  <c r="EF26" i="37" s="1"/>
  <c r="EF27" i="37" a="1"/>
  <c r="EF27" i="37" s="1"/>
  <c r="EF28" i="37" a="1"/>
  <c r="EF28" i="37" s="1"/>
  <c r="EF29" i="37" a="1"/>
  <c r="EF29" i="37" s="1"/>
  <c r="EF30" i="37" a="1"/>
  <c r="EF30" i="37" s="1"/>
  <c r="EF31" i="37" a="1"/>
  <c r="EF31" i="37" s="1"/>
  <c r="EF32" i="37" a="1"/>
  <c r="EF32" i="37" s="1"/>
  <c r="EF33" i="37" a="1"/>
  <c r="EF33" i="37" s="1"/>
  <c r="EF34" i="37" a="1"/>
  <c r="EF34" i="37" s="1"/>
  <c r="EF35" i="37" a="1"/>
  <c r="EF35" i="37" s="1"/>
  <c r="EF36" i="37" a="1"/>
  <c r="EF36" i="37" s="1"/>
  <c r="EF37" i="37" a="1"/>
  <c r="EF37" i="37" s="1"/>
  <c r="EF38" i="37" a="1"/>
  <c r="EF38" i="37" s="1"/>
  <c r="EF39" i="37" a="1"/>
  <c r="EF39" i="37" s="1"/>
  <c r="EF40" i="37" a="1"/>
  <c r="EF40" i="37" s="1"/>
  <c r="EF41" i="37" a="1"/>
  <c r="EF41" i="37" s="1"/>
  <c r="EF42" i="37" a="1"/>
  <c r="EF42" i="37" s="1"/>
  <c r="EF43" i="37" a="1"/>
  <c r="EF43" i="37" s="1"/>
  <c r="EF44" i="37" a="1"/>
  <c r="EF44" i="37" s="1"/>
  <c r="EF45" i="37" a="1"/>
  <c r="EF45" i="37" s="1"/>
  <c r="EF46" i="37" a="1"/>
  <c r="EF46" i="37" s="1"/>
  <c r="EF47" i="37" a="1"/>
  <c r="EF47" i="37" s="1"/>
  <c r="EF48" i="37" a="1"/>
  <c r="EF48" i="37" s="1"/>
  <c r="EF49" i="37" a="1"/>
  <c r="EF49" i="37" s="1"/>
  <c r="EF50" i="37" a="1"/>
  <c r="EF50" i="37" s="1"/>
  <c r="EF51" i="37" a="1"/>
  <c r="EF51" i="37" s="1"/>
  <c r="EF52" i="37" a="1"/>
  <c r="EF52" i="37" s="1"/>
  <c r="EF53" i="37" a="1"/>
  <c r="EF53" i="37" s="1"/>
  <c r="EF54" i="37" a="1"/>
  <c r="EF54" i="37" s="1"/>
  <c r="EF55" i="37" a="1"/>
  <c r="EF55" i="37" s="1"/>
  <c r="EF56" i="37" a="1"/>
  <c r="EF56" i="37" s="1"/>
  <c r="EF57" i="37" a="1"/>
  <c r="EF57" i="37" s="1"/>
  <c r="EF58" i="37" a="1"/>
  <c r="EF58" i="37" s="1"/>
  <c r="EF59" i="37" a="1"/>
  <c r="EF59" i="37" s="1"/>
  <c r="EF60" i="37" a="1"/>
  <c r="EF60" i="37" s="1"/>
  <c r="EF61" i="37" a="1"/>
  <c r="EF61" i="37" s="1"/>
  <c r="EF62" i="37" a="1"/>
  <c r="EF62" i="37" s="1"/>
  <c r="EF63" i="37" a="1"/>
  <c r="EF63" i="37" s="1"/>
  <c r="EF64" i="37" a="1"/>
  <c r="EF64" i="37" s="1"/>
  <c r="EF65" i="37" a="1"/>
  <c r="EF65" i="37" s="1"/>
  <c r="EF66" i="37" a="1"/>
  <c r="EF66" i="37" s="1"/>
  <c r="EF67" i="37" a="1"/>
  <c r="EF67" i="37" s="1"/>
  <c r="EF68" i="37" a="1"/>
  <c r="EF68" i="37" s="1"/>
  <c r="EF69" i="37" a="1"/>
  <c r="EF69" i="37" s="1"/>
  <c r="EF70" i="37" a="1"/>
  <c r="EF70" i="37" s="1"/>
  <c r="EF71" i="37" a="1"/>
  <c r="EF71" i="37" s="1"/>
  <c r="EF72" i="37" a="1"/>
  <c r="EF72" i="37" s="1"/>
  <c r="EF73" i="37" a="1"/>
  <c r="EF73" i="37" s="1"/>
  <c r="EF74" i="37" a="1"/>
  <c r="EF74" i="37" s="1"/>
  <c r="EF75" i="37" a="1"/>
  <c r="EF75" i="37" s="1"/>
  <c r="EF76" i="37" a="1"/>
  <c r="EF76" i="37" s="1"/>
  <c r="EF77" i="37" a="1"/>
  <c r="EF77" i="37" s="1"/>
  <c r="EF78" i="37" a="1"/>
  <c r="EF78" i="37" s="1"/>
  <c r="EF79" i="37" a="1"/>
  <c r="EF79" i="37" s="1"/>
  <c r="EF80" i="37" a="1"/>
  <c r="EF80" i="37" s="1"/>
  <c r="EF81" i="37" a="1"/>
  <c r="EF81" i="37" s="1"/>
  <c r="EF82" i="37" a="1"/>
  <c r="EF82" i="37" s="1"/>
  <c r="EF83" i="37" a="1"/>
  <c r="EF83" i="37" s="1"/>
  <c r="EF84" i="37" a="1"/>
  <c r="EF84" i="37" s="1"/>
  <c r="EF85" i="37" a="1"/>
  <c r="EF85" i="37" s="1"/>
  <c r="EF86" i="37" a="1"/>
  <c r="EF86" i="37" s="1"/>
  <c r="EF87" i="37" a="1"/>
  <c r="EF87" i="37" s="1"/>
  <c r="EF88" i="37" a="1"/>
  <c r="EF88" i="37" s="1"/>
  <c r="EF89" i="37" a="1"/>
  <c r="EF89" i="37" s="1"/>
  <c r="EF90" i="37" a="1"/>
  <c r="EF90" i="37" s="1"/>
  <c r="EF91" i="37" a="1"/>
  <c r="EF91" i="37" s="1"/>
  <c r="EF92" i="37" a="1"/>
  <c r="EF92" i="37" s="1"/>
  <c r="EF93" i="37" a="1"/>
  <c r="EF93" i="37" s="1"/>
  <c r="EF94" i="37" a="1"/>
  <c r="EF94" i="37" s="1"/>
  <c r="EF95" i="37" a="1"/>
  <c r="EF95" i="37" s="1"/>
  <c r="EF96" i="37" a="1"/>
  <c r="EF96" i="37" s="1"/>
  <c r="EF97" i="37" a="1"/>
  <c r="EF97" i="37" s="1"/>
  <c r="EF98" i="37" a="1"/>
  <c r="EF98" i="37" s="1"/>
  <c r="EF99" i="37" a="1"/>
  <c r="EF99" i="37" s="1"/>
  <c r="EF100" i="37" a="1"/>
  <c r="EF100" i="37" s="1"/>
  <c r="EF101" i="37" a="1"/>
  <c r="EF101" i="37" s="1"/>
  <c r="EF102" i="37" a="1"/>
  <c r="EF102" i="37" s="1"/>
  <c r="EF103" i="37" a="1"/>
  <c r="EF103" i="37" s="1"/>
  <c r="EF104" i="37" a="1"/>
  <c r="EF104" i="37" s="1"/>
  <c r="EF105" i="37" a="1"/>
  <c r="EF105" i="37" s="1"/>
  <c r="EF106" i="37" a="1"/>
  <c r="EF106" i="37" s="1"/>
  <c r="EF107" i="37" a="1"/>
  <c r="EF107" i="37" s="1"/>
  <c r="EF108" i="37" a="1"/>
  <c r="EF108" i="37" s="1"/>
  <c r="EF109" i="37" a="1"/>
  <c r="EF109" i="37" s="1"/>
  <c r="EF110" i="37" a="1"/>
  <c r="EF110" i="37" s="1"/>
  <c r="EF111" i="37" a="1"/>
  <c r="EF111" i="37" s="1"/>
  <c r="EF112" i="37" a="1"/>
  <c r="EF112" i="37" s="1"/>
  <c r="EF113" i="37" a="1"/>
  <c r="EF113" i="37" s="1"/>
  <c r="EF114" i="37" a="1"/>
  <c r="EF114" i="37" s="1"/>
  <c r="EF115" i="37" a="1"/>
  <c r="EF115" i="37" s="1"/>
  <c r="EF116" i="37" a="1"/>
  <c r="EF116" i="37" s="1"/>
  <c r="EF117" i="37" a="1"/>
  <c r="EF117" i="37" s="1"/>
  <c r="EF118" i="37" a="1"/>
  <c r="EF118" i="37" s="1"/>
  <c r="EF119" i="37" a="1"/>
  <c r="EF119" i="37" s="1"/>
  <c r="EF120" i="37" a="1"/>
  <c r="EF120" i="37" s="1"/>
  <c r="EF121" i="37" a="1"/>
  <c r="EF121" i="37" s="1"/>
  <c r="EF122" i="37" a="1"/>
  <c r="EF122" i="37" s="1"/>
  <c r="EF123" i="37" a="1"/>
  <c r="EF123" i="37" s="1"/>
  <c r="EF124" i="37" a="1"/>
  <c r="EF124" i="37" s="1"/>
  <c r="EF125" i="37" a="1"/>
  <c r="EF125" i="37" s="1"/>
  <c r="EF126" i="37" a="1"/>
  <c r="EF126" i="37" s="1"/>
  <c r="EF127" i="37" a="1"/>
  <c r="EF127" i="37" s="1"/>
  <c r="EF128" i="37" a="1"/>
  <c r="EF128" i="37" s="1"/>
  <c r="EF129" i="37" a="1"/>
  <c r="EF129" i="37" s="1"/>
  <c r="EF130" i="37" a="1"/>
  <c r="EF130" i="37" s="1"/>
  <c r="EF131" i="37" a="1"/>
  <c r="EF131" i="37" s="1"/>
  <c r="EF132" i="37" a="1"/>
  <c r="EF132" i="37" s="1"/>
  <c r="EF133" i="37" a="1"/>
  <c r="EF133" i="37" s="1"/>
  <c r="EF134" i="37" a="1"/>
  <c r="EF134" i="37" s="1"/>
  <c r="EF135" i="37" a="1"/>
  <c r="EF135" i="37" s="1"/>
  <c r="EF136" i="37" a="1"/>
  <c r="EF136" i="37" s="1"/>
  <c r="EF137" i="37" a="1"/>
  <c r="EF137" i="37" s="1"/>
  <c r="EF138" i="37" a="1"/>
  <c r="EF138" i="37" s="1"/>
  <c r="EF139" i="37" a="1"/>
  <c r="EF139" i="37" s="1"/>
  <c r="EF140" i="37" a="1"/>
  <c r="EF140" i="37" s="1"/>
  <c r="EF141" i="37" a="1"/>
  <c r="EF141" i="37" s="1"/>
  <c r="EF142" i="37" a="1"/>
  <c r="EF142" i="37" s="1"/>
  <c r="EF143" i="37" a="1"/>
  <c r="EF143" i="37" s="1"/>
  <c r="EF144" i="37" a="1"/>
  <c r="EF144" i="37" s="1"/>
  <c r="EF145" i="37" a="1"/>
  <c r="EF145" i="37" s="1"/>
  <c r="EF146" i="37" a="1"/>
  <c r="EF146" i="37" s="1"/>
  <c r="EF147" i="37" a="1"/>
  <c r="EF147" i="37" s="1"/>
  <c r="EF148" i="37" a="1"/>
  <c r="EF148" i="37" s="1"/>
  <c r="EF149" i="37" a="1"/>
  <c r="EF149" i="37" s="1"/>
  <c r="EF150" i="37" a="1"/>
  <c r="EF150" i="37" s="1"/>
  <c r="EF151" i="37" a="1"/>
  <c r="EF151" i="37" s="1"/>
  <c r="EF152" i="37" a="1"/>
  <c r="EF152" i="37" s="1"/>
  <c r="EF153" i="37" a="1"/>
  <c r="EF153" i="37" s="1"/>
  <c r="EF154" i="37" a="1"/>
  <c r="EF154" i="37" s="1"/>
  <c r="EF155" i="37" a="1"/>
  <c r="EF155" i="37" s="1"/>
  <c r="EF156" i="37" a="1"/>
  <c r="EF156" i="37" s="1"/>
  <c r="EF157" i="37" a="1"/>
  <c r="EF157" i="37" s="1"/>
  <c r="EF158" i="37" a="1"/>
  <c r="EF158" i="37" s="1"/>
  <c r="EF159" i="37" a="1"/>
  <c r="EF159" i="37" s="1"/>
  <c r="EF160" i="37" a="1"/>
  <c r="EF160" i="37" s="1"/>
  <c r="EF161" i="37" a="1"/>
  <c r="EF161" i="37" s="1"/>
  <c r="EF162" i="37" a="1"/>
  <c r="EF162" i="37" s="1"/>
  <c r="EF163" i="37" a="1"/>
  <c r="EF163" i="37" s="1"/>
  <c r="EF164" i="37" a="1"/>
  <c r="EF164" i="37" s="1"/>
  <c r="EF165" i="37" a="1"/>
  <c r="EF165" i="37" s="1"/>
  <c r="EF166" i="37" a="1"/>
  <c r="EF166" i="37" s="1"/>
  <c r="EF167" i="37" a="1"/>
  <c r="EF167" i="37" s="1"/>
  <c r="EF168" i="37" a="1"/>
  <c r="EF168" i="37" s="1"/>
  <c r="EF169" i="37" a="1"/>
  <c r="EF169" i="37" s="1"/>
  <c r="EF170" i="37" a="1"/>
  <c r="EF170" i="37" s="1"/>
  <c r="EF171" i="37" a="1"/>
  <c r="EF171" i="37" s="1"/>
  <c r="EF172" i="37" a="1"/>
  <c r="EF172" i="37" s="1"/>
  <c r="EF173" i="37" a="1"/>
  <c r="EF173" i="37" s="1"/>
  <c r="EF174" i="37" a="1"/>
  <c r="EF174" i="37" s="1"/>
  <c r="EF175" i="37" a="1"/>
  <c r="EF175" i="37" s="1"/>
  <c r="EF176" i="37" a="1"/>
  <c r="EF176" i="37" s="1"/>
  <c r="EF177" i="37" a="1"/>
  <c r="EF177" i="37" s="1"/>
  <c r="EF178" i="37" a="1"/>
  <c r="EF178" i="37" s="1"/>
  <c r="EF179" i="37" a="1"/>
  <c r="EF179" i="37" s="1"/>
  <c r="EF180" i="37" a="1"/>
  <c r="EF180" i="37" s="1"/>
  <c r="EF181" i="37" a="1"/>
  <c r="EF181" i="37" s="1"/>
  <c r="EF182" i="37" a="1"/>
  <c r="EF182" i="37" s="1"/>
  <c r="EF183" i="37" a="1"/>
  <c r="EF183" i="37" s="1"/>
  <c r="EF184" i="37" a="1"/>
  <c r="EF184" i="37" s="1"/>
  <c r="EF185" i="37" a="1"/>
  <c r="EF185" i="37" s="1"/>
  <c r="EF186" i="37" a="1"/>
  <c r="EF186" i="37" s="1"/>
  <c r="EF187" i="37" a="1"/>
  <c r="EF187" i="37" s="1"/>
  <c r="EF188" i="37" a="1"/>
  <c r="EF188" i="37" s="1"/>
  <c r="EF189" i="37" a="1"/>
  <c r="EF189" i="37" s="1"/>
  <c r="EF190" i="37" a="1"/>
  <c r="EF190" i="37" s="1"/>
  <c r="EF191" i="37" a="1"/>
  <c r="EF191" i="37" s="1"/>
  <c r="EF192" i="37" a="1"/>
  <c r="EF192" i="37" s="1"/>
  <c r="EF193" i="37" a="1"/>
  <c r="EF193" i="37" s="1"/>
  <c r="EF194" i="37" a="1"/>
  <c r="EF194" i="37" s="1"/>
  <c r="EF195" i="37" a="1"/>
  <c r="EF195" i="37" s="1"/>
  <c r="EF196" i="37" a="1"/>
  <c r="EF196" i="37" s="1"/>
  <c r="EF197" i="37" a="1"/>
  <c r="EF197" i="37" s="1"/>
  <c r="EF198" i="37" a="1"/>
  <c r="EF198" i="37" s="1"/>
  <c r="EF199" i="37" a="1"/>
  <c r="EF199" i="37" s="1"/>
  <c r="EF200" i="37" a="1"/>
  <c r="EF200" i="37" s="1"/>
  <c r="EF201" i="37" a="1"/>
  <c r="EF201" i="37" s="1"/>
  <c r="EF202" i="37" a="1"/>
  <c r="EF202" i="37" s="1"/>
  <c r="EF203" i="37" a="1"/>
  <c r="EF203" i="37" s="1"/>
  <c r="EF204" i="37" a="1"/>
  <c r="EF204" i="37" s="1"/>
  <c r="EF205" i="37" a="1"/>
  <c r="EF205" i="37" s="1"/>
  <c r="EF206" i="37" a="1"/>
  <c r="EF206" i="37" s="1"/>
  <c r="EF207" i="37" a="1"/>
  <c r="EF207" i="37" s="1"/>
  <c r="EF208" i="37" a="1"/>
  <c r="EF208" i="37" s="1"/>
  <c r="EF209" i="37" a="1"/>
  <c r="EF209" i="37" s="1"/>
  <c r="EF210" i="37" a="1"/>
  <c r="EF210" i="37" s="1"/>
  <c r="EF211" i="37" a="1"/>
  <c r="EF211" i="37" s="1"/>
  <c r="EF212" i="37" a="1"/>
  <c r="EF212" i="37" s="1"/>
  <c r="EF213" i="37" a="1"/>
  <c r="EF213" i="37" s="1"/>
  <c r="EF214" i="37" a="1"/>
  <c r="EF214" i="37" s="1"/>
  <c r="EF215" i="37" a="1"/>
  <c r="EF215" i="37" s="1"/>
  <c r="EF216" i="37" a="1"/>
  <c r="EF216" i="37" s="1"/>
  <c r="EF217" i="37" a="1"/>
  <c r="EF217" i="37" s="1"/>
  <c r="EF218" i="37" a="1"/>
  <c r="EF218" i="37" s="1"/>
  <c r="EF219" i="37" a="1"/>
  <c r="EF219" i="37" s="1"/>
  <c r="EF220" i="37" a="1"/>
  <c r="EF220" i="37" s="1"/>
  <c r="EF221" i="37" a="1"/>
  <c r="EF221" i="37" s="1"/>
  <c r="EF222" i="37" a="1"/>
  <c r="EF222" i="37" s="1"/>
  <c r="EF223" i="37" a="1"/>
  <c r="EF223" i="37" s="1"/>
  <c r="EF224" i="37" a="1"/>
  <c r="EF224" i="37" s="1"/>
  <c r="EF225" i="37" a="1"/>
  <c r="EF225" i="37" s="1"/>
  <c r="EF226" i="37" a="1"/>
  <c r="EF226" i="37" s="1"/>
  <c r="EF227" i="37" a="1"/>
  <c r="EF227" i="37" s="1"/>
  <c r="EF228" i="37" a="1"/>
  <c r="EF228" i="37" s="1"/>
  <c r="EF229" i="37" a="1"/>
  <c r="EF229" i="37" s="1"/>
  <c r="EF230" i="37" a="1"/>
  <c r="EF230" i="37" s="1"/>
  <c r="EF231" i="37" a="1"/>
  <c r="EF231" i="37" s="1"/>
  <c r="EF232" i="37" a="1"/>
  <c r="EF232" i="37" s="1"/>
  <c r="EF233" i="37" a="1"/>
  <c r="EF233" i="37" s="1"/>
  <c r="EF234" i="37" a="1"/>
  <c r="EF234" i="37" s="1"/>
  <c r="EF235" i="37" a="1"/>
  <c r="EF235" i="37" s="1"/>
  <c r="EF236" i="37" a="1"/>
  <c r="EF236" i="37" s="1"/>
  <c r="EF237" i="37" a="1"/>
  <c r="EF237" i="37" s="1"/>
  <c r="EF238" i="37" a="1"/>
  <c r="EF238" i="37" s="1"/>
  <c r="EF239" i="37" a="1"/>
  <c r="EF239" i="37" s="1"/>
  <c r="EF240" i="37" a="1"/>
  <c r="EF240" i="37" s="1"/>
  <c r="EF241" i="37" a="1"/>
  <c r="EF241" i="37" s="1"/>
  <c r="EF242" i="37" a="1"/>
  <c r="EF242" i="37" s="1"/>
  <c r="EF243" i="37" a="1"/>
  <c r="EF243" i="37" s="1"/>
  <c r="EF244" i="37" a="1"/>
  <c r="EF244" i="37" s="1"/>
  <c r="EF245" i="37" a="1"/>
  <c r="EF245" i="37" s="1"/>
  <c r="EF246" i="37" a="1"/>
  <c r="EF246" i="37" s="1"/>
  <c r="EF247" i="37" a="1"/>
  <c r="EF247" i="37" s="1"/>
  <c r="EF248" i="37" a="1"/>
  <c r="EF248" i="37" s="1"/>
  <c r="EF249" i="37" a="1"/>
  <c r="EF249" i="37" s="1"/>
  <c r="EF250" i="37" a="1"/>
  <c r="EF250" i="37" s="1"/>
  <c r="EE10" i="37" a="1"/>
  <c r="EE10" i="37" s="1"/>
  <c r="EE11" i="37" a="1"/>
  <c r="EE11" i="37" s="1"/>
  <c r="EG11" i="37" s="1"/>
  <c r="EE12" i="37" a="1"/>
  <c r="EE12" i="37" s="1"/>
  <c r="EG12" i="37" s="1"/>
  <c r="EE13" i="37" a="1"/>
  <c r="EE13" i="37" s="1"/>
  <c r="EG13" i="37" s="1"/>
  <c r="EE14" i="37" a="1"/>
  <c r="EE14" i="37" s="1"/>
  <c r="EG14" i="37" s="1"/>
  <c r="EE15" i="37" a="1"/>
  <c r="EE15" i="37" s="1"/>
  <c r="EG15" i="37" s="1"/>
  <c r="EE16" i="37" a="1"/>
  <c r="EE16" i="37" s="1"/>
  <c r="EG16" i="37" s="1"/>
  <c r="EE17" i="37" a="1"/>
  <c r="EE17" i="37" s="1"/>
  <c r="EG17" i="37" s="1"/>
  <c r="EE18" i="37" a="1"/>
  <c r="EE18" i="37" s="1"/>
  <c r="EG18" i="37" s="1"/>
  <c r="EE19" i="37" a="1"/>
  <c r="EE19" i="37" s="1"/>
  <c r="EG19" i="37" s="1"/>
  <c r="EE20" i="37" a="1"/>
  <c r="EE20" i="37" s="1"/>
  <c r="EG20" i="37" s="1"/>
  <c r="EE21" i="37" a="1"/>
  <c r="EE21" i="37" s="1"/>
  <c r="EG21" i="37" s="1"/>
  <c r="EE22" i="37" a="1"/>
  <c r="EE22" i="37" s="1"/>
  <c r="EG22" i="37" s="1"/>
  <c r="EE23" i="37" a="1"/>
  <c r="EE23" i="37" s="1"/>
  <c r="EG23" i="37" s="1"/>
  <c r="EE24" i="37" a="1"/>
  <c r="EE24" i="37" s="1"/>
  <c r="EG24" i="37" s="1"/>
  <c r="EE25" i="37" a="1"/>
  <c r="EE25" i="37" s="1"/>
  <c r="EG25" i="37" s="1"/>
  <c r="EE26" i="37" a="1"/>
  <c r="EE26" i="37" s="1"/>
  <c r="EG26" i="37" s="1"/>
  <c r="EE27" i="37" a="1"/>
  <c r="EE27" i="37" s="1"/>
  <c r="EG27" i="37" s="1"/>
  <c r="EE28" i="37" a="1"/>
  <c r="EE28" i="37" s="1"/>
  <c r="EE29" i="37" a="1"/>
  <c r="EE29" i="37" s="1"/>
  <c r="EG29" i="37" s="1"/>
  <c r="EE30" i="37" a="1"/>
  <c r="EE30" i="37" s="1"/>
  <c r="EG30" i="37" s="1"/>
  <c r="EE31" i="37" a="1"/>
  <c r="EE31" i="37" s="1"/>
  <c r="EG31" i="37" s="1"/>
  <c r="EE32" i="37" a="1"/>
  <c r="EE32" i="37" s="1"/>
  <c r="EG32" i="37" s="1"/>
  <c r="EE33" i="37" a="1"/>
  <c r="EE33" i="37" s="1"/>
  <c r="EG33" i="37" s="1"/>
  <c r="EE34" i="37" a="1"/>
  <c r="EE34" i="37" s="1"/>
  <c r="EG34" i="37" s="1"/>
  <c r="EE35" i="37" a="1"/>
  <c r="EE35" i="37" s="1"/>
  <c r="EG35" i="37" s="1"/>
  <c r="EE36" i="37" a="1"/>
  <c r="EE36" i="37" s="1"/>
  <c r="EG36" i="37" s="1"/>
  <c r="EE37" i="37" a="1"/>
  <c r="EE37" i="37" s="1"/>
  <c r="EG37" i="37" s="1"/>
  <c r="EE38" i="37" a="1"/>
  <c r="EE38" i="37" s="1"/>
  <c r="EG38" i="37" s="1"/>
  <c r="EE39" i="37" a="1"/>
  <c r="EE39" i="37" s="1"/>
  <c r="EG39" i="37" s="1"/>
  <c r="EE40" i="37" a="1"/>
  <c r="EE40" i="37" s="1"/>
  <c r="EE41" i="37" a="1"/>
  <c r="EE41" i="37" s="1"/>
  <c r="EG41" i="37" s="1"/>
  <c r="EE42" i="37" a="1"/>
  <c r="EE42" i="37" s="1"/>
  <c r="EG42" i="37" s="1"/>
  <c r="EE43" i="37" a="1"/>
  <c r="EE43" i="37" s="1"/>
  <c r="EG43" i="37" s="1"/>
  <c r="EE44" i="37" a="1"/>
  <c r="EE44" i="37" s="1"/>
  <c r="EG44" i="37" s="1"/>
  <c r="EE45" i="37" a="1"/>
  <c r="EE45" i="37" s="1"/>
  <c r="EG45" i="37" s="1"/>
  <c r="EE46" i="37" a="1"/>
  <c r="EE46" i="37" s="1"/>
  <c r="EG46" i="37" s="1"/>
  <c r="EE47" i="37" a="1"/>
  <c r="EE47" i="37" s="1"/>
  <c r="EG47" i="37" s="1"/>
  <c r="EE48" i="37" a="1"/>
  <c r="EE48" i="37" s="1"/>
  <c r="EG48" i="37" s="1"/>
  <c r="EE49" i="37" a="1"/>
  <c r="EE49" i="37" s="1"/>
  <c r="EG49" i="37" s="1"/>
  <c r="EE50" i="37" a="1"/>
  <c r="EE50" i="37" s="1"/>
  <c r="EG50" i="37" s="1"/>
  <c r="EE51" i="37" a="1"/>
  <c r="EE51" i="37" s="1"/>
  <c r="EG51" i="37" s="1"/>
  <c r="EE52" i="37" a="1"/>
  <c r="EE52" i="37" s="1"/>
  <c r="EE53" i="37" a="1"/>
  <c r="EE53" i="37" s="1"/>
  <c r="EG53" i="37" s="1"/>
  <c r="EE54" i="37" a="1"/>
  <c r="EE54" i="37" s="1"/>
  <c r="EG54" i="37" s="1"/>
  <c r="EE55" i="37" a="1"/>
  <c r="EE55" i="37" s="1"/>
  <c r="EG55" i="37" s="1"/>
  <c r="EE56" i="37" a="1"/>
  <c r="EE56" i="37" s="1"/>
  <c r="EG56" i="37" s="1"/>
  <c r="EE57" i="37" a="1"/>
  <c r="EE57" i="37" s="1"/>
  <c r="EG57" i="37" s="1"/>
  <c r="EE58" i="37" a="1"/>
  <c r="EE58" i="37" s="1"/>
  <c r="EG58" i="37" s="1"/>
  <c r="EE59" i="37" a="1"/>
  <c r="EE59" i="37" s="1"/>
  <c r="EG59" i="37" s="1"/>
  <c r="EE60" i="37" a="1"/>
  <c r="EE60" i="37" s="1"/>
  <c r="EG60" i="37" s="1"/>
  <c r="EE61" i="37" a="1"/>
  <c r="EE61" i="37" s="1"/>
  <c r="EG61" i="37" s="1"/>
  <c r="EE62" i="37" a="1"/>
  <c r="EE62" i="37" s="1"/>
  <c r="EG62" i="37" s="1"/>
  <c r="EE63" i="37" a="1"/>
  <c r="EE63" i="37" s="1"/>
  <c r="EG63" i="37" s="1"/>
  <c r="EE64" i="37" a="1"/>
  <c r="EE64" i="37" s="1"/>
  <c r="EE65" i="37" a="1"/>
  <c r="EE65" i="37" s="1"/>
  <c r="EG65" i="37" s="1"/>
  <c r="EE66" i="37" a="1"/>
  <c r="EE66" i="37" s="1"/>
  <c r="EG66" i="37" s="1"/>
  <c r="EE67" i="37" a="1"/>
  <c r="EE67" i="37" s="1"/>
  <c r="EG67" i="37" s="1"/>
  <c r="EE68" i="37" a="1"/>
  <c r="EE68" i="37" s="1"/>
  <c r="EG68" i="37" s="1"/>
  <c r="EE69" i="37" a="1"/>
  <c r="EE69" i="37" s="1"/>
  <c r="EG69" i="37" s="1"/>
  <c r="EE70" i="37" a="1"/>
  <c r="EE70" i="37" s="1"/>
  <c r="EG70" i="37" s="1"/>
  <c r="EE71" i="37" a="1"/>
  <c r="EE71" i="37" s="1"/>
  <c r="EG71" i="37" s="1"/>
  <c r="EE72" i="37" a="1"/>
  <c r="EE72" i="37" s="1"/>
  <c r="EG72" i="37" s="1"/>
  <c r="EE73" i="37" a="1"/>
  <c r="EE73" i="37" s="1"/>
  <c r="EG73" i="37" s="1"/>
  <c r="EE74" i="37" a="1"/>
  <c r="EE74" i="37" s="1"/>
  <c r="EG74" i="37" s="1"/>
  <c r="EE75" i="37" a="1"/>
  <c r="EE75" i="37" s="1"/>
  <c r="EG75" i="37" s="1"/>
  <c r="EE76" i="37" a="1"/>
  <c r="EE76" i="37" s="1"/>
  <c r="EE77" i="37" a="1"/>
  <c r="EE77" i="37" s="1"/>
  <c r="EG77" i="37" s="1"/>
  <c r="EE78" i="37" a="1"/>
  <c r="EE78" i="37" s="1"/>
  <c r="EG78" i="37" s="1"/>
  <c r="EE79" i="37" a="1"/>
  <c r="EE79" i="37" s="1"/>
  <c r="EG79" i="37" s="1"/>
  <c r="EE80" i="37" a="1"/>
  <c r="EE80" i="37" s="1"/>
  <c r="EG80" i="37" s="1"/>
  <c r="EE81" i="37" a="1"/>
  <c r="EE81" i="37" s="1"/>
  <c r="EG81" i="37" s="1"/>
  <c r="EE82" i="37" a="1"/>
  <c r="EE82" i="37" s="1"/>
  <c r="EG82" i="37" s="1"/>
  <c r="EE83" i="37" a="1"/>
  <c r="EE83" i="37" s="1"/>
  <c r="EG83" i="37" s="1"/>
  <c r="EE84" i="37" a="1"/>
  <c r="EE84" i="37" s="1"/>
  <c r="EG84" i="37" s="1"/>
  <c r="EE85" i="37" a="1"/>
  <c r="EE85" i="37" s="1"/>
  <c r="EG85" i="37" s="1"/>
  <c r="EE86" i="37" a="1"/>
  <c r="EE86" i="37" s="1"/>
  <c r="EG86" i="37" s="1"/>
  <c r="EE87" i="37" a="1"/>
  <c r="EE87" i="37" s="1"/>
  <c r="EG87" i="37" s="1"/>
  <c r="EE88" i="37" a="1"/>
  <c r="EE88" i="37" s="1"/>
  <c r="EE89" i="37" a="1"/>
  <c r="EE89" i="37" s="1"/>
  <c r="EG89" i="37" s="1"/>
  <c r="EE90" i="37" a="1"/>
  <c r="EE90" i="37" s="1"/>
  <c r="EG90" i="37" s="1"/>
  <c r="EE91" i="37" a="1"/>
  <c r="EE91" i="37" s="1"/>
  <c r="EG91" i="37" s="1"/>
  <c r="EE92" i="37" a="1"/>
  <c r="EE92" i="37" s="1"/>
  <c r="EG92" i="37" s="1"/>
  <c r="EE93" i="37" a="1"/>
  <c r="EE93" i="37" s="1"/>
  <c r="EG93" i="37" s="1"/>
  <c r="EE94" i="37" a="1"/>
  <c r="EE94" i="37" s="1"/>
  <c r="EG94" i="37" s="1"/>
  <c r="EE95" i="37" a="1"/>
  <c r="EE95" i="37" s="1"/>
  <c r="EG95" i="37" s="1"/>
  <c r="EE96" i="37" a="1"/>
  <c r="EE96" i="37" s="1"/>
  <c r="EG96" i="37" s="1"/>
  <c r="EE97" i="37" a="1"/>
  <c r="EE97" i="37" s="1"/>
  <c r="EG97" i="37" s="1"/>
  <c r="EE98" i="37" a="1"/>
  <c r="EE98" i="37" s="1"/>
  <c r="EG98" i="37" s="1"/>
  <c r="EE99" i="37" a="1"/>
  <c r="EE99" i="37" s="1"/>
  <c r="EG99" i="37" s="1"/>
  <c r="EE100" i="37" a="1"/>
  <c r="EE100" i="37" s="1"/>
  <c r="EE101" i="37" a="1"/>
  <c r="EE101" i="37" s="1"/>
  <c r="EG101" i="37" s="1"/>
  <c r="EE102" i="37" a="1"/>
  <c r="EE102" i="37" s="1"/>
  <c r="EG102" i="37" s="1"/>
  <c r="EE103" i="37" a="1"/>
  <c r="EE103" i="37" s="1"/>
  <c r="EG103" i="37" s="1"/>
  <c r="EE104" i="37" a="1"/>
  <c r="EE104" i="37" s="1"/>
  <c r="EG104" i="37" s="1"/>
  <c r="EE105" i="37" a="1"/>
  <c r="EE105" i="37" s="1"/>
  <c r="EG105" i="37" s="1"/>
  <c r="EE106" i="37" a="1"/>
  <c r="EE106" i="37" s="1"/>
  <c r="EG106" i="37" s="1"/>
  <c r="EE107" i="37" a="1"/>
  <c r="EE107" i="37" s="1"/>
  <c r="EG107" i="37" s="1"/>
  <c r="EE108" i="37" a="1"/>
  <c r="EE108" i="37" s="1"/>
  <c r="EG108" i="37" s="1"/>
  <c r="EE109" i="37" a="1"/>
  <c r="EE109" i="37" s="1"/>
  <c r="EG109" i="37" s="1"/>
  <c r="EE110" i="37" a="1"/>
  <c r="EE110" i="37" s="1"/>
  <c r="EG110" i="37" s="1"/>
  <c r="EE111" i="37" a="1"/>
  <c r="EE111" i="37" s="1"/>
  <c r="EG111" i="37" s="1"/>
  <c r="EE112" i="37" a="1"/>
  <c r="EE112" i="37" s="1"/>
  <c r="EE113" i="37" a="1"/>
  <c r="EE113" i="37" s="1"/>
  <c r="EG113" i="37" s="1"/>
  <c r="EE114" i="37" a="1"/>
  <c r="EE114" i="37" s="1"/>
  <c r="EG114" i="37" s="1"/>
  <c r="EE115" i="37" a="1"/>
  <c r="EE115" i="37" s="1"/>
  <c r="EG115" i="37" s="1"/>
  <c r="EE116" i="37" a="1"/>
  <c r="EE116" i="37" s="1"/>
  <c r="EG116" i="37" s="1"/>
  <c r="EE117" i="37" a="1"/>
  <c r="EE117" i="37" s="1"/>
  <c r="EG117" i="37" s="1"/>
  <c r="EE118" i="37" a="1"/>
  <c r="EE118" i="37" s="1"/>
  <c r="EG118" i="37" s="1"/>
  <c r="EE119" i="37" a="1"/>
  <c r="EE119" i="37" s="1"/>
  <c r="EG119" i="37" s="1"/>
  <c r="EE120" i="37" a="1"/>
  <c r="EE120" i="37" s="1"/>
  <c r="EG120" i="37" s="1"/>
  <c r="EE121" i="37" a="1"/>
  <c r="EE121" i="37" s="1"/>
  <c r="EG121" i="37" s="1"/>
  <c r="EE122" i="37" a="1"/>
  <c r="EE122" i="37" s="1"/>
  <c r="EG122" i="37" s="1"/>
  <c r="EE123" i="37" a="1"/>
  <c r="EE123" i="37" s="1"/>
  <c r="EG123" i="37" s="1"/>
  <c r="EE124" i="37" a="1"/>
  <c r="EE124" i="37" s="1"/>
  <c r="EG124" i="37" s="1"/>
  <c r="EE125" i="37" a="1"/>
  <c r="EE125" i="37" s="1"/>
  <c r="EG125" i="37" s="1"/>
  <c r="EE126" i="37" a="1"/>
  <c r="EE126" i="37" s="1"/>
  <c r="EG126" i="37" s="1"/>
  <c r="EE127" i="37" a="1"/>
  <c r="EE127" i="37" s="1"/>
  <c r="EG127" i="37" s="1"/>
  <c r="EE128" i="37" a="1"/>
  <c r="EE128" i="37" s="1"/>
  <c r="EG128" i="37" s="1"/>
  <c r="EE129" i="37" a="1"/>
  <c r="EE129" i="37" s="1"/>
  <c r="EG129" i="37" s="1"/>
  <c r="EE130" i="37" a="1"/>
  <c r="EE130" i="37" s="1"/>
  <c r="EG130" i="37" s="1"/>
  <c r="EE131" i="37" a="1"/>
  <c r="EE131" i="37" s="1"/>
  <c r="EG131" i="37" s="1"/>
  <c r="EE132" i="37" a="1"/>
  <c r="EE132" i="37" s="1"/>
  <c r="EG132" i="37" s="1"/>
  <c r="EE133" i="37" a="1"/>
  <c r="EE133" i="37" s="1"/>
  <c r="EG133" i="37" s="1"/>
  <c r="EE134" i="37" a="1"/>
  <c r="EE134" i="37" s="1"/>
  <c r="EG134" i="37" s="1"/>
  <c r="EE135" i="37" a="1"/>
  <c r="EE135" i="37" s="1"/>
  <c r="EG135" i="37" s="1"/>
  <c r="EE136" i="37" a="1"/>
  <c r="EE136" i="37" s="1"/>
  <c r="EG136" i="37" s="1"/>
  <c r="EE137" i="37" a="1"/>
  <c r="EE137" i="37" s="1"/>
  <c r="EG137" i="37" s="1"/>
  <c r="EE138" i="37" a="1"/>
  <c r="EE138" i="37" s="1"/>
  <c r="EG138" i="37" s="1"/>
  <c r="EE139" i="37" a="1"/>
  <c r="EE139" i="37" s="1"/>
  <c r="EG139" i="37" s="1"/>
  <c r="EE140" i="37" a="1"/>
  <c r="EE140" i="37" s="1"/>
  <c r="EG140" i="37" s="1"/>
  <c r="EE141" i="37" a="1"/>
  <c r="EE141" i="37" s="1"/>
  <c r="EE142" i="37" a="1"/>
  <c r="EE142" i="37" s="1"/>
  <c r="EG142" i="37" s="1"/>
  <c r="EE143" i="37" a="1"/>
  <c r="EE143" i="37" s="1"/>
  <c r="EG143" i="37" s="1"/>
  <c r="EE144" i="37" a="1"/>
  <c r="EE144" i="37" s="1"/>
  <c r="EG144" i="37" s="1"/>
  <c r="EE145" i="37" a="1"/>
  <c r="EE145" i="37" s="1"/>
  <c r="EG145" i="37" s="1"/>
  <c r="EE146" i="37" a="1"/>
  <c r="EE146" i="37" s="1"/>
  <c r="EG146" i="37" s="1"/>
  <c r="EE147" i="37" a="1"/>
  <c r="EE147" i="37" s="1"/>
  <c r="EG147" i="37" s="1"/>
  <c r="EE148" i="37" a="1"/>
  <c r="EE148" i="37" s="1"/>
  <c r="EG148" i="37" s="1"/>
  <c r="EE149" i="37" a="1"/>
  <c r="EE149" i="37" s="1"/>
  <c r="EG149" i="37" s="1"/>
  <c r="EE150" i="37" a="1"/>
  <c r="EE150" i="37" s="1"/>
  <c r="EG150" i="37" s="1"/>
  <c r="EE151" i="37" a="1"/>
  <c r="EE151" i="37" s="1"/>
  <c r="EG151" i="37" s="1"/>
  <c r="EE152" i="37" a="1"/>
  <c r="EE152" i="37" s="1"/>
  <c r="EG152" i="37" s="1"/>
  <c r="EE153" i="37" a="1"/>
  <c r="EE153" i="37" s="1"/>
  <c r="EE154" i="37" a="1"/>
  <c r="EE154" i="37" s="1"/>
  <c r="EG154" i="37" s="1"/>
  <c r="EE155" i="37" a="1"/>
  <c r="EE155" i="37" s="1"/>
  <c r="EG155" i="37" s="1"/>
  <c r="EE156" i="37" a="1"/>
  <c r="EE156" i="37" s="1"/>
  <c r="EG156" i="37" s="1"/>
  <c r="EE157" i="37" a="1"/>
  <c r="EE157" i="37" s="1"/>
  <c r="EG157" i="37" s="1"/>
  <c r="EE158" i="37" a="1"/>
  <c r="EE158" i="37" s="1"/>
  <c r="EG158" i="37" s="1"/>
  <c r="EE159" i="37" a="1"/>
  <c r="EE159" i="37" s="1"/>
  <c r="EG159" i="37" s="1"/>
  <c r="EE160" i="37" a="1"/>
  <c r="EE160" i="37" s="1"/>
  <c r="EE161" i="37" a="1"/>
  <c r="EE161" i="37" s="1"/>
  <c r="EG161" i="37" s="1"/>
  <c r="EE162" i="37" a="1"/>
  <c r="EE162" i="37" s="1"/>
  <c r="EG162" i="37" s="1"/>
  <c r="EE163" i="37" a="1"/>
  <c r="EE163" i="37" s="1"/>
  <c r="EG163" i="37" s="1"/>
  <c r="EE164" i="37" a="1"/>
  <c r="EE164" i="37" s="1"/>
  <c r="EG164" i="37" s="1"/>
  <c r="EE165" i="37" a="1"/>
  <c r="EE165" i="37" s="1"/>
  <c r="EG165" i="37" s="1"/>
  <c r="EE166" i="37" a="1"/>
  <c r="EE166" i="37" s="1"/>
  <c r="EG166" i="37" s="1"/>
  <c r="EE167" i="37" a="1"/>
  <c r="EE167" i="37" s="1"/>
  <c r="EG167" i="37" s="1"/>
  <c r="EE168" i="37" a="1"/>
  <c r="EE168" i="37" s="1"/>
  <c r="EG168" i="37" s="1"/>
  <c r="EE169" i="37" a="1"/>
  <c r="EE169" i="37" s="1"/>
  <c r="EG169" i="37" s="1"/>
  <c r="EE170" i="37" a="1"/>
  <c r="EE170" i="37" s="1"/>
  <c r="EG170" i="37" s="1"/>
  <c r="EE171" i="37" a="1"/>
  <c r="EE171" i="37" s="1"/>
  <c r="EG171" i="37" s="1"/>
  <c r="EE172" i="37" a="1"/>
  <c r="EE172" i="37" s="1"/>
  <c r="EE173" i="37" a="1"/>
  <c r="EE173" i="37" s="1"/>
  <c r="EG173" i="37" s="1"/>
  <c r="EE174" i="37" a="1"/>
  <c r="EE174" i="37" s="1"/>
  <c r="EG174" i="37" s="1"/>
  <c r="EE175" i="37" a="1"/>
  <c r="EE175" i="37" s="1"/>
  <c r="EG175" i="37" s="1"/>
  <c r="EE176" i="37" a="1"/>
  <c r="EE176" i="37" s="1"/>
  <c r="EE177" i="37" a="1"/>
  <c r="EE177" i="37" s="1"/>
  <c r="EE178" i="37" a="1"/>
  <c r="EE178" i="37" s="1"/>
  <c r="EE179" i="37" a="1"/>
  <c r="EE179" i="37" s="1"/>
  <c r="EE180" i="37" a="1"/>
  <c r="EE180" i="37" s="1"/>
  <c r="EE181" i="37" a="1"/>
  <c r="EE181" i="37" s="1"/>
  <c r="EE182" i="37" a="1"/>
  <c r="EE182" i="37" s="1"/>
  <c r="EE183" i="37" a="1"/>
  <c r="EE183" i="37" s="1"/>
  <c r="EE184" i="37" a="1"/>
  <c r="EE184" i="37" s="1"/>
  <c r="EE185" i="37" a="1"/>
  <c r="EE185" i="37" s="1"/>
  <c r="EG185" i="37" s="1"/>
  <c r="EE186" i="37" a="1"/>
  <c r="EE186" i="37" s="1"/>
  <c r="EE187" i="37" a="1"/>
  <c r="EE187" i="37" s="1"/>
  <c r="EE188" i="37" a="1"/>
  <c r="EE188" i="37" s="1"/>
  <c r="EE189" i="37" a="1"/>
  <c r="EE189" i="37" s="1"/>
  <c r="EE190" i="37" a="1"/>
  <c r="EE190" i="37" s="1"/>
  <c r="EE191" i="37" a="1"/>
  <c r="EE191" i="37" s="1"/>
  <c r="EE192" i="37" a="1"/>
  <c r="EE192" i="37" s="1"/>
  <c r="EE193" i="37" a="1"/>
  <c r="EE193" i="37" s="1"/>
  <c r="EE194" i="37" a="1"/>
  <c r="EE194" i="37" s="1"/>
  <c r="EE195" i="37" a="1"/>
  <c r="EE195" i="37" s="1"/>
  <c r="EE196" i="37" a="1"/>
  <c r="EE196" i="37" s="1"/>
  <c r="EE197" i="37" a="1"/>
  <c r="EE197" i="37" s="1"/>
  <c r="EG197" i="37" s="1"/>
  <c r="EE198" i="37" a="1"/>
  <c r="EE198" i="37" s="1"/>
  <c r="EE199" i="37" a="1"/>
  <c r="EE199" i="37" s="1"/>
  <c r="EE200" i="37" a="1"/>
  <c r="EE200" i="37" s="1"/>
  <c r="EE201" i="37" a="1"/>
  <c r="EE201" i="37" s="1"/>
  <c r="EE202" i="37" a="1"/>
  <c r="EE202" i="37" s="1"/>
  <c r="EE203" i="37" a="1"/>
  <c r="EE203" i="37" s="1"/>
  <c r="EE204" i="37" a="1"/>
  <c r="EE204" i="37" s="1"/>
  <c r="EE205" i="37" a="1"/>
  <c r="EE205" i="37" s="1"/>
  <c r="EE206" i="37" a="1"/>
  <c r="EE206" i="37" s="1"/>
  <c r="EE207" i="37" a="1"/>
  <c r="EE207" i="37" s="1"/>
  <c r="EE208" i="37" a="1"/>
  <c r="EE208" i="37" s="1"/>
  <c r="EE209" i="37" a="1"/>
  <c r="EE209" i="37" s="1"/>
  <c r="EG209" i="37" s="1"/>
  <c r="EE210" i="37" a="1"/>
  <c r="EE210" i="37" s="1"/>
  <c r="EE211" i="37" a="1"/>
  <c r="EE211" i="37" s="1"/>
  <c r="EE212" i="37" a="1"/>
  <c r="EE212" i="37" s="1"/>
  <c r="EE213" i="37" a="1"/>
  <c r="EE213" i="37" s="1"/>
  <c r="EE214" i="37" a="1"/>
  <c r="EE214" i="37" s="1"/>
  <c r="EE215" i="37" a="1"/>
  <c r="EE215" i="37" s="1"/>
  <c r="EE216" i="37" a="1"/>
  <c r="EE216" i="37" s="1"/>
  <c r="EE217" i="37" a="1"/>
  <c r="EE217" i="37" s="1"/>
  <c r="EE218" i="37" a="1"/>
  <c r="EE218" i="37" s="1"/>
  <c r="EE219" i="37" a="1"/>
  <c r="EE219" i="37" s="1"/>
  <c r="EE220" i="37" a="1"/>
  <c r="EE220" i="37" s="1"/>
  <c r="EE221" i="37" a="1"/>
  <c r="EE221" i="37" s="1"/>
  <c r="EG221" i="37" s="1"/>
  <c r="EE222" i="37" a="1"/>
  <c r="EE222" i="37" s="1"/>
  <c r="EE223" i="37" a="1"/>
  <c r="EE223" i="37" s="1"/>
  <c r="EE224" i="37" a="1"/>
  <c r="EE224" i="37" s="1"/>
  <c r="EE225" i="37" a="1"/>
  <c r="EE225" i="37" s="1"/>
  <c r="EE226" i="37" a="1"/>
  <c r="EE226" i="37" s="1"/>
  <c r="EE227" i="37" a="1"/>
  <c r="EE227" i="37" s="1"/>
  <c r="EE228" i="37" a="1"/>
  <c r="EE228" i="37" s="1"/>
  <c r="EE229" i="37" a="1"/>
  <c r="EE229" i="37" s="1"/>
  <c r="EE230" i="37" a="1"/>
  <c r="EE230" i="37" s="1"/>
  <c r="EE231" i="37" a="1"/>
  <c r="EE231" i="37" s="1"/>
  <c r="EE232" i="37" a="1"/>
  <c r="EE232" i="37" s="1"/>
  <c r="EE233" i="37" a="1"/>
  <c r="EE233" i="37" s="1"/>
  <c r="EG233" i="37" s="1"/>
  <c r="EE234" i="37" a="1"/>
  <c r="EE234" i="37" s="1"/>
  <c r="EE235" i="37" a="1"/>
  <c r="EE235" i="37" s="1"/>
  <c r="EE236" i="37" a="1"/>
  <c r="EE236" i="37" s="1"/>
  <c r="EE237" i="37" a="1"/>
  <c r="EE237" i="37" s="1"/>
  <c r="EE238" i="37" a="1"/>
  <c r="EE238" i="37" s="1"/>
  <c r="EE239" i="37" a="1"/>
  <c r="EE239" i="37" s="1"/>
  <c r="EE240" i="37" a="1"/>
  <c r="EE240" i="37" s="1"/>
  <c r="EE241" i="37" a="1"/>
  <c r="EE241" i="37" s="1"/>
  <c r="EE242" i="37" a="1"/>
  <c r="EE242" i="37" s="1"/>
  <c r="EE243" i="37" a="1"/>
  <c r="EE243" i="37" s="1"/>
  <c r="EE244" i="37" a="1"/>
  <c r="EE244" i="37" s="1"/>
  <c r="EE245" i="37" a="1"/>
  <c r="EE245" i="37" s="1"/>
  <c r="EG245" i="37" s="1"/>
  <c r="EE246" i="37" a="1"/>
  <c r="EE246" i="37" s="1"/>
  <c r="EE247" i="37" a="1"/>
  <c r="EE247" i="37" s="1"/>
  <c r="EE248" i="37" a="1"/>
  <c r="EE248" i="37" s="1"/>
  <c r="EE249" i="37" a="1"/>
  <c r="EE249" i="37" s="1"/>
  <c r="EE250" i="37" a="1"/>
  <c r="EE250" i="37" s="1"/>
  <c r="EO41" i="37" a="1"/>
  <c r="EO41" i="37" s="1"/>
  <c r="EO42" i="37" a="1"/>
  <c r="EO42" i="37" s="1"/>
  <c r="EO43" i="37" a="1"/>
  <c r="EO43" i="37" s="1"/>
  <c r="EO44" i="37" a="1"/>
  <c r="EO44" i="37" s="1"/>
  <c r="EO45" i="37" a="1"/>
  <c r="EO45" i="37" s="1"/>
  <c r="EO46" i="37" a="1"/>
  <c r="EO46" i="37" s="1"/>
  <c r="EO47" i="37" a="1"/>
  <c r="EO47" i="37" s="1"/>
  <c r="EO48" i="37" a="1"/>
  <c r="EO48" i="37" s="1"/>
  <c r="EO49" i="37" a="1"/>
  <c r="EO49" i="37" s="1"/>
  <c r="EO50" i="37" a="1"/>
  <c r="EO50" i="37" s="1"/>
  <c r="EO51" i="37" a="1"/>
  <c r="EO51" i="37" s="1"/>
  <c r="EO52" i="37" a="1"/>
  <c r="EO52" i="37" s="1"/>
  <c r="EO53" i="37" a="1"/>
  <c r="EO53" i="37" s="1"/>
  <c r="EO54" i="37" a="1"/>
  <c r="EO54" i="37" s="1"/>
  <c r="EO55" i="37" a="1"/>
  <c r="EO55" i="37" s="1"/>
  <c r="EO56" i="37" a="1"/>
  <c r="EO56" i="37" s="1"/>
  <c r="EO57" i="37" a="1"/>
  <c r="EO57" i="37" s="1"/>
  <c r="EO58" i="37" a="1"/>
  <c r="EO58" i="37" s="1"/>
  <c r="EO59" i="37" a="1"/>
  <c r="EO59" i="37" s="1"/>
  <c r="EO60" i="37" a="1"/>
  <c r="EO60" i="37" s="1"/>
  <c r="EG10" i="37" l="1"/>
  <c r="C60" i="32"/>
  <c r="H106" i="48"/>
  <c r="EG112" i="37"/>
  <c r="EG244" i="37"/>
  <c r="EG100" i="37"/>
  <c r="EG232" i="37"/>
  <c r="EG88" i="37"/>
  <c r="EG220" i="37"/>
  <c r="EG76" i="37"/>
  <c r="EG208" i="37"/>
  <c r="EG64" i="37"/>
  <c r="EG196" i="37"/>
  <c r="EG52" i="37"/>
  <c r="EG184" i="37"/>
  <c r="EG40" i="37"/>
  <c r="EG172" i="37"/>
  <c r="EG28" i="37"/>
  <c r="EG160" i="37"/>
  <c r="EG243" i="37"/>
  <c r="EG231" i="37"/>
  <c r="EG219" i="37"/>
  <c r="EG207" i="37"/>
  <c r="EG195" i="37"/>
  <c r="EG183" i="37"/>
  <c r="EG242" i="37"/>
  <c r="EG230" i="37"/>
  <c r="EG218" i="37"/>
  <c r="EG206" i="37"/>
  <c r="EG194" i="37"/>
  <c r="EG182" i="37"/>
  <c r="EG241" i="37"/>
  <c r="EG229" i="37"/>
  <c r="EG217" i="37"/>
  <c r="EG205" i="37"/>
  <c r="EG193" i="37"/>
  <c r="EG181" i="37"/>
  <c r="EG240" i="37"/>
  <c r="EG228" i="37"/>
  <c r="EG216" i="37"/>
  <c r="EG204" i="37"/>
  <c r="EG192" i="37"/>
  <c r="EG180" i="37"/>
  <c r="EG239" i="37"/>
  <c r="EG227" i="37"/>
  <c r="EG215" i="37"/>
  <c r="EG203" i="37"/>
  <c r="EG191" i="37"/>
  <c r="EG179" i="37"/>
  <c r="EG250" i="37"/>
  <c r="EG238" i="37"/>
  <c r="EG226" i="37"/>
  <c r="EG214" i="37"/>
  <c r="EG202" i="37"/>
  <c r="EG190" i="37"/>
  <c r="EG178" i="37"/>
  <c r="EG249" i="37"/>
  <c r="EG237" i="37"/>
  <c r="EG225" i="37"/>
  <c r="EG213" i="37"/>
  <c r="EG201" i="37"/>
  <c r="EG189" i="37"/>
  <c r="EG177" i="37"/>
  <c r="EG153" i="37"/>
  <c r="EG141" i="37"/>
  <c r="EG248" i="37"/>
  <c r="EG236" i="37"/>
  <c r="EG224" i="37"/>
  <c r="EG212" i="37"/>
  <c r="EG200" i="37"/>
  <c r="EG188" i="37"/>
  <c r="EG176" i="37"/>
  <c r="EG247" i="37"/>
  <c r="EG235" i="37"/>
  <c r="EG223" i="37"/>
  <c r="EG211" i="37"/>
  <c r="EG199" i="37"/>
  <c r="EG187" i="37"/>
  <c r="EG246" i="37"/>
  <c r="EG234" i="37"/>
  <c r="EG222" i="37"/>
  <c r="EG210" i="37"/>
  <c r="EG198" i="37"/>
  <c r="EG186" i="37"/>
  <c r="E60" i="32" l="1"/>
  <c r="DA10" i="37" l="1"/>
  <c r="U7" i="37"/>
  <c r="T7" i="37"/>
  <c r="V60" i="37" a="1"/>
  <c r="V60" i="37" s="1"/>
  <c r="U60" i="37" a="1"/>
  <c r="U60" i="37" s="1"/>
  <c r="T60" i="37" a="1"/>
  <c r="T60" i="37" s="1"/>
  <c r="R60" i="37" a="1"/>
  <c r="R60" i="37" s="1"/>
  <c r="Q60" i="37" a="1"/>
  <c r="Q60" i="37" s="1"/>
  <c r="P60" i="37" a="1"/>
  <c r="P60" i="37" s="1"/>
  <c r="V59" i="37" a="1"/>
  <c r="V59" i="37" s="1"/>
  <c r="U59" i="37" a="1"/>
  <c r="U59" i="37" s="1"/>
  <c r="T59" i="37" a="1"/>
  <c r="T59" i="37" s="1"/>
  <c r="R59" i="37" a="1"/>
  <c r="R59" i="37" s="1"/>
  <c r="Q59" i="37" a="1"/>
  <c r="Q59" i="37" s="1"/>
  <c r="P59" i="37" a="1"/>
  <c r="P59" i="37" s="1"/>
  <c r="V58" i="37" a="1"/>
  <c r="V58" i="37" s="1"/>
  <c r="U58" i="37" a="1"/>
  <c r="U58" i="37" s="1"/>
  <c r="T58" i="37" a="1"/>
  <c r="T58" i="37" s="1"/>
  <c r="R58" i="37" a="1"/>
  <c r="R58" i="37" s="1"/>
  <c r="Q58" i="37" a="1"/>
  <c r="Q58" i="37" s="1"/>
  <c r="P58" i="37" a="1"/>
  <c r="P58" i="37" s="1"/>
  <c r="V57" i="37" a="1"/>
  <c r="V57" i="37" s="1"/>
  <c r="U57" i="37" a="1"/>
  <c r="U57" i="37" s="1"/>
  <c r="T57" i="37" a="1"/>
  <c r="T57" i="37" s="1"/>
  <c r="R57" i="37" a="1"/>
  <c r="R57" i="37" s="1"/>
  <c r="Q57" i="37" a="1"/>
  <c r="Q57" i="37" s="1"/>
  <c r="P57" i="37" a="1"/>
  <c r="P57" i="37" s="1"/>
  <c r="V56" i="37" a="1"/>
  <c r="V56" i="37" s="1"/>
  <c r="U56" i="37" a="1"/>
  <c r="U56" i="37" s="1"/>
  <c r="T56" i="37" a="1"/>
  <c r="T56" i="37" s="1"/>
  <c r="R56" i="37" a="1"/>
  <c r="R56" i="37" s="1"/>
  <c r="Q56" i="37" a="1"/>
  <c r="Q56" i="37" s="1"/>
  <c r="P56" i="37" a="1"/>
  <c r="P56" i="37" s="1"/>
  <c r="V55" i="37" a="1"/>
  <c r="V55" i="37" s="1"/>
  <c r="U55" i="37" a="1"/>
  <c r="U55" i="37" s="1"/>
  <c r="T55" i="37" a="1"/>
  <c r="T55" i="37" s="1"/>
  <c r="R55" i="37" a="1"/>
  <c r="R55" i="37" s="1"/>
  <c r="Q55" i="37" a="1"/>
  <c r="Q55" i="37" s="1"/>
  <c r="P55" i="37" a="1"/>
  <c r="P55" i="37" s="1"/>
  <c r="V54" i="37" a="1"/>
  <c r="V54" i="37" s="1"/>
  <c r="U54" i="37" a="1"/>
  <c r="U54" i="37" s="1"/>
  <c r="T54" i="37" a="1"/>
  <c r="T54" i="37" s="1"/>
  <c r="R54" i="37" a="1"/>
  <c r="R54" i="37" s="1"/>
  <c r="Q54" i="37" a="1"/>
  <c r="Q54" i="37" s="1"/>
  <c r="P54" i="37" a="1"/>
  <c r="P54" i="37" s="1"/>
  <c r="V53" i="37" a="1"/>
  <c r="V53" i="37" s="1"/>
  <c r="U53" i="37" a="1"/>
  <c r="U53" i="37" s="1"/>
  <c r="T53" i="37" a="1"/>
  <c r="T53" i="37" s="1"/>
  <c r="R53" i="37" a="1"/>
  <c r="R53" i="37" s="1"/>
  <c r="Q53" i="37" a="1"/>
  <c r="Q53" i="37" s="1"/>
  <c r="P53" i="37" a="1"/>
  <c r="P53" i="37" s="1"/>
  <c r="V52" i="37" a="1"/>
  <c r="V52" i="37" s="1"/>
  <c r="U52" i="37" a="1"/>
  <c r="U52" i="37" s="1"/>
  <c r="T52" i="37" a="1"/>
  <c r="T52" i="37" s="1"/>
  <c r="R52" i="37" a="1"/>
  <c r="R52" i="37" s="1"/>
  <c r="Q52" i="37" a="1"/>
  <c r="Q52" i="37" s="1"/>
  <c r="P52" i="37" a="1"/>
  <c r="P52" i="37" s="1"/>
  <c r="V51" i="37" a="1"/>
  <c r="V51" i="37" s="1"/>
  <c r="U51" i="37" a="1"/>
  <c r="U51" i="37" s="1"/>
  <c r="T51" i="37" a="1"/>
  <c r="T51" i="37" s="1"/>
  <c r="R51" i="37" a="1"/>
  <c r="R51" i="37" s="1"/>
  <c r="Q51" i="37" a="1"/>
  <c r="Q51" i="37" s="1"/>
  <c r="P51" i="37" a="1"/>
  <c r="P51" i="37" s="1"/>
  <c r="V50" i="37" a="1"/>
  <c r="V50" i="37" s="1"/>
  <c r="U50" i="37" a="1"/>
  <c r="U50" i="37" s="1"/>
  <c r="T50" i="37" a="1"/>
  <c r="T50" i="37" s="1"/>
  <c r="R50" i="37" a="1"/>
  <c r="R50" i="37" s="1"/>
  <c r="Q50" i="37" a="1"/>
  <c r="Q50" i="37" s="1"/>
  <c r="P50" i="37" a="1"/>
  <c r="P50" i="37" s="1"/>
  <c r="V49" i="37" a="1"/>
  <c r="V49" i="37" s="1"/>
  <c r="U49" i="37" a="1"/>
  <c r="U49" i="37" s="1"/>
  <c r="T49" i="37" a="1"/>
  <c r="T49" i="37" s="1"/>
  <c r="R49" i="37" a="1"/>
  <c r="R49" i="37" s="1"/>
  <c r="Q49" i="37" a="1"/>
  <c r="Q49" i="37" s="1"/>
  <c r="P49" i="37" a="1"/>
  <c r="P49" i="37" s="1"/>
  <c r="V48" i="37" a="1"/>
  <c r="V48" i="37" s="1"/>
  <c r="U48" i="37" a="1"/>
  <c r="U48" i="37" s="1"/>
  <c r="T48" i="37" a="1"/>
  <c r="T48" i="37" s="1"/>
  <c r="R48" i="37" a="1"/>
  <c r="R48" i="37" s="1"/>
  <c r="Q48" i="37" a="1"/>
  <c r="Q48" i="37" s="1"/>
  <c r="P48" i="37" a="1"/>
  <c r="P48" i="37" s="1"/>
  <c r="V47" i="37" a="1"/>
  <c r="V47" i="37" s="1"/>
  <c r="U47" i="37" a="1"/>
  <c r="U47" i="37" s="1"/>
  <c r="T47" i="37" a="1"/>
  <c r="T47" i="37" s="1"/>
  <c r="R47" i="37" a="1"/>
  <c r="R47" i="37" s="1"/>
  <c r="Q47" i="37" a="1"/>
  <c r="Q47" i="37" s="1"/>
  <c r="P47" i="37" a="1"/>
  <c r="P47" i="37" s="1"/>
  <c r="V46" i="37" a="1"/>
  <c r="V46" i="37" s="1"/>
  <c r="U46" i="37" a="1"/>
  <c r="U46" i="37" s="1"/>
  <c r="T46" i="37" a="1"/>
  <c r="T46" i="37" s="1"/>
  <c r="R46" i="37" a="1"/>
  <c r="R46" i="37" s="1"/>
  <c r="Q46" i="37" a="1"/>
  <c r="Q46" i="37" s="1"/>
  <c r="P46" i="37" a="1"/>
  <c r="P46" i="37" s="1"/>
  <c r="V45" i="37" a="1"/>
  <c r="V45" i="37" s="1"/>
  <c r="U45" i="37" a="1"/>
  <c r="U45" i="37" s="1"/>
  <c r="T45" i="37" a="1"/>
  <c r="T45" i="37" s="1"/>
  <c r="R45" i="37" a="1"/>
  <c r="R45" i="37" s="1"/>
  <c r="Q45" i="37" a="1"/>
  <c r="Q45" i="37" s="1"/>
  <c r="P45" i="37" a="1"/>
  <c r="P45" i="37" s="1"/>
  <c r="V44" i="37" a="1"/>
  <c r="V44" i="37" s="1"/>
  <c r="U44" i="37" a="1"/>
  <c r="U44" i="37" s="1"/>
  <c r="T44" i="37" a="1"/>
  <c r="T44" i="37" s="1"/>
  <c r="R44" i="37" a="1"/>
  <c r="R44" i="37" s="1"/>
  <c r="Q44" i="37" a="1"/>
  <c r="Q44" i="37" s="1"/>
  <c r="P44" i="37" a="1"/>
  <c r="P44" i="37" s="1"/>
  <c r="V43" i="37" a="1"/>
  <c r="V43" i="37" s="1"/>
  <c r="U43" i="37" a="1"/>
  <c r="U43" i="37" s="1"/>
  <c r="T43" i="37" a="1"/>
  <c r="T43" i="37" s="1"/>
  <c r="R43" i="37" a="1"/>
  <c r="R43" i="37" s="1"/>
  <c r="Q43" i="37" a="1"/>
  <c r="Q43" i="37" s="1"/>
  <c r="P43" i="37" a="1"/>
  <c r="P43" i="37" s="1"/>
  <c r="V42" i="37" a="1"/>
  <c r="V42" i="37" s="1"/>
  <c r="U42" i="37" a="1"/>
  <c r="U42" i="37" s="1"/>
  <c r="T42" i="37" a="1"/>
  <c r="T42" i="37" s="1"/>
  <c r="R42" i="37" a="1"/>
  <c r="R42" i="37" s="1"/>
  <c r="Q42" i="37" a="1"/>
  <c r="Q42" i="37" s="1"/>
  <c r="P42" i="37" a="1"/>
  <c r="P42" i="37" s="1"/>
  <c r="V41" i="37" a="1"/>
  <c r="V41" i="37" s="1"/>
  <c r="U41" i="37" a="1"/>
  <c r="U41" i="37" s="1"/>
  <c r="T41" i="37" a="1"/>
  <c r="T41" i="37" s="1"/>
  <c r="R41" i="37" a="1"/>
  <c r="R41" i="37" s="1"/>
  <c r="Q41" i="37" a="1"/>
  <c r="Q41" i="37" s="1"/>
  <c r="P41" i="37" a="1"/>
  <c r="P41" i="37" s="1"/>
  <c r="V40" i="37" a="1"/>
  <c r="V40" i="37" s="1"/>
  <c r="U40" i="37" a="1"/>
  <c r="U40" i="37" s="1"/>
  <c r="T40" i="37" a="1"/>
  <c r="T40" i="37" s="1"/>
  <c r="R40" i="37" a="1"/>
  <c r="R40" i="37" s="1"/>
  <c r="Q40" i="37" a="1"/>
  <c r="Q40" i="37" s="1"/>
  <c r="P40" i="37" a="1"/>
  <c r="P40" i="37" s="1"/>
  <c r="V39" i="37" a="1"/>
  <c r="V39" i="37" s="1"/>
  <c r="U39" i="37" a="1"/>
  <c r="U39" i="37" s="1"/>
  <c r="T39" i="37" a="1"/>
  <c r="T39" i="37" s="1"/>
  <c r="R39" i="37" a="1"/>
  <c r="R39" i="37" s="1"/>
  <c r="Q39" i="37" a="1"/>
  <c r="Q39" i="37" s="1"/>
  <c r="P39" i="37" a="1"/>
  <c r="P39" i="37" s="1"/>
  <c r="V38" i="37" a="1"/>
  <c r="V38" i="37" s="1"/>
  <c r="U38" i="37" a="1"/>
  <c r="U38" i="37" s="1"/>
  <c r="T38" i="37" a="1"/>
  <c r="T38" i="37" s="1"/>
  <c r="R38" i="37" a="1"/>
  <c r="R38" i="37" s="1"/>
  <c r="Q38" i="37" a="1"/>
  <c r="Q38" i="37" s="1"/>
  <c r="P38" i="37" a="1"/>
  <c r="P38" i="37" s="1"/>
  <c r="V37" i="37" a="1"/>
  <c r="V37" i="37" s="1"/>
  <c r="U37" i="37" a="1"/>
  <c r="U37" i="37" s="1"/>
  <c r="T37" i="37" a="1"/>
  <c r="T37" i="37" s="1"/>
  <c r="R37" i="37" a="1"/>
  <c r="R37" i="37" s="1"/>
  <c r="Q37" i="37" a="1"/>
  <c r="Q37" i="37" s="1"/>
  <c r="P37" i="37" a="1"/>
  <c r="P37" i="37" s="1"/>
  <c r="V36" i="37" a="1"/>
  <c r="V36" i="37" s="1"/>
  <c r="U36" i="37" a="1"/>
  <c r="U36" i="37" s="1"/>
  <c r="T36" i="37" a="1"/>
  <c r="T36" i="37" s="1"/>
  <c r="R36" i="37" a="1"/>
  <c r="R36" i="37" s="1"/>
  <c r="Q36" i="37" a="1"/>
  <c r="Q36" i="37" s="1"/>
  <c r="P36" i="37" a="1"/>
  <c r="P36" i="37" s="1"/>
  <c r="V35" i="37" a="1"/>
  <c r="V35" i="37" s="1"/>
  <c r="U35" i="37" a="1"/>
  <c r="U35" i="37" s="1"/>
  <c r="T35" i="37" a="1"/>
  <c r="T35" i="37" s="1"/>
  <c r="R35" i="37" a="1"/>
  <c r="R35" i="37" s="1"/>
  <c r="Q35" i="37" a="1"/>
  <c r="Q35" i="37" s="1"/>
  <c r="P35" i="37" a="1"/>
  <c r="P35" i="37" s="1"/>
  <c r="V34" i="37" a="1"/>
  <c r="V34" i="37" s="1"/>
  <c r="U34" i="37" a="1"/>
  <c r="U34" i="37" s="1"/>
  <c r="T34" i="37" a="1"/>
  <c r="T34" i="37" s="1"/>
  <c r="R34" i="37" a="1"/>
  <c r="R34" i="37" s="1"/>
  <c r="Q34" i="37" a="1"/>
  <c r="Q34" i="37" s="1"/>
  <c r="P34" i="37" a="1"/>
  <c r="P34" i="37" s="1"/>
  <c r="V33" i="37" a="1"/>
  <c r="V33" i="37" s="1"/>
  <c r="U33" i="37" a="1"/>
  <c r="U33" i="37" s="1"/>
  <c r="T33" i="37" a="1"/>
  <c r="T33" i="37" s="1"/>
  <c r="R33" i="37" a="1"/>
  <c r="R33" i="37" s="1"/>
  <c r="Q33" i="37" a="1"/>
  <c r="Q33" i="37" s="1"/>
  <c r="P33" i="37" a="1"/>
  <c r="P33" i="37" s="1"/>
  <c r="V32" i="37" a="1"/>
  <c r="V32" i="37" s="1"/>
  <c r="U32" i="37" a="1"/>
  <c r="U32" i="37" s="1"/>
  <c r="T32" i="37" a="1"/>
  <c r="T32" i="37" s="1"/>
  <c r="R32" i="37" a="1"/>
  <c r="R32" i="37" s="1"/>
  <c r="Q32" i="37" a="1"/>
  <c r="Q32" i="37" s="1"/>
  <c r="P32" i="37" a="1"/>
  <c r="P32" i="37" s="1"/>
  <c r="V31" i="37" a="1"/>
  <c r="V31" i="37" s="1"/>
  <c r="U31" i="37" a="1"/>
  <c r="U31" i="37" s="1"/>
  <c r="T31" i="37" a="1"/>
  <c r="T31" i="37" s="1"/>
  <c r="R31" i="37" a="1"/>
  <c r="R31" i="37" s="1"/>
  <c r="Q31" i="37" a="1"/>
  <c r="Q31" i="37" s="1"/>
  <c r="P31" i="37" a="1"/>
  <c r="P31" i="37" s="1"/>
  <c r="V30" i="37" a="1"/>
  <c r="V30" i="37" s="1"/>
  <c r="U30" i="37" a="1"/>
  <c r="U30" i="37" s="1"/>
  <c r="T30" i="37" a="1"/>
  <c r="T30" i="37" s="1"/>
  <c r="R30" i="37" a="1"/>
  <c r="R30" i="37" s="1"/>
  <c r="Q30" i="37" a="1"/>
  <c r="Q30" i="37" s="1"/>
  <c r="P30" i="37" a="1"/>
  <c r="P30" i="37" s="1"/>
  <c r="V29" i="37" a="1"/>
  <c r="V29" i="37" s="1"/>
  <c r="U29" i="37" a="1"/>
  <c r="U29" i="37" s="1"/>
  <c r="T29" i="37" a="1"/>
  <c r="T29" i="37" s="1"/>
  <c r="R29" i="37" a="1"/>
  <c r="R29" i="37" s="1"/>
  <c r="Q29" i="37" a="1"/>
  <c r="Q29" i="37" s="1"/>
  <c r="P29" i="37" a="1"/>
  <c r="P29" i="37" s="1"/>
  <c r="V28" i="37" a="1"/>
  <c r="V28" i="37" s="1"/>
  <c r="U28" i="37" a="1"/>
  <c r="U28" i="37" s="1"/>
  <c r="T28" i="37" a="1"/>
  <c r="T28" i="37" s="1"/>
  <c r="R28" i="37" a="1"/>
  <c r="R28" i="37" s="1"/>
  <c r="Q28" i="37" a="1"/>
  <c r="Q28" i="37" s="1"/>
  <c r="P28" i="37" a="1"/>
  <c r="P28" i="37" s="1"/>
  <c r="V27" i="37" a="1"/>
  <c r="V27" i="37" s="1"/>
  <c r="U27" i="37" a="1"/>
  <c r="U27" i="37" s="1"/>
  <c r="T27" i="37" a="1"/>
  <c r="T27" i="37" s="1"/>
  <c r="R27" i="37" a="1"/>
  <c r="R27" i="37" s="1"/>
  <c r="Q27" i="37" a="1"/>
  <c r="Q27" i="37" s="1"/>
  <c r="P27" i="37" a="1"/>
  <c r="P27" i="37" s="1"/>
  <c r="V26" i="37" a="1"/>
  <c r="V26" i="37" s="1"/>
  <c r="U26" i="37" a="1"/>
  <c r="U26" i="37" s="1"/>
  <c r="T26" i="37" a="1"/>
  <c r="T26" i="37" s="1"/>
  <c r="R26" i="37" a="1"/>
  <c r="R26" i="37" s="1"/>
  <c r="Q26" i="37" a="1"/>
  <c r="Q26" i="37" s="1"/>
  <c r="P26" i="37" a="1"/>
  <c r="P26" i="37" s="1"/>
  <c r="V25" i="37" a="1"/>
  <c r="V25" i="37" s="1"/>
  <c r="U25" i="37" a="1"/>
  <c r="U25" i="37" s="1"/>
  <c r="T25" i="37" a="1"/>
  <c r="T25" i="37" s="1"/>
  <c r="R25" i="37" a="1"/>
  <c r="R25" i="37" s="1"/>
  <c r="Q25" i="37" a="1"/>
  <c r="Q25" i="37" s="1"/>
  <c r="P25" i="37" a="1"/>
  <c r="P25" i="37" s="1"/>
  <c r="V24" i="37" a="1"/>
  <c r="V24" i="37" s="1"/>
  <c r="U24" i="37" a="1"/>
  <c r="U24" i="37" s="1"/>
  <c r="T24" i="37" a="1"/>
  <c r="T24" i="37" s="1"/>
  <c r="R24" i="37" a="1"/>
  <c r="R24" i="37" s="1"/>
  <c r="Q24" i="37" a="1"/>
  <c r="Q24" i="37" s="1"/>
  <c r="P24" i="37" a="1"/>
  <c r="P24" i="37" s="1"/>
  <c r="V23" i="37" a="1"/>
  <c r="V23" i="37" s="1"/>
  <c r="U23" i="37" a="1"/>
  <c r="U23" i="37" s="1"/>
  <c r="T23" i="37" a="1"/>
  <c r="T23" i="37" s="1"/>
  <c r="R23" i="37" a="1"/>
  <c r="R23" i="37" s="1"/>
  <c r="Q23" i="37" a="1"/>
  <c r="Q23" i="37" s="1"/>
  <c r="P23" i="37" a="1"/>
  <c r="P23" i="37" s="1"/>
  <c r="V22" i="37" a="1"/>
  <c r="V22" i="37" s="1"/>
  <c r="U22" i="37" a="1"/>
  <c r="U22" i="37" s="1"/>
  <c r="T22" i="37" a="1"/>
  <c r="T22" i="37" s="1"/>
  <c r="R22" i="37" a="1"/>
  <c r="R22" i="37" s="1"/>
  <c r="Q22" i="37" a="1"/>
  <c r="Q22" i="37" s="1"/>
  <c r="P22" i="37" a="1"/>
  <c r="P22" i="37" s="1"/>
  <c r="V21" i="37" a="1"/>
  <c r="V21" i="37" s="1"/>
  <c r="U21" i="37" a="1"/>
  <c r="U21" i="37" s="1"/>
  <c r="T21" i="37" a="1"/>
  <c r="T21" i="37" s="1"/>
  <c r="R21" i="37" a="1"/>
  <c r="R21" i="37" s="1"/>
  <c r="Q21" i="37" a="1"/>
  <c r="Q21" i="37" s="1"/>
  <c r="P21" i="37" a="1"/>
  <c r="P21" i="37" s="1"/>
  <c r="V20" i="37" a="1"/>
  <c r="V20" i="37" s="1"/>
  <c r="U20" i="37" a="1"/>
  <c r="U20" i="37" s="1"/>
  <c r="T20" i="37" a="1"/>
  <c r="T20" i="37" s="1"/>
  <c r="R20" i="37" a="1"/>
  <c r="R20" i="37" s="1"/>
  <c r="Q20" i="37" a="1"/>
  <c r="Q20" i="37" s="1"/>
  <c r="P20" i="37" a="1"/>
  <c r="P20" i="37" s="1"/>
  <c r="V19" i="37" a="1"/>
  <c r="V19" i="37" s="1"/>
  <c r="U19" i="37" a="1"/>
  <c r="U19" i="37" s="1"/>
  <c r="T19" i="37" a="1"/>
  <c r="T19" i="37" s="1"/>
  <c r="R19" i="37" a="1"/>
  <c r="R19" i="37" s="1"/>
  <c r="Q19" i="37" a="1"/>
  <c r="Q19" i="37" s="1"/>
  <c r="P19" i="37" a="1"/>
  <c r="P19" i="37" s="1"/>
  <c r="V18" i="37" a="1"/>
  <c r="V18" i="37" s="1"/>
  <c r="U18" i="37" a="1"/>
  <c r="U18" i="37" s="1"/>
  <c r="T18" i="37" a="1"/>
  <c r="T18" i="37" s="1"/>
  <c r="R18" i="37" a="1"/>
  <c r="R18" i="37" s="1"/>
  <c r="Q18" i="37" a="1"/>
  <c r="Q18" i="37" s="1"/>
  <c r="P18" i="37" a="1"/>
  <c r="P18" i="37" s="1"/>
  <c r="V17" i="37" a="1"/>
  <c r="V17" i="37" s="1"/>
  <c r="U17" i="37" a="1"/>
  <c r="U17" i="37" s="1"/>
  <c r="T17" i="37" a="1"/>
  <c r="T17" i="37" s="1"/>
  <c r="R17" i="37" a="1"/>
  <c r="R17" i="37" s="1"/>
  <c r="Q17" i="37" a="1"/>
  <c r="Q17" i="37" s="1"/>
  <c r="P17" i="37" a="1"/>
  <c r="P17" i="37" s="1"/>
  <c r="V16" i="37" a="1"/>
  <c r="V16" i="37" s="1"/>
  <c r="U16" i="37" a="1"/>
  <c r="U16" i="37" s="1"/>
  <c r="T16" i="37" a="1"/>
  <c r="T16" i="37" s="1"/>
  <c r="R16" i="37" a="1"/>
  <c r="R16" i="37" s="1"/>
  <c r="Q16" i="37" a="1"/>
  <c r="Q16" i="37" s="1"/>
  <c r="P16" i="37" a="1"/>
  <c r="P16" i="37" s="1"/>
  <c r="V15" i="37" a="1"/>
  <c r="V15" i="37" s="1"/>
  <c r="U15" i="37" a="1"/>
  <c r="U15" i="37" s="1"/>
  <c r="T15" i="37" a="1"/>
  <c r="T15" i="37" s="1"/>
  <c r="R15" i="37" a="1"/>
  <c r="R15" i="37" s="1"/>
  <c r="Q15" i="37" a="1"/>
  <c r="Q15" i="37" s="1"/>
  <c r="P15" i="37" a="1"/>
  <c r="P15" i="37" s="1"/>
  <c r="V14" i="37" a="1"/>
  <c r="V14" i="37" s="1"/>
  <c r="U14" i="37" a="1"/>
  <c r="U14" i="37" s="1"/>
  <c r="T14" i="37" a="1"/>
  <c r="T14" i="37" s="1"/>
  <c r="R14" i="37" a="1"/>
  <c r="R14" i="37" s="1"/>
  <c r="Q14" i="37" a="1"/>
  <c r="Q14" i="37" s="1"/>
  <c r="P14" i="37" a="1"/>
  <c r="P14" i="37" s="1"/>
  <c r="V13" i="37" a="1"/>
  <c r="V13" i="37" s="1"/>
  <c r="U13" i="37" a="1"/>
  <c r="U13" i="37" s="1"/>
  <c r="T13" i="37" a="1"/>
  <c r="T13" i="37" s="1"/>
  <c r="R13" i="37" a="1"/>
  <c r="R13" i="37" s="1"/>
  <c r="Q13" i="37" a="1"/>
  <c r="Q13" i="37" s="1"/>
  <c r="P13" i="37" a="1"/>
  <c r="P13" i="37" s="1"/>
  <c r="V12" i="37" a="1"/>
  <c r="V12" i="37" s="1"/>
  <c r="U12" i="37" a="1"/>
  <c r="U12" i="37" s="1"/>
  <c r="T12" i="37" a="1"/>
  <c r="T12" i="37" s="1"/>
  <c r="R12" i="37" a="1"/>
  <c r="R12" i="37" s="1"/>
  <c r="Q12" i="37" a="1"/>
  <c r="Q12" i="37" s="1"/>
  <c r="P12" i="37" a="1"/>
  <c r="P12" i="37" s="1"/>
  <c r="V11" i="37" a="1"/>
  <c r="V11" i="37" s="1"/>
  <c r="U11" i="37" a="1"/>
  <c r="U11" i="37" s="1"/>
  <c r="T11" i="37" a="1"/>
  <c r="T11" i="37" s="1"/>
  <c r="R11" i="37" a="1"/>
  <c r="R11" i="37" s="1"/>
  <c r="Q11" i="37" a="1"/>
  <c r="Q11" i="37" s="1"/>
  <c r="P11" i="37" a="1"/>
  <c r="P11" i="37" s="1"/>
  <c r="O60" i="37" a="1"/>
  <c r="O60" i="37" s="1"/>
  <c r="N60" i="37" a="1"/>
  <c r="N60" i="37" s="1"/>
  <c r="M60" i="37" a="1"/>
  <c r="M60" i="37" s="1"/>
  <c r="L60" i="37" a="1"/>
  <c r="L60" i="37" s="1"/>
  <c r="O59" i="37" a="1"/>
  <c r="O59" i="37" s="1"/>
  <c r="N59" i="37" a="1"/>
  <c r="N59" i="37" s="1"/>
  <c r="M59" i="37" a="1"/>
  <c r="M59" i="37" s="1"/>
  <c r="L59" i="37" a="1"/>
  <c r="L59" i="37" s="1"/>
  <c r="O58" i="37" a="1"/>
  <c r="O58" i="37" s="1"/>
  <c r="N58" i="37" a="1"/>
  <c r="N58" i="37" s="1"/>
  <c r="M58" i="37" a="1"/>
  <c r="M58" i="37" s="1"/>
  <c r="L58" i="37" a="1"/>
  <c r="L58" i="37" s="1"/>
  <c r="O57" i="37" a="1"/>
  <c r="O57" i="37" s="1"/>
  <c r="N57" i="37" a="1"/>
  <c r="N57" i="37" s="1"/>
  <c r="M57" i="37" a="1"/>
  <c r="M57" i="37" s="1"/>
  <c r="L57" i="37" a="1"/>
  <c r="L57" i="37" s="1"/>
  <c r="O56" i="37" a="1"/>
  <c r="O56" i="37" s="1"/>
  <c r="N56" i="37" a="1"/>
  <c r="N56" i="37" s="1"/>
  <c r="M56" i="37" a="1"/>
  <c r="M56" i="37" s="1"/>
  <c r="L56" i="37" a="1"/>
  <c r="L56" i="37" s="1"/>
  <c r="O55" i="37" a="1"/>
  <c r="O55" i="37" s="1"/>
  <c r="N55" i="37" a="1"/>
  <c r="N55" i="37" s="1"/>
  <c r="M55" i="37" a="1"/>
  <c r="M55" i="37" s="1"/>
  <c r="L55" i="37" a="1"/>
  <c r="L55" i="37" s="1"/>
  <c r="O54" i="37" a="1"/>
  <c r="O54" i="37" s="1"/>
  <c r="N54" i="37" a="1"/>
  <c r="N54" i="37" s="1"/>
  <c r="M54" i="37" a="1"/>
  <c r="M54" i="37" s="1"/>
  <c r="L54" i="37" a="1"/>
  <c r="L54" i="37" s="1"/>
  <c r="O53" i="37" a="1"/>
  <c r="O53" i="37" s="1"/>
  <c r="N53" i="37" a="1"/>
  <c r="N53" i="37" s="1"/>
  <c r="M53" i="37" a="1"/>
  <c r="M53" i="37" s="1"/>
  <c r="L53" i="37" a="1"/>
  <c r="L53" i="37" s="1"/>
  <c r="O52" i="37" a="1"/>
  <c r="O52" i="37" s="1"/>
  <c r="N52" i="37" a="1"/>
  <c r="N52" i="37" s="1"/>
  <c r="M52" i="37" a="1"/>
  <c r="M52" i="37" s="1"/>
  <c r="L52" i="37" a="1"/>
  <c r="L52" i="37" s="1"/>
  <c r="O51" i="37" a="1"/>
  <c r="O51" i="37" s="1"/>
  <c r="N51" i="37" a="1"/>
  <c r="N51" i="37" s="1"/>
  <c r="M51" i="37" a="1"/>
  <c r="M51" i="37" s="1"/>
  <c r="L51" i="37" a="1"/>
  <c r="L51" i="37" s="1"/>
  <c r="O50" i="37" a="1"/>
  <c r="O50" i="37" s="1"/>
  <c r="N50" i="37" a="1"/>
  <c r="N50" i="37" s="1"/>
  <c r="M50" i="37" a="1"/>
  <c r="M50" i="37" s="1"/>
  <c r="L50" i="37" a="1"/>
  <c r="L50" i="37" s="1"/>
  <c r="O49" i="37" a="1"/>
  <c r="O49" i="37" s="1"/>
  <c r="N49" i="37" a="1"/>
  <c r="N49" i="37" s="1"/>
  <c r="M49" i="37" a="1"/>
  <c r="M49" i="37" s="1"/>
  <c r="L49" i="37" a="1"/>
  <c r="L49" i="37" s="1"/>
  <c r="O48" i="37" a="1"/>
  <c r="O48" i="37" s="1"/>
  <c r="N48" i="37" a="1"/>
  <c r="N48" i="37" s="1"/>
  <c r="M48" i="37" a="1"/>
  <c r="M48" i="37" s="1"/>
  <c r="L48" i="37" a="1"/>
  <c r="L48" i="37" s="1"/>
  <c r="O47" i="37" a="1"/>
  <c r="O47" i="37" s="1"/>
  <c r="N47" i="37" a="1"/>
  <c r="N47" i="37" s="1"/>
  <c r="M47" i="37" a="1"/>
  <c r="M47" i="37" s="1"/>
  <c r="L47" i="37" a="1"/>
  <c r="L47" i="37" s="1"/>
  <c r="O46" i="37" a="1"/>
  <c r="O46" i="37" s="1"/>
  <c r="N46" i="37" a="1"/>
  <c r="N46" i="37" s="1"/>
  <c r="M46" i="37" a="1"/>
  <c r="M46" i="37" s="1"/>
  <c r="L46" i="37" a="1"/>
  <c r="L46" i="37" s="1"/>
  <c r="O45" i="37" a="1"/>
  <c r="O45" i="37" s="1"/>
  <c r="N45" i="37" a="1"/>
  <c r="N45" i="37" s="1"/>
  <c r="M45" i="37" a="1"/>
  <c r="M45" i="37" s="1"/>
  <c r="L45" i="37" a="1"/>
  <c r="L45" i="37" s="1"/>
  <c r="O44" i="37" a="1"/>
  <c r="O44" i="37" s="1"/>
  <c r="N44" i="37" a="1"/>
  <c r="N44" i="37" s="1"/>
  <c r="M44" i="37" a="1"/>
  <c r="M44" i="37" s="1"/>
  <c r="L44" i="37" a="1"/>
  <c r="L44" i="37" s="1"/>
  <c r="O43" i="37" a="1"/>
  <c r="O43" i="37" s="1"/>
  <c r="N43" i="37" a="1"/>
  <c r="N43" i="37" s="1"/>
  <c r="M43" i="37" a="1"/>
  <c r="M43" i="37" s="1"/>
  <c r="L43" i="37" a="1"/>
  <c r="L43" i="37" s="1"/>
  <c r="O42" i="37" a="1"/>
  <c r="O42" i="37" s="1"/>
  <c r="N42" i="37" a="1"/>
  <c r="N42" i="37" s="1"/>
  <c r="M42" i="37" a="1"/>
  <c r="M42" i="37" s="1"/>
  <c r="L42" i="37" a="1"/>
  <c r="L42" i="37" s="1"/>
  <c r="O41" i="37" a="1"/>
  <c r="O41" i="37" s="1"/>
  <c r="N41" i="37" a="1"/>
  <c r="N41" i="37" s="1"/>
  <c r="M41" i="37" a="1"/>
  <c r="M41" i="37" s="1"/>
  <c r="L41" i="37" a="1"/>
  <c r="L41" i="37" s="1"/>
  <c r="O40" i="37" a="1"/>
  <c r="O40" i="37" s="1"/>
  <c r="N40" i="37" a="1"/>
  <c r="N40" i="37" s="1"/>
  <c r="M40" i="37" a="1"/>
  <c r="M40" i="37" s="1"/>
  <c r="L40" i="37" a="1"/>
  <c r="L40" i="37" s="1"/>
  <c r="O39" i="37" a="1"/>
  <c r="O39" i="37" s="1"/>
  <c r="N39" i="37" a="1"/>
  <c r="N39" i="37" s="1"/>
  <c r="M39" i="37" a="1"/>
  <c r="M39" i="37" s="1"/>
  <c r="L39" i="37" a="1"/>
  <c r="L39" i="37" s="1"/>
  <c r="O38" i="37" a="1"/>
  <c r="O38" i="37" s="1"/>
  <c r="N38" i="37" a="1"/>
  <c r="N38" i="37" s="1"/>
  <c r="M38" i="37" a="1"/>
  <c r="M38" i="37" s="1"/>
  <c r="L38" i="37" a="1"/>
  <c r="L38" i="37" s="1"/>
  <c r="O37" i="37" a="1"/>
  <c r="O37" i="37" s="1"/>
  <c r="N37" i="37" a="1"/>
  <c r="N37" i="37" s="1"/>
  <c r="M37" i="37" a="1"/>
  <c r="M37" i="37" s="1"/>
  <c r="L37" i="37" a="1"/>
  <c r="L37" i="37" s="1"/>
  <c r="O36" i="37" a="1"/>
  <c r="O36" i="37" s="1"/>
  <c r="N36" i="37" a="1"/>
  <c r="N36" i="37" s="1"/>
  <c r="M36" i="37" a="1"/>
  <c r="M36" i="37" s="1"/>
  <c r="L36" i="37" a="1"/>
  <c r="L36" i="37" s="1"/>
  <c r="O35" i="37" a="1"/>
  <c r="O35" i="37" s="1"/>
  <c r="N35" i="37" a="1"/>
  <c r="N35" i="37" s="1"/>
  <c r="M35" i="37" a="1"/>
  <c r="M35" i="37" s="1"/>
  <c r="L35" i="37" a="1"/>
  <c r="L35" i="37" s="1"/>
  <c r="O34" i="37" a="1"/>
  <c r="O34" i="37" s="1"/>
  <c r="N34" i="37" a="1"/>
  <c r="N34" i="37" s="1"/>
  <c r="M34" i="37" a="1"/>
  <c r="M34" i="37" s="1"/>
  <c r="L34" i="37" a="1"/>
  <c r="L34" i="37" s="1"/>
  <c r="O33" i="37" a="1"/>
  <c r="O33" i="37" s="1"/>
  <c r="N33" i="37" a="1"/>
  <c r="N33" i="37" s="1"/>
  <c r="M33" i="37" a="1"/>
  <c r="M33" i="37" s="1"/>
  <c r="L33" i="37" a="1"/>
  <c r="L33" i="37" s="1"/>
  <c r="O32" i="37" a="1"/>
  <c r="O32" i="37" s="1"/>
  <c r="N32" i="37" a="1"/>
  <c r="N32" i="37" s="1"/>
  <c r="M32" i="37" a="1"/>
  <c r="M32" i="37" s="1"/>
  <c r="L32" i="37" a="1"/>
  <c r="L32" i="37" s="1"/>
  <c r="O31" i="37" a="1"/>
  <c r="O31" i="37" s="1"/>
  <c r="N31" i="37" a="1"/>
  <c r="N31" i="37" s="1"/>
  <c r="M31" i="37" a="1"/>
  <c r="M31" i="37" s="1"/>
  <c r="L31" i="37" a="1"/>
  <c r="L31" i="37" s="1"/>
  <c r="O30" i="37" a="1"/>
  <c r="O30" i="37" s="1"/>
  <c r="N30" i="37" a="1"/>
  <c r="N30" i="37" s="1"/>
  <c r="M30" i="37" a="1"/>
  <c r="M30" i="37" s="1"/>
  <c r="L30" i="37" a="1"/>
  <c r="L30" i="37" s="1"/>
  <c r="O29" i="37" a="1"/>
  <c r="O29" i="37" s="1"/>
  <c r="N29" i="37" a="1"/>
  <c r="N29" i="37" s="1"/>
  <c r="M29" i="37" a="1"/>
  <c r="M29" i="37" s="1"/>
  <c r="L29" i="37" a="1"/>
  <c r="L29" i="37" s="1"/>
  <c r="O28" i="37" a="1"/>
  <c r="O28" i="37" s="1"/>
  <c r="N28" i="37" a="1"/>
  <c r="N28" i="37" s="1"/>
  <c r="M28" i="37" a="1"/>
  <c r="M28" i="37" s="1"/>
  <c r="L28" i="37" a="1"/>
  <c r="L28" i="37" s="1"/>
  <c r="O27" i="37" a="1"/>
  <c r="O27" i="37" s="1"/>
  <c r="N27" i="37" a="1"/>
  <c r="N27" i="37" s="1"/>
  <c r="M27" i="37" a="1"/>
  <c r="M27" i="37" s="1"/>
  <c r="L27" i="37" a="1"/>
  <c r="L27" i="37" s="1"/>
  <c r="O26" i="37" a="1"/>
  <c r="O26" i="37" s="1"/>
  <c r="N26" i="37" a="1"/>
  <c r="N26" i="37" s="1"/>
  <c r="M26" i="37" a="1"/>
  <c r="M26" i="37" s="1"/>
  <c r="L26" i="37" a="1"/>
  <c r="L26" i="37" s="1"/>
  <c r="O25" i="37" a="1"/>
  <c r="O25" i="37" s="1"/>
  <c r="N25" i="37" a="1"/>
  <c r="N25" i="37" s="1"/>
  <c r="M25" i="37" a="1"/>
  <c r="M25" i="37" s="1"/>
  <c r="L25" i="37" a="1"/>
  <c r="L25" i="37" s="1"/>
  <c r="O24" i="37" a="1"/>
  <c r="O24" i="37" s="1"/>
  <c r="N24" i="37" a="1"/>
  <c r="N24" i="37" s="1"/>
  <c r="M24" i="37" a="1"/>
  <c r="M24" i="37" s="1"/>
  <c r="L24" i="37" a="1"/>
  <c r="L24" i="37" s="1"/>
  <c r="O23" i="37" a="1"/>
  <c r="O23" i="37" s="1"/>
  <c r="N23" i="37" a="1"/>
  <c r="N23" i="37" s="1"/>
  <c r="M23" i="37" a="1"/>
  <c r="M23" i="37" s="1"/>
  <c r="L23" i="37" a="1"/>
  <c r="L23" i="37" s="1"/>
  <c r="O22" i="37" a="1"/>
  <c r="O22" i="37" s="1"/>
  <c r="N22" i="37" a="1"/>
  <c r="N22" i="37" s="1"/>
  <c r="M22" i="37" a="1"/>
  <c r="M22" i="37" s="1"/>
  <c r="L22" i="37" a="1"/>
  <c r="L22" i="37" s="1"/>
  <c r="O21" i="37" a="1"/>
  <c r="O21" i="37" s="1"/>
  <c r="N21" i="37" a="1"/>
  <c r="N21" i="37" s="1"/>
  <c r="M21" i="37" a="1"/>
  <c r="M21" i="37" s="1"/>
  <c r="L21" i="37" a="1"/>
  <c r="L21" i="37" s="1"/>
  <c r="O20" i="37" a="1"/>
  <c r="O20" i="37" s="1"/>
  <c r="N20" i="37" a="1"/>
  <c r="N20" i="37" s="1"/>
  <c r="M20" i="37" a="1"/>
  <c r="M20" i="37" s="1"/>
  <c r="L20" i="37" a="1"/>
  <c r="L20" i="37" s="1"/>
  <c r="O19" i="37" a="1"/>
  <c r="O19" i="37" s="1"/>
  <c r="N19" i="37" a="1"/>
  <c r="N19" i="37" s="1"/>
  <c r="M19" i="37" a="1"/>
  <c r="M19" i="37" s="1"/>
  <c r="L19" i="37" a="1"/>
  <c r="L19" i="37" s="1"/>
  <c r="O18" i="37" a="1"/>
  <c r="O18" i="37" s="1"/>
  <c r="N18" i="37" a="1"/>
  <c r="N18" i="37" s="1"/>
  <c r="M18" i="37" a="1"/>
  <c r="M18" i="37" s="1"/>
  <c r="L18" i="37" a="1"/>
  <c r="L18" i="37" s="1"/>
  <c r="O17" i="37" a="1"/>
  <c r="O17" i="37" s="1"/>
  <c r="N17" i="37" a="1"/>
  <c r="N17" i="37" s="1"/>
  <c r="M17" i="37" a="1"/>
  <c r="M17" i="37" s="1"/>
  <c r="L17" i="37" a="1"/>
  <c r="L17" i="37" s="1"/>
  <c r="O16" i="37" a="1"/>
  <c r="O16" i="37" s="1"/>
  <c r="N16" i="37" a="1"/>
  <c r="N16" i="37" s="1"/>
  <c r="M16" i="37" a="1"/>
  <c r="M16" i="37" s="1"/>
  <c r="L16" i="37" a="1"/>
  <c r="L16" i="37" s="1"/>
  <c r="O15" i="37" a="1"/>
  <c r="O15" i="37" s="1"/>
  <c r="N15" i="37" a="1"/>
  <c r="N15" i="37" s="1"/>
  <c r="M15" i="37" a="1"/>
  <c r="M15" i="37" s="1"/>
  <c r="O14" i="37" a="1"/>
  <c r="O14" i="37" s="1"/>
  <c r="N14" i="37" a="1"/>
  <c r="N14" i="37" s="1"/>
  <c r="M14" i="37" a="1"/>
  <c r="M14" i="37" s="1"/>
  <c r="L14" i="37" a="1"/>
  <c r="L14" i="37" s="1"/>
  <c r="O13" i="37" a="1"/>
  <c r="O13" i="37" s="1"/>
  <c r="N13" i="37" a="1"/>
  <c r="N13" i="37" s="1"/>
  <c r="M13" i="37" a="1"/>
  <c r="M13" i="37" s="1"/>
  <c r="L13" i="37" a="1"/>
  <c r="L13" i="37" s="1"/>
  <c r="O12" i="37" a="1"/>
  <c r="O12" i="37" s="1"/>
  <c r="N12" i="37" a="1"/>
  <c r="N12" i="37" s="1"/>
  <c r="M12" i="37" a="1"/>
  <c r="M12" i="37" s="1"/>
  <c r="L12" i="37" a="1"/>
  <c r="L12" i="37" s="1"/>
  <c r="O11" i="37" a="1"/>
  <c r="O11" i="37" s="1"/>
  <c r="N11" i="37" a="1"/>
  <c r="N11" i="37" s="1"/>
  <c r="M11" i="37" a="1"/>
  <c r="M11" i="37" s="1"/>
  <c r="B4" i="37" s="1"/>
  <c r="L11" i="37" a="1"/>
  <c r="L11" i="37" s="1"/>
  <c r="B6" i="37" s="1"/>
  <c r="V10" i="37" a="1"/>
  <c r="V10" i="37" s="1"/>
  <c r="U10" i="37" a="1"/>
  <c r="U10" i="37" s="1"/>
  <c r="T10" i="37" a="1"/>
  <c r="T10" i="37" s="1"/>
  <c r="R10" i="37" a="1"/>
  <c r="R10" i="37" s="1"/>
  <c r="Q10" i="37" a="1"/>
  <c r="Q10" i="37" s="1"/>
  <c r="P10" i="37" a="1"/>
  <c r="P10" i="37" s="1"/>
  <c r="O10" i="37" a="1"/>
  <c r="O10" i="37" s="1"/>
  <c r="N10" i="37" a="1"/>
  <c r="N10" i="37" s="1"/>
  <c r="M10" i="37" a="1"/>
  <c r="M10" i="37" s="1"/>
  <c r="G29" i="37" l="1"/>
  <c r="S58" i="37"/>
  <c r="S60" i="37"/>
  <c r="S57" i="37"/>
  <c r="S59" i="37"/>
  <c r="S45" i="37"/>
  <c r="S46" i="37"/>
  <c r="S47" i="37"/>
  <c r="S48" i="37"/>
  <c r="S49" i="37"/>
  <c r="S50" i="37"/>
  <c r="S51" i="37"/>
  <c r="S52" i="37"/>
  <c r="S53" i="37"/>
  <c r="S54" i="37"/>
  <c r="S55" i="37"/>
  <c r="S56" i="37"/>
  <c r="S36" i="37"/>
  <c r="S37" i="37"/>
  <c r="S38" i="37"/>
  <c r="S39" i="37"/>
  <c r="S40" i="37"/>
  <c r="S41" i="37"/>
  <c r="S42" i="37"/>
  <c r="S43" i="37"/>
  <c r="S44" i="37"/>
  <c r="S26" i="37"/>
  <c r="S27" i="37"/>
  <c r="S28" i="37"/>
  <c r="S29" i="37"/>
  <c r="S30" i="37"/>
  <c r="S31" i="37"/>
  <c r="S32" i="37"/>
  <c r="S33" i="37"/>
  <c r="S34" i="37"/>
  <c r="S35" i="37"/>
  <c r="S15" i="37"/>
  <c r="S16" i="37"/>
  <c r="S17" i="37"/>
  <c r="S18" i="37"/>
  <c r="S19" i="37"/>
  <c r="S20" i="37"/>
  <c r="S21" i="37"/>
  <c r="S22" i="37"/>
  <c r="S23" i="37"/>
  <c r="S24" i="37"/>
  <c r="S25" i="37"/>
  <c r="B2" i="37"/>
  <c r="D21" i="37"/>
  <c r="D19" i="37"/>
  <c r="S12" i="37"/>
  <c r="S11" i="37"/>
  <c r="S14" i="37"/>
  <c r="S13" i="37"/>
  <c r="I13" i="48" l="1"/>
  <c r="AD1" i="31" l="1"/>
  <c r="CS110" i="37" l="1"/>
  <c r="CS109" i="37"/>
  <c r="CS108" i="37"/>
  <c r="CS107" i="37"/>
  <c r="CS106" i="37"/>
  <c r="CS105" i="37"/>
  <c r="CS104" i="37"/>
  <c r="CS103" i="37"/>
  <c r="CS102" i="37"/>
  <c r="CS101" i="37"/>
  <c r="CS100" i="37"/>
  <c r="CS99" i="37"/>
  <c r="CS98" i="37"/>
  <c r="CS97" i="37"/>
  <c r="CS96" i="37"/>
  <c r="CS95" i="37"/>
  <c r="CS94" i="37"/>
  <c r="CS93" i="37"/>
  <c r="CS92" i="37"/>
  <c r="CS91" i="37"/>
  <c r="CS90" i="37"/>
  <c r="CS89" i="37"/>
  <c r="CS88" i="37"/>
  <c r="CS87" i="37"/>
  <c r="CS86" i="37"/>
  <c r="CS85" i="37"/>
  <c r="CS84" i="37"/>
  <c r="CS83" i="37"/>
  <c r="CS82" i="37"/>
  <c r="CS81" i="37"/>
  <c r="CS80" i="37"/>
  <c r="CS79" i="37"/>
  <c r="CS78" i="37"/>
  <c r="CS77" i="37"/>
  <c r="CS76" i="37"/>
  <c r="CS75" i="37"/>
  <c r="CS74" i="37"/>
  <c r="CS73" i="37"/>
  <c r="CS72" i="37"/>
  <c r="CS71" i="37"/>
  <c r="CS70" i="37"/>
  <c r="CS69" i="37"/>
  <c r="CS68" i="37"/>
  <c r="CS67" i="37"/>
  <c r="CS66" i="37"/>
  <c r="CS65" i="37"/>
  <c r="CS64" i="37"/>
  <c r="CS63" i="37"/>
  <c r="CS62" i="37"/>
  <c r="CS61" i="37"/>
  <c r="CS60" i="37"/>
  <c r="CS59" i="37"/>
  <c r="CS58" i="37"/>
  <c r="CS57" i="37"/>
  <c r="CS56" i="37"/>
  <c r="CS55" i="37"/>
  <c r="CS54" i="37"/>
  <c r="CS53" i="37"/>
  <c r="CS52" i="37"/>
  <c r="CS51" i="37"/>
  <c r="CS50" i="37"/>
  <c r="CS49" i="37"/>
  <c r="CS48" i="37"/>
  <c r="CS47" i="37"/>
  <c r="CS46" i="37"/>
  <c r="CS45" i="37"/>
  <c r="CS44" i="37"/>
  <c r="CS43" i="37"/>
  <c r="CS42" i="37"/>
  <c r="CS41" i="37"/>
  <c r="CS40" i="37"/>
  <c r="CS39" i="37"/>
  <c r="CS38" i="37"/>
  <c r="CS37" i="37"/>
  <c r="CS36" i="37"/>
  <c r="CS33" i="37"/>
  <c r="CS34" i="37"/>
  <c r="CS35" i="37"/>
  <c r="CS21" i="37"/>
  <c r="CS20" i="37"/>
  <c r="CS19" i="37"/>
  <c r="CS18" i="37"/>
  <c r="CS17" i="37"/>
  <c r="CS16" i="37"/>
  <c r="CS15" i="37"/>
  <c r="CS14" i="37"/>
  <c r="CS30" i="37"/>
  <c r="CS29" i="37"/>
  <c r="CS28" i="37"/>
  <c r="CS27" i="37"/>
  <c r="CS26" i="37"/>
  <c r="CS25" i="37"/>
  <c r="CS24" i="37"/>
  <c r="CS11" i="37"/>
  <c r="CS10" i="37"/>
  <c r="CS13" i="37"/>
  <c r="CS22" i="37"/>
  <c r="CS12" i="37"/>
  <c r="CS23" i="37"/>
  <c r="CR109" i="37" l="1"/>
  <c r="CR108" i="37"/>
  <c r="CR107" i="37"/>
  <c r="CR106" i="37"/>
  <c r="CR105" i="37"/>
  <c r="CR104" i="37"/>
  <c r="CR103" i="37"/>
  <c r="CR102" i="37"/>
  <c r="CR101" i="37"/>
  <c r="CR100" i="37"/>
  <c r="CR99" i="37"/>
  <c r="CR98" i="37"/>
  <c r="CR97" i="37"/>
  <c r="CR96" i="37"/>
  <c r="CR95" i="37"/>
  <c r="CR94" i="37"/>
  <c r="CR93" i="37"/>
  <c r="CR92" i="37"/>
  <c r="CR91" i="37"/>
  <c r="CR90" i="37"/>
  <c r="CR89" i="37"/>
  <c r="CR88" i="37"/>
  <c r="CR87" i="37"/>
  <c r="CR86" i="37"/>
  <c r="CR85" i="37"/>
  <c r="CR84" i="37"/>
  <c r="CR83" i="37"/>
  <c r="CR82" i="37"/>
  <c r="CR81" i="37"/>
  <c r="CR80" i="37"/>
  <c r="CR79" i="37"/>
  <c r="CR78" i="37"/>
  <c r="CR77" i="37"/>
  <c r="CR76" i="37"/>
  <c r="CR75" i="37"/>
  <c r="CR74" i="37"/>
  <c r="CR73" i="37"/>
  <c r="CR72" i="37"/>
  <c r="CR71" i="37"/>
  <c r="CR70" i="37"/>
  <c r="CR69" i="37"/>
  <c r="CR68" i="37"/>
  <c r="CR67" i="37"/>
  <c r="CR66" i="37"/>
  <c r="CR65" i="37"/>
  <c r="CR64" i="37"/>
  <c r="CR63" i="37"/>
  <c r="CR62" i="37"/>
  <c r="CR61" i="37"/>
  <c r="CR60" i="37"/>
  <c r="CR59" i="37"/>
  <c r="CR58" i="37"/>
  <c r="CR57" i="37"/>
  <c r="CR56" i="37"/>
  <c r="CR55" i="37"/>
  <c r="CR54" i="37"/>
  <c r="CR53" i="37"/>
  <c r="CR52" i="37"/>
  <c r="CR51" i="37"/>
  <c r="CR50" i="37"/>
  <c r="CR49" i="37"/>
  <c r="CR48" i="37"/>
  <c r="CR47" i="37"/>
  <c r="CR46" i="37"/>
  <c r="CR45" i="37"/>
  <c r="CR44" i="37"/>
  <c r="CR43" i="37"/>
  <c r="CR42" i="37"/>
  <c r="CR41" i="37"/>
  <c r="CR40" i="37"/>
  <c r="CR39" i="37"/>
  <c r="CR38" i="37"/>
  <c r="F54" i="44" l="1"/>
  <c r="D27" i="37" l="1"/>
  <c r="D26" i="37"/>
  <c r="D24" i="37"/>
  <c r="D25" i="37"/>
  <c r="S10" i="37"/>
  <c r="DA110" i="37" l="1"/>
  <c r="DA109" i="37"/>
  <c r="DA108" i="37"/>
  <c r="DA107" i="37"/>
  <c r="DA106" i="37"/>
  <c r="DA105" i="37"/>
  <c r="DA104" i="37"/>
  <c r="DA103" i="37"/>
  <c r="DA102" i="37"/>
  <c r="DA101" i="37"/>
  <c r="DA100" i="37"/>
  <c r="DA99" i="37"/>
  <c r="DA98" i="37"/>
  <c r="DA97" i="37"/>
  <c r="DA96" i="37"/>
  <c r="DA95" i="37"/>
  <c r="DA94" i="37"/>
  <c r="DA93" i="37"/>
  <c r="DA92" i="37"/>
  <c r="DA91" i="37"/>
  <c r="DA90" i="37"/>
  <c r="DA89" i="37"/>
  <c r="DA88" i="37"/>
  <c r="DA87" i="37"/>
  <c r="DA86" i="37"/>
  <c r="DA85" i="37"/>
  <c r="DA84" i="37"/>
  <c r="DA83" i="37"/>
  <c r="DA82" i="37"/>
  <c r="DA81" i="37"/>
  <c r="DA80" i="37"/>
  <c r="DA79" i="37"/>
  <c r="DA78" i="37"/>
  <c r="DA77" i="37"/>
  <c r="DA76" i="37"/>
  <c r="DA75" i="37"/>
  <c r="DA74" i="37"/>
  <c r="DA73" i="37"/>
  <c r="DA72" i="37"/>
  <c r="DA71" i="37"/>
  <c r="DA70" i="37"/>
  <c r="DA69" i="37"/>
  <c r="DA68" i="37"/>
  <c r="DA67" i="37"/>
  <c r="DA66" i="37"/>
  <c r="DA65" i="37"/>
  <c r="DA64" i="37"/>
  <c r="DA63" i="37"/>
  <c r="DA62" i="37"/>
  <c r="DA61" i="37"/>
  <c r="DA60" i="37"/>
  <c r="DA59" i="37"/>
  <c r="DA58" i="37"/>
  <c r="DA57" i="37"/>
  <c r="DA56" i="37"/>
  <c r="DA55" i="37"/>
  <c r="DA54" i="37"/>
  <c r="DA53" i="37"/>
  <c r="DA52" i="37"/>
  <c r="DA51" i="37"/>
  <c r="DA50" i="37"/>
  <c r="DA49" i="37"/>
  <c r="DA48" i="37"/>
  <c r="DA47" i="37"/>
  <c r="DA46" i="37"/>
  <c r="DA45" i="37"/>
  <c r="DA44" i="37"/>
  <c r="DA43" i="37"/>
  <c r="DA42" i="37"/>
  <c r="DA40" i="37"/>
  <c r="DA39" i="37"/>
  <c r="DA38" i="37"/>
  <c r="DA37" i="37"/>
  <c r="DA36" i="37"/>
  <c r="DA35" i="37"/>
  <c r="DA34" i="37"/>
  <c r="DA33" i="37"/>
  <c r="DA32" i="37"/>
  <c r="DA31" i="37"/>
  <c r="DA30" i="37"/>
  <c r="DA29" i="37"/>
  <c r="DA28" i="37"/>
  <c r="DA27" i="37"/>
  <c r="DA26" i="37"/>
  <c r="DA25" i="37"/>
  <c r="DA24" i="37"/>
  <c r="DA23" i="37"/>
  <c r="DA22" i="37"/>
  <c r="DA21" i="37"/>
  <c r="DA20" i="37"/>
  <c r="DA19" i="37"/>
  <c r="DA18" i="37"/>
  <c r="DA17" i="37"/>
  <c r="DA16" i="37"/>
  <c r="DA15" i="37"/>
  <c r="DA14" i="37"/>
  <c r="DA13" i="37"/>
  <c r="DA12" i="37"/>
  <c r="DA11" i="37"/>
  <c r="I52" i="30" l="1"/>
  <c r="J52" i="30"/>
  <c r="K52" i="30"/>
  <c r="L52" i="30"/>
  <c r="M52" i="30"/>
  <c r="N52" i="30"/>
  <c r="CW16" i="37" l="1"/>
  <c r="CW13" i="37" l="1"/>
  <c r="CW12" i="37"/>
  <c r="CW11" i="37"/>
  <c r="CW10" i="37"/>
  <c r="C58" i="51" l="1"/>
  <c r="C112" i="51" s="1"/>
  <c r="D86" i="48" s="1"/>
  <c r="A58" i="51"/>
  <c r="A112" i="51" s="1"/>
  <c r="CY24" i="37" l="1"/>
  <c r="CR110" i="37" l="1"/>
  <c r="G20" i="37" l="1"/>
  <c r="G24" i="37"/>
  <c r="G28" i="37"/>
  <c r="G12" i="37"/>
  <c r="G22" i="37"/>
  <c r="G26" i="37"/>
  <c r="G18" i="37"/>
  <c r="G14" i="37"/>
  <c r="G23" i="37"/>
  <c r="G27" i="37"/>
  <c r="B7" i="37"/>
  <c r="Z1" i="30"/>
  <c r="G10" i="37" l="1"/>
  <c r="AV1" i="35" l="1"/>
  <c r="C69" i="49" l="1"/>
  <c r="F69" i="49" s="1"/>
  <c r="H71" i="49" s="1"/>
  <c r="A69" i="49"/>
  <c r="F124" i="49"/>
  <c r="H126" i="49" s="1"/>
  <c r="I110" i="49" a="1"/>
  <c r="I110" i="49" s="1"/>
  <c r="H110" i="49" a="1"/>
  <c r="H110" i="49" s="1"/>
  <c r="G110" i="49" a="1"/>
  <c r="G110" i="49" s="1"/>
  <c r="B110" i="49" a="1"/>
  <c r="B110" i="49" s="1"/>
  <c r="A110" i="49" a="1"/>
  <c r="A110" i="49" s="1"/>
  <c r="I109" i="49" a="1"/>
  <c r="I109" i="49" s="1"/>
  <c r="H109" i="49" a="1"/>
  <c r="H109" i="49" s="1"/>
  <c r="G109" i="49" a="1"/>
  <c r="G109" i="49" s="1"/>
  <c r="B109" i="49" a="1"/>
  <c r="B109" i="49" s="1"/>
  <c r="A109" i="49" a="1"/>
  <c r="A109" i="49" s="1"/>
  <c r="I108" i="49" a="1"/>
  <c r="I108" i="49" s="1"/>
  <c r="H108" i="49" a="1"/>
  <c r="H108" i="49" s="1"/>
  <c r="G108" i="49" a="1"/>
  <c r="G108" i="49" s="1"/>
  <c r="B108" i="49" a="1"/>
  <c r="B108" i="49" s="1"/>
  <c r="A108" i="49" a="1"/>
  <c r="A108" i="49" s="1"/>
  <c r="I107" i="49" a="1"/>
  <c r="I107" i="49" s="1"/>
  <c r="H107" i="49" a="1"/>
  <c r="H107" i="49" s="1"/>
  <c r="G107" i="49" a="1"/>
  <c r="G107" i="49" s="1"/>
  <c r="B107" i="49" a="1"/>
  <c r="B107" i="49" s="1"/>
  <c r="A107" i="49" a="1"/>
  <c r="A107" i="49" s="1"/>
  <c r="I106" i="49" a="1"/>
  <c r="I106" i="49" s="1"/>
  <c r="H106" i="49" a="1"/>
  <c r="H106" i="49" s="1"/>
  <c r="G106" i="49" a="1"/>
  <c r="G106" i="49" s="1"/>
  <c r="B106" i="49" a="1"/>
  <c r="B106" i="49" s="1"/>
  <c r="A106" i="49" a="1"/>
  <c r="A106" i="49" s="1"/>
  <c r="I105" i="49" a="1"/>
  <c r="I105" i="49" s="1"/>
  <c r="H105" i="49" a="1"/>
  <c r="H105" i="49" s="1"/>
  <c r="G105" i="49" a="1"/>
  <c r="G105" i="49" s="1"/>
  <c r="B105" i="49" a="1"/>
  <c r="B105" i="49" s="1"/>
  <c r="A105" i="49" a="1"/>
  <c r="A105" i="49" s="1"/>
  <c r="I104" i="49" a="1"/>
  <c r="I104" i="49" s="1"/>
  <c r="H104" i="49" a="1"/>
  <c r="H104" i="49" s="1"/>
  <c r="G104" i="49" a="1"/>
  <c r="G104" i="49" s="1"/>
  <c r="B104" i="49" a="1"/>
  <c r="B104" i="49" s="1"/>
  <c r="A104" i="49" a="1"/>
  <c r="A104" i="49" s="1"/>
  <c r="I103" i="49" a="1"/>
  <c r="I103" i="49" s="1"/>
  <c r="H103" i="49" a="1"/>
  <c r="H103" i="49" s="1"/>
  <c r="G103" i="49" a="1"/>
  <c r="G103" i="49" s="1"/>
  <c r="A103" i="49" a="1"/>
  <c r="A103" i="49" s="1"/>
  <c r="F103" i="49" s="1"/>
  <c r="I102" i="49" a="1"/>
  <c r="I102" i="49" s="1"/>
  <c r="H102" i="49" a="1"/>
  <c r="H102" i="49" s="1"/>
  <c r="G102" i="49" a="1"/>
  <c r="G102" i="49" s="1"/>
  <c r="B102" i="49" a="1"/>
  <c r="B102" i="49" s="1"/>
  <c r="A102" i="49" a="1"/>
  <c r="A102" i="49" s="1"/>
  <c r="I101" i="49" a="1"/>
  <c r="I101" i="49" s="1"/>
  <c r="H101" i="49" a="1"/>
  <c r="H101" i="49" s="1"/>
  <c r="G101" i="49" a="1"/>
  <c r="G101" i="49" s="1"/>
  <c r="B101" i="49" a="1"/>
  <c r="B101" i="49" s="1"/>
  <c r="A101" i="49" a="1"/>
  <c r="A101" i="49" s="1"/>
  <c r="F101" i="49" s="1"/>
  <c r="I100" i="49" a="1"/>
  <c r="I100" i="49" s="1"/>
  <c r="H100" i="49" a="1"/>
  <c r="H100" i="49" s="1"/>
  <c r="G100" i="49" a="1"/>
  <c r="G100" i="49" s="1"/>
  <c r="B100" i="49" a="1"/>
  <c r="B100" i="49" s="1"/>
  <c r="A100" i="49" a="1"/>
  <c r="A100" i="49" s="1"/>
  <c r="I99" i="49" a="1"/>
  <c r="I99" i="49" s="1"/>
  <c r="H99" i="49" a="1"/>
  <c r="H99" i="49" s="1"/>
  <c r="G99" i="49" a="1"/>
  <c r="G99" i="49" s="1"/>
  <c r="B99" i="49" a="1"/>
  <c r="B99" i="49" s="1"/>
  <c r="A99" i="49" a="1"/>
  <c r="A99" i="49" s="1"/>
  <c r="I98" i="49" a="1"/>
  <c r="I98" i="49" s="1"/>
  <c r="H98" i="49" a="1"/>
  <c r="H98" i="49" s="1"/>
  <c r="G98" i="49" a="1"/>
  <c r="G98" i="49" s="1"/>
  <c r="B98" i="49" a="1"/>
  <c r="B98" i="49" s="1"/>
  <c r="A98" i="49" a="1"/>
  <c r="A98" i="49" s="1"/>
  <c r="I97" i="49" a="1"/>
  <c r="I97" i="49" s="1"/>
  <c r="H97" i="49" a="1"/>
  <c r="H97" i="49" s="1"/>
  <c r="G97" i="49" a="1"/>
  <c r="G97" i="49" s="1"/>
  <c r="B97" i="49" a="1"/>
  <c r="B97" i="49" s="1"/>
  <c r="A97" i="49" a="1"/>
  <c r="A97" i="49" s="1"/>
  <c r="I96" i="49" a="1"/>
  <c r="I96" i="49" s="1"/>
  <c r="H96" i="49" a="1"/>
  <c r="H96" i="49" s="1"/>
  <c r="G96" i="49" a="1"/>
  <c r="G96" i="49" s="1"/>
  <c r="B96" i="49" a="1"/>
  <c r="B96" i="49" s="1"/>
  <c r="A96" i="49" a="1"/>
  <c r="A96" i="49" s="1"/>
  <c r="I95" i="49" a="1"/>
  <c r="I95" i="49" s="1"/>
  <c r="H95" i="49" a="1"/>
  <c r="H95" i="49" s="1"/>
  <c r="G95" i="49" a="1"/>
  <c r="G95" i="49" s="1"/>
  <c r="B95" i="49" a="1"/>
  <c r="B95" i="49" s="1"/>
  <c r="A95" i="49" a="1"/>
  <c r="A95" i="49" s="1"/>
  <c r="I94" i="49" a="1"/>
  <c r="I94" i="49" s="1"/>
  <c r="H94" i="49" a="1"/>
  <c r="H94" i="49" s="1"/>
  <c r="G94" i="49" a="1"/>
  <c r="G94" i="49" s="1"/>
  <c r="B94" i="49" a="1"/>
  <c r="B94" i="49" s="1"/>
  <c r="A94" i="49" a="1"/>
  <c r="A94" i="49" s="1"/>
  <c r="I93" i="49" a="1"/>
  <c r="I93" i="49" s="1"/>
  <c r="H93" i="49" a="1"/>
  <c r="H93" i="49" s="1"/>
  <c r="G93" i="49" a="1"/>
  <c r="G93" i="49" s="1"/>
  <c r="B93" i="49" a="1"/>
  <c r="B93" i="49" s="1"/>
  <c r="A93" i="49" a="1"/>
  <c r="A93" i="49" s="1"/>
  <c r="I92" i="49" a="1"/>
  <c r="I92" i="49" s="1"/>
  <c r="H92" i="49" a="1"/>
  <c r="H92" i="49" s="1"/>
  <c r="G92" i="49" a="1"/>
  <c r="G92" i="49" s="1"/>
  <c r="B92" i="49" a="1"/>
  <c r="B92" i="49" s="1"/>
  <c r="A92" i="49" a="1"/>
  <c r="A92" i="49" s="1"/>
  <c r="I91" i="49" a="1"/>
  <c r="I91" i="49" s="1"/>
  <c r="H91" i="49" a="1"/>
  <c r="H91" i="49" s="1"/>
  <c r="G91" i="49" a="1"/>
  <c r="G91" i="49" s="1"/>
  <c r="B91" i="49" a="1"/>
  <c r="B91" i="49" s="1"/>
  <c r="A91" i="49" a="1"/>
  <c r="A91" i="49" s="1"/>
  <c r="F91" i="49" s="1"/>
  <c r="I90" i="49" a="1"/>
  <c r="I90" i="49" s="1"/>
  <c r="H90" i="49" a="1"/>
  <c r="H90" i="49" s="1"/>
  <c r="G90" i="49" a="1"/>
  <c r="G90" i="49" s="1"/>
  <c r="B90" i="49" a="1"/>
  <c r="B90" i="49" s="1"/>
  <c r="A90" i="49" a="1"/>
  <c r="A90" i="49" s="1"/>
  <c r="I89" i="49" a="1"/>
  <c r="I89" i="49" s="1"/>
  <c r="H89" i="49" a="1"/>
  <c r="H89" i="49" s="1"/>
  <c r="G89" i="49" a="1"/>
  <c r="G89" i="49" s="1"/>
  <c r="B89" i="49" a="1"/>
  <c r="B89" i="49" s="1"/>
  <c r="A89" i="49" a="1"/>
  <c r="A89" i="49" s="1"/>
  <c r="F89" i="49" s="1"/>
  <c r="I88" i="49" a="1"/>
  <c r="I88" i="49" s="1"/>
  <c r="H88" i="49" a="1"/>
  <c r="H88" i="49" s="1"/>
  <c r="G88" i="49" a="1"/>
  <c r="G88" i="49" s="1"/>
  <c r="B88" i="49" a="1"/>
  <c r="B88" i="49" s="1"/>
  <c r="A88" i="49" a="1"/>
  <c r="A88" i="49" s="1"/>
  <c r="I87" i="49" a="1"/>
  <c r="I87" i="49" s="1"/>
  <c r="H87" i="49" a="1"/>
  <c r="H87" i="49" s="1"/>
  <c r="G87" i="49" a="1"/>
  <c r="G87" i="49" s="1"/>
  <c r="B87" i="49" a="1"/>
  <c r="B87" i="49" s="1"/>
  <c r="A87" i="49" a="1"/>
  <c r="A87" i="49" s="1"/>
  <c r="I86" i="49" a="1"/>
  <c r="I86" i="49" s="1"/>
  <c r="H86" i="49" a="1"/>
  <c r="H86" i="49" s="1"/>
  <c r="G86" i="49" a="1"/>
  <c r="G86" i="49" s="1"/>
  <c r="B86" i="49" a="1"/>
  <c r="B86" i="49" s="1"/>
  <c r="A86" i="49" a="1"/>
  <c r="A86" i="49" s="1"/>
  <c r="I85" i="49" a="1"/>
  <c r="I85" i="49" s="1"/>
  <c r="H85" i="49" a="1"/>
  <c r="H85" i="49" s="1"/>
  <c r="G85" i="49" a="1"/>
  <c r="G85" i="49" s="1"/>
  <c r="B85" i="49" a="1"/>
  <c r="B85" i="49" s="1"/>
  <c r="A85" i="49" a="1"/>
  <c r="A85" i="49" s="1"/>
  <c r="K85" i="49" s="1"/>
  <c r="I84" i="49" a="1"/>
  <c r="I84" i="49" s="1"/>
  <c r="H84" i="49" a="1"/>
  <c r="H84" i="49" s="1"/>
  <c r="G84" i="49" a="1"/>
  <c r="G84" i="49" s="1"/>
  <c r="B84" i="49" a="1"/>
  <c r="B84" i="49" s="1"/>
  <c r="A84" i="49" a="1"/>
  <c r="A84" i="49" s="1"/>
  <c r="I83" i="49" a="1"/>
  <c r="I83" i="49" s="1"/>
  <c r="H83" i="49" a="1"/>
  <c r="H83" i="49" s="1"/>
  <c r="G83" i="49" a="1"/>
  <c r="G83" i="49" s="1"/>
  <c r="B83" i="49" a="1"/>
  <c r="B83" i="49" s="1"/>
  <c r="A83" i="49" a="1"/>
  <c r="A83" i="49" s="1"/>
  <c r="I82" i="49" a="1"/>
  <c r="I82" i="49" s="1"/>
  <c r="H82" i="49" a="1"/>
  <c r="H82" i="49" s="1"/>
  <c r="G82" i="49" a="1"/>
  <c r="G82" i="49" s="1"/>
  <c r="B82" i="49" a="1"/>
  <c r="B82" i="49" s="1"/>
  <c r="A82" i="49" a="1"/>
  <c r="A82" i="49" s="1"/>
  <c r="K82" i="49" s="1"/>
  <c r="I81" i="49" a="1"/>
  <c r="I81" i="49" s="1"/>
  <c r="H81" i="49" a="1"/>
  <c r="H81" i="49" s="1"/>
  <c r="G81" i="49" a="1"/>
  <c r="G81" i="49" s="1"/>
  <c r="B81" i="49" a="1"/>
  <c r="B81" i="49" s="1"/>
  <c r="A81" i="49" a="1"/>
  <c r="A81" i="49" s="1"/>
  <c r="I80" i="49" a="1"/>
  <c r="I80" i="49" s="1"/>
  <c r="H80" i="49" a="1"/>
  <c r="H80" i="49" s="1"/>
  <c r="G80" i="49" a="1"/>
  <c r="G80" i="49" s="1"/>
  <c r="B80" i="49" a="1"/>
  <c r="B80" i="49" s="1"/>
  <c r="A80" i="49" a="1"/>
  <c r="A80" i="49" s="1"/>
  <c r="I79" i="49" a="1"/>
  <c r="I79" i="49" s="1"/>
  <c r="H79" i="49" a="1"/>
  <c r="H79" i="49" s="1"/>
  <c r="G79" i="49" a="1"/>
  <c r="G79" i="49" s="1"/>
  <c r="B79" i="49" a="1"/>
  <c r="B79" i="49" s="1"/>
  <c r="A79" i="49" a="1"/>
  <c r="A79" i="49" s="1"/>
  <c r="F79" i="49" s="1"/>
  <c r="I78" i="49" a="1"/>
  <c r="I78" i="49" s="1"/>
  <c r="H78" i="49" a="1"/>
  <c r="H78" i="49" s="1"/>
  <c r="G78" i="49" a="1"/>
  <c r="G78" i="49" s="1"/>
  <c r="B78" i="49" a="1"/>
  <c r="B78" i="49" s="1"/>
  <c r="A78" i="49" a="1"/>
  <c r="A78" i="49" s="1"/>
  <c r="I77" i="49" a="1"/>
  <c r="I77" i="49" s="1"/>
  <c r="H77" i="49" a="1"/>
  <c r="H77" i="49" s="1"/>
  <c r="G77" i="49" a="1"/>
  <c r="G77" i="49" s="1"/>
  <c r="B77" i="49" a="1"/>
  <c r="B77" i="49" s="1"/>
  <c r="A77" i="49" a="1"/>
  <c r="A77" i="49" s="1"/>
  <c r="F77" i="49" s="1"/>
  <c r="I76" i="49" a="1"/>
  <c r="I76" i="49" s="1"/>
  <c r="H76" i="49" a="1"/>
  <c r="H76" i="49" s="1"/>
  <c r="G76" i="49" a="1"/>
  <c r="G76" i="49" s="1"/>
  <c r="B76" i="49" a="1"/>
  <c r="B76" i="49" s="1"/>
  <c r="A76" i="49" a="1"/>
  <c r="A76" i="49" s="1"/>
  <c r="I75" i="49" a="1"/>
  <c r="I75" i="49" s="1"/>
  <c r="H75" i="49" a="1"/>
  <c r="H75" i="49" s="1"/>
  <c r="G75" i="49" a="1"/>
  <c r="G75" i="49" s="1"/>
  <c r="B75" i="49" a="1"/>
  <c r="B75" i="49" s="1"/>
  <c r="A75" i="49" a="1"/>
  <c r="A75" i="49" s="1"/>
  <c r="H55" i="49" a="1"/>
  <c r="H55" i="49" s="1"/>
  <c r="G55" i="49" a="1"/>
  <c r="G55" i="49" s="1"/>
  <c r="B55" i="49" a="1"/>
  <c r="B55" i="49" s="1"/>
  <c r="A55" i="49" a="1"/>
  <c r="A55" i="49" s="1"/>
  <c r="H54" i="49" a="1"/>
  <c r="H54" i="49" s="1"/>
  <c r="G54" i="49" a="1"/>
  <c r="G54" i="49" s="1"/>
  <c r="B54" i="49" a="1"/>
  <c r="B54" i="49" s="1"/>
  <c r="A54" i="49" a="1"/>
  <c r="A54" i="49" s="1"/>
  <c r="H53" i="49" a="1"/>
  <c r="H53" i="49" s="1"/>
  <c r="G53" i="49" a="1"/>
  <c r="G53" i="49" s="1"/>
  <c r="B53" i="49" a="1"/>
  <c r="B53" i="49" s="1"/>
  <c r="A53" i="49" a="1"/>
  <c r="A53" i="49" s="1"/>
  <c r="H52" i="49" a="1"/>
  <c r="H52" i="49" s="1"/>
  <c r="G52" i="49" a="1"/>
  <c r="G52" i="49" s="1"/>
  <c r="B52" i="49" a="1"/>
  <c r="B52" i="49" s="1"/>
  <c r="A52" i="49" a="1"/>
  <c r="A52" i="49" s="1"/>
  <c r="H51" i="49" a="1"/>
  <c r="H51" i="49" s="1"/>
  <c r="G51" i="49" a="1"/>
  <c r="G51" i="49" s="1"/>
  <c r="B51" i="49" a="1"/>
  <c r="B51" i="49" s="1"/>
  <c r="A51" i="49" a="1"/>
  <c r="A51" i="49" s="1"/>
  <c r="H50" i="49" a="1"/>
  <c r="H50" i="49" s="1"/>
  <c r="G50" i="49" a="1"/>
  <c r="G50" i="49" s="1"/>
  <c r="B50" i="49" a="1"/>
  <c r="B50" i="49" s="1"/>
  <c r="A50" i="49" a="1"/>
  <c r="A50" i="49" s="1"/>
  <c r="H49" i="49" a="1"/>
  <c r="H49" i="49" s="1"/>
  <c r="G49" i="49" a="1"/>
  <c r="G49" i="49" s="1"/>
  <c r="B49" i="49" a="1"/>
  <c r="B49" i="49" s="1"/>
  <c r="A49" i="49" a="1"/>
  <c r="A49" i="49" s="1"/>
  <c r="H48" i="49" a="1"/>
  <c r="H48" i="49" s="1"/>
  <c r="G48" i="49" a="1"/>
  <c r="G48" i="49" s="1"/>
  <c r="B48" i="49" a="1"/>
  <c r="B48" i="49" s="1"/>
  <c r="A48" i="49" a="1"/>
  <c r="A48" i="49" s="1"/>
  <c r="H47" i="49" a="1"/>
  <c r="H47" i="49" s="1"/>
  <c r="G47" i="49" a="1"/>
  <c r="G47" i="49" s="1"/>
  <c r="B47" i="49" a="1"/>
  <c r="B47" i="49" s="1"/>
  <c r="A47" i="49" a="1"/>
  <c r="A47" i="49" s="1"/>
  <c r="H46" i="49" a="1"/>
  <c r="H46" i="49" s="1"/>
  <c r="G46" i="49" a="1"/>
  <c r="G46" i="49" s="1"/>
  <c r="B46" i="49" a="1"/>
  <c r="B46" i="49" s="1"/>
  <c r="A46" i="49" a="1"/>
  <c r="A46" i="49" s="1"/>
  <c r="L46" i="49" s="1"/>
  <c r="H39" i="49" a="1"/>
  <c r="H39" i="49" s="1"/>
  <c r="G39" i="49" a="1"/>
  <c r="G39" i="49" s="1"/>
  <c r="B39" i="49" a="1"/>
  <c r="B39" i="49" s="1"/>
  <c r="A39" i="49" a="1"/>
  <c r="A39" i="49" s="1"/>
  <c r="H38" i="49" a="1"/>
  <c r="H38" i="49" s="1"/>
  <c r="G38" i="49" a="1"/>
  <c r="G38" i="49" s="1"/>
  <c r="B38" i="49" a="1"/>
  <c r="B38" i="49" s="1"/>
  <c r="A38" i="49" a="1"/>
  <c r="A38" i="49" s="1"/>
  <c r="H37" i="49" a="1"/>
  <c r="H37" i="49" s="1"/>
  <c r="G37" i="49" a="1"/>
  <c r="G37" i="49" s="1"/>
  <c r="B37" i="49" a="1"/>
  <c r="B37" i="49" s="1"/>
  <c r="A37" i="49" a="1"/>
  <c r="A37" i="49" s="1"/>
  <c r="H36" i="49" a="1"/>
  <c r="H36" i="49" s="1"/>
  <c r="G36" i="49" a="1"/>
  <c r="G36" i="49" s="1"/>
  <c r="B36" i="49" a="1"/>
  <c r="B36" i="49" s="1"/>
  <c r="A36" i="49" a="1"/>
  <c r="A36" i="49" s="1"/>
  <c r="H35" i="49" a="1"/>
  <c r="H35" i="49" s="1"/>
  <c r="G35" i="49" a="1"/>
  <c r="G35" i="49" s="1"/>
  <c r="B35" i="49" a="1"/>
  <c r="B35" i="49" s="1"/>
  <c r="A35" i="49" a="1"/>
  <c r="A35" i="49" s="1"/>
  <c r="H34" i="49" a="1"/>
  <c r="H34" i="49" s="1"/>
  <c r="G34" i="49" a="1"/>
  <c r="G34" i="49" s="1"/>
  <c r="B34" i="49" a="1"/>
  <c r="B34" i="49" s="1"/>
  <c r="A34" i="49" a="1"/>
  <c r="A34" i="49" s="1"/>
  <c r="H33" i="49" a="1"/>
  <c r="H33" i="49" s="1"/>
  <c r="G33" i="49" a="1"/>
  <c r="G33" i="49" s="1"/>
  <c r="B33" i="49" a="1"/>
  <c r="B33" i="49" s="1"/>
  <c r="A33" i="49" a="1"/>
  <c r="A33" i="49" s="1"/>
  <c r="H32" i="49" a="1"/>
  <c r="H32" i="49" s="1"/>
  <c r="G32" i="49" a="1"/>
  <c r="G32" i="49" s="1"/>
  <c r="B32" i="49" a="1"/>
  <c r="B32" i="49" s="1"/>
  <c r="A32" i="49" a="1"/>
  <c r="A32" i="49" s="1"/>
  <c r="H31" i="49" a="1"/>
  <c r="H31" i="49" s="1"/>
  <c r="G31" i="49" a="1"/>
  <c r="G31" i="49" s="1"/>
  <c r="B31" i="49" a="1"/>
  <c r="B31" i="49" s="1"/>
  <c r="A31" i="49" a="1"/>
  <c r="A31" i="49" s="1"/>
  <c r="H30" i="49" a="1"/>
  <c r="H30" i="49" s="1"/>
  <c r="G30" i="49" a="1"/>
  <c r="G30" i="49" s="1"/>
  <c r="B30" i="49" a="1"/>
  <c r="B30" i="49" s="1"/>
  <c r="A30" i="49" a="1"/>
  <c r="A30" i="49" s="1"/>
  <c r="H29" i="49" a="1"/>
  <c r="H29" i="49" s="1"/>
  <c r="G29" i="49" a="1"/>
  <c r="G29" i="49" s="1"/>
  <c r="B29" i="49" a="1"/>
  <c r="B29" i="49" s="1"/>
  <c r="A29" i="49" a="1"/>
  <c r="A29" i="49" s="1"/>
  <c r="H28" i="49" a="1"/>
  <c r="H28" i="49" s="1"/>
  <c r="G28" i="49" a="1"/>
  <c r="G28" i="49" s="1"/>
  <c r="B28" i="49" a="1"/>
  <c r="B28" i="49" s="1"/>
  <c r="A28" i="49" a="1"/>
  <c r="A28" i="49" s="1"/>
  <c r="H27" i="49" a="1"/>
  <c r="H27" i="49" s="1"/>
  <c r="G27" i="49" a="1"/>
  <c r="G27" i="49" s="1"/>
  <c r="B27" i="49" a="1"/>
  <c r="B27" i="49" s="1"/>
  <c r="A27" i="49" a="1"/>
  <c r="A27" i="49" s="1"/>
  <c r="H26" i="49" a="1"/>
  <c r="H26" i="49" s="1"/>
  <c r="G26" i="49" a="1"/>
  <c r="G26" i="49" s="1"/>
  <c r="B26" i="49" a="1"/>
  <c r="B26" i="49" s="1"/>
  <c r="A26" i="49" a="1"/>
  <c r="A26" i="49" s="1"/>
  <c r="H25" i="49" a="1"/>
  <c r="H25" i="49" s="1"/>
  <c r="G25" i="49" a="1"/>
  <c r="G25" i="49" s="1"/>
  <c r="B25" i="49" a="1"/>
  <c r="B25" i="49" s="1"/>
  <c r="A25" i="49" a="1"/>
  <c r="A25" i="49" s="1"/>
  <c r="H24" i="49" a="1"/>
  <c r="H24" i="49" s="1"/>
  <c r="G24" i="49" a="1"/>
  <c r="G24" i="49" s="1"/>
  <c r="B24" i="49" a="1"/>
  <c r="B24" i="49" s="1"/>
  <c r="A24" i="49" a="1"/>
  <c r="A24" i="49" s="1"/>
  <c r="H23" i="49" a="1"/>
  <c r="H23" i="49" s="1"/>
  <c r="G23" i="49" a="1"/>
  <c r="G23" i="49" s="1"/>
  <c r="B23" i="49" a="1"/>
  <c r="B23" i="49" s="1"/>
  <c r="A23" i="49" a="1"/>
  <c r="A23" i="49" s="1"/>
  <c r="H22" i="49" a="1"/>
  <c r="H22" i="49" s="1"/>
  <c r="G22" i="49" a="1"/>
  <c r="G22" i="49" s="1"/>
  <c r="B22" i="49" a="1"/>
  <c r="B22" i="49" s="1"/>
  <c r="A22" i="49" a="1"/>
  <c r="A22" i="49" s="1"/>
  <c r="H21" i="49" a="1"/>
  <c r="H21" i="49" s="1"/>
  <c r="G21" i="49" a="1"/>
  <c r="G21" i="49" s="1"/>
  <c r="B21" i="49" a="1"/>
  <c r="B21" i="49" s="1"/>
  <c r="A21" i="49" a="1"/>
  <c r="A21" i="49" s="1"/>
  <c r="H20" i="49" a="1"/>
  <c r="H20" i="49" s="1"/>
  <c r="G20" i="49" a="1"/>
  <c r="G20" i="49" s="1"/>
  <c r="B20" i="49" a="1"/>
  <c r="B20" i="49" s="1"/>
  <c r="A20" i="49" a="1"/>
  <c r="A20" i="49" s="1"/>
  <c r="H19" i="49" a="1"/>
  <c r="H19" i="49" s="1"/>
  <c r="G19" i="49" a="1"/>
  <c r="G19" i="49" s="1"/>
  <c r="B19" i="49" a="1"/>
  <c r="B19" i="49" s="1"/>
  <c r="A19" i="49" a="1"/>
  <c r="A19" i="49" s="1"/>
  <c r="H18" i="49" a="1"/>
  <c r="H18" i="49" s="1"/>
  <c r="G18" i="49" a="1"/>
  <c r="G18" i="49" s="1"/>
  <c r="B18" i="49" a="1"/>
  <c r="B18" i="49" s="1"/>
  <c r="A18" i="49" a="1"/>
  <c r="A18" i="49" s="1"/>
  <c r="H17" i="49" a="1"/>
  <c r="H17" i="49" s="1"/>
  <c r="G17" i="49" a="1"/>
  <c r="G17" i="49" s="1"/>
  <c r="B17" i="49" a="1"/>
  <c r="B17" i="49" s="1"/>
  <c r="A17" i="49" a="1"/>
  <c r="A17" i="49" s="1"/>
  <c r="H16" i="49" a="1"/>
  <c r="H16" i="49" s="1"/>
  <c r="G16" i="49" a="1"/>
  <c r="G16" i="49" s="1"/>
  <c r="B16" i="49" a="1"/>
  <c r="B16" i="49" s="1"/>
  <c r="A16" i="49" a="1"/>
  <c r="A16" i="49" s="1"/>
  <c r="H15" i="49" a="1"/>
  <c r="H15" i="49" s="1"/>
  <c r="G15" i="49" a="1"/>
  <c r="G15" i="49" s="1"/>
  <c r="B15" i="49" a="1"/>
  <c r="B15" i="49" s="1"/>
  <c r="A15" i="49" a="1"/>
  <c r="A15" i="49" s="1"/>
  <c r="H14" i="49" a="1"/>
  <c r="H14" i="49" s="1"/>
  <c r="G14" i="49" a="1"/>
  <c r="G14" i="49" s="1"/>
  <c r="B14" i="49" a="1"/>
  <c r="B14" i="49" s="1"/>
  <c r="A14" i="49" a="1"/>
  <c r="A14" i="49" s="1"/>
  <c r="F61" i="48"/>
  <c r="H63" i="48" s="1"/>
  <c r="A61" i="48"/>
  <c r="F108" i="48"/>
  <c r="H110" i="48" s="1"/>
  <c r="K94" i="49" l="1"/>
  <c r="K106" i="49"/>
  <c r="K99" i="49"/>
  <c r="K54" i="49"/>
  <c r="L14" i="49"/>
  <c r="K46" i="49"/>
  <c r="F46" i="49"/>
  <c r="L28" i="49"/>
  <c r="F28" i="49"/>
  <c r="L35" i="49"/>
  <c r="F35" i="49"/>
  <c r="L23" i="49"/>
  <c r="F23" i="49"/>
  <c r="K87" i="49"/>
  <c r="F87" i="49"/>
  <c r="L53" i="49"/>
  <c r="K53" i="49"/>
  <c r="F53" i="49"/>
  <c r="F99" i="49"/>
  <c r="K28" i="49"/>
  <c r="K14" i="49"/>
  <c r="L81" i="49"/>
  <c r="F81" i="49"/>
  <c r="K81" i="49"/>
  <c r="L93" i="49"/>
  <c r="F93" i="49"/>
  <c r="K93" i="49"/>
  <c r="K107" i="49"/>
  <c r="L107" i="49"/>
  <c r="F107" i="49"/>
  <c r="K109" i="49"/>
  <c r="L109" i="49"/>
  <c r="F109" i="49"/>
  <c r="K86" i="49"/>
  <c r="L86" i="49"/>
  <c r="F86" i="49"/>
  <c r="K98" i="49"/>
  <c r="L98" i="49"/>
  <c r="F98" i="49"/>
  <c r="L105" i="49"/>
  <c r="F105" i="49"/>
  <c r="K105" i="49"/>
  <c r="K75" i="49"/>
  <c r="L75" i="49"/>
  <c r="F75" i="49"/>
  <c r="K84" i="49"/>
  <c r="L84" i="49"/>
  <c r="F84" i="49"/>
  <c r="K96" i="49"/>
  <c r="L96" i="49"/>
  <c r="F96" i="49"/>
  <c r="K110" i="49"/>
  <c r="L110" i="49"/>
  <c r="F110" i="49"/>
  <c r="F78" i="49"/>
  <c r="K78" i="49"/>
  <c r="L78" i="49"/>
  <c r="F80" i="49"/>
  <c r="K80" i="49"/>
  <c r="L80" i="49"/>
  <c r="F92" i="49"/>
  <c r="L92" i="49"/>
  <c r="K92" i="49"/>
  <c r="K108" i="49"/>
  <c r="L108" i="49"/>
  <c r="F108" i="49"/>
  <c r="F100" i="49"/>
  <c r="K100" i="49"/>
  <c r="L100" i="49"/>
  <c r="F90" i="49"/>
  <c r="K90" i="49"/>
  <c r="L90" i="49"/>
  <c r="F76" i="49"/>
  <c r="K76" i="49"/>
  <c r="L76" i="49"/>
  <c r="K95" i="49"/>
  <c r="L95" i="49"/>
  <c r="F95" i="49"/>
  <c r="K97" i="49"/>
  <c r="L97" i="49"/>
  <c r="F97" i="49"/>
  <c r="K83" i="49"/>
  <c r="L83" i="49"/>
  <c r="F83" i="49"/>
  <c r="F88" i="49"/>
  <c r="K88" i="49"/>
  <c r="L88" i="49"/>
  <c r="F102" i="49"/>
  <c r="K102" i="49"/>
  <c r="L102" i="49"/>
  <c r="F104" i="49"/>
  <c r="L104" i="49"/>
  <c r="K104" i="49"/>
  <c r="L79" i="49"/>
  <c r="L91" i="49"/>
  <c r="L103" i="49"/>
  <c r="K79" i="49"/>
  <c r="K91" i="49"/>
  <c r="K103" i="49"/>
  <c r="L77" i="49"/>
  <c r="F85" i="49"/>
  <c r="L89" i="49"/>
  <c r="L101" i="49"/>
  <c r="K77" i="49"/>
  <c r="K89" i="49"/>
  <c r="K101" i="49"/>
  <c r="L87" i="49"/>
  <c r="L99" i="49"/>
  <c r="F82" i="49"/>
  <c r="F94" i="49"/>
  <c r="F106" i="49"/>
  <c r="L85" i="49"/>
  <c r="L82" i="49"/>
  <c r="L94" i="49"/>
  <c r="L106" i="49"/>
  <c r="F30" i="49"/>
  <c r="K30" i="49"/>
  <c r="L30" i="49"/>
  <c r="K35" i="49"/>
  <c r="K24" i="49"/>
  <c r="F16" i="49"/>
  <c r="K16" i="49"/>
  <c r="L16" i="49"/>
  <c r="F18" i="49"/>
  <c r="K18" i="49"/>
  <c r="L18" i="49"/>
  <c r="L20" i="49"/>
  <c r="F20" i="49"/>
  <c r="K20" i="49"/>
  <c r="K39" i="49"/>
  <c r="L39" i="49"/>
  <c r="F39" i="49"/>
  <c r="K34" i="49"/>
  <c r="L34" i="49"/>
  <c r="F34" i="49"/>
  <c r="K22" i="49"/>
  <c r="L22" i="49"/>
  <c r="F22" i="49"/>
  <c r="K26" i="49"/>
  <c r="L26" i="49"/>
  <c r="F26" i="49"/>
  <c r="K37" i="49"/>
  <c r="L37" i="49"/>
  <c r="F37" i="49"/>
  <c r="L50" i="49"/>
  <c r="F50" i="49"/>
  <c r="K50" i="49"/>
  <c r="K52" i="49"/>
  <c r="L52" i="49"/>
  <c r="F52" i="49"/>
  <c r="F48" i="49"/>
  <c r="K48" i="49"/>
  <c r="L48" i="49"/>
  <c r="K55" i="49"/>
  <c r="L55" i="49"/>
  <c r="F55" i="49"/>
  <c r="K23" i="49"/>
  <c r="F47" i="49"/>
  <c r="K47" i="49"/>
  <c r="L47" i="49"/>
  <c r="F29" i="49"/>
  <c r="K29" i="49"/>
  <c r="L29" i="49"/>
  <c r="F31" i="49"/>
  <c r="K31" i="49"/>
  <c r="L31" i="49"/>
  <c r="K33" i="49"/>
  <c r="L33" i="49"/>
  <c r="F33" i="49"/>
  <c r="L32" i="49"/>
  <c r="F32" i="49"/>
  <c r="K32" i="49"/>
  <c r="K15" i="49"/>
  <c r="L15" i="49"/>
  <c r="F15" i="49"/>
  <c r="F17" i="49"/>
  <c r="K17" i="49"/>
  <c r="L17" i="49"/>
  <c r="F19" i="49"/>
  <c r="K19" i="49"/>
  <c r="L19" i="49"/>
  <c r="K25" i="49"/>
  <c r="L25" i="49"/>
  <c r="F25" i="49"/>
  <c r="K27" i="49"/>
  <c r="L27" i="49"/>
  <c r="F27" i="49"/>
  <c r="K36" i="49"/>
  <c r="K21" i="49"/>
  <c r="L21" i="49"/>
  <c r="F21" i="49"/>
  <c r="K38" i="49"/>
  <c r="L38" i="49"/>
  <c r="F38" i="49"/>
  <c r="F49" i="49"/>
  <c r="K49" i="49"/>
  <c r="L49" i="49"/>
  <c r="K51" i="49"/>
  <c r="L51" i="49"/>
  <c r="F51" i="49"/>
  <c r="F14" i="49"/>
  <c r="F24" i="49"/>
  <c r="F36" i="49"/>
  <c r="F54" i="49"/>
  <c r="L24" i="49"/>
  <c r="L36" i="49"/>
  <c r="L54" i="49"/>
  <c r="E67" i="49" l="1"/>
  <c r="H122" i="49" s="1"/>
  <c r="H67" i="49"/>
  <c r="H73" i="49" s="1"/>
  <c r="H59" i="48"/>
  <c r="H61" i="48" s="1"/>
  <c r="D124" i="49" l="1"/>
  <c r="H112" i="48"/>
  <c r="D69" i="49"/>
  <c r="H69" i="49"/>
  <c r="D61" i="48"/>
  <c r="H65" i="48"/>
  <c r="H124" i="49" l="1"/>
  <c r="H128" i="49"/>
  <c r="D108" i="48"/>
  <c r="H108" i="48"/>
  <c r="F63" i="45" l="1"/>
  <c r="H65" i="45" s="1"/>
  <c r="H56" i="44"/>
  <c r="I55" i="49" l="1" a="1"/>
  <c r="I55" i="49" s="1"/>
  <c r="I54" i="49" a="1"/>
  <c r="I54" i="49" s="1"/>
  <c r="I53" i="49" a="1"/>
  <c r="I53" i="49" s="1"/>
  <c r="I52" i="49" a="1"/>
  <c r="I52" i="49" s="1"/>
  <c r="I51" i="49" a="1"/>
  <c r="I51" i="49" s="1"/>
  <c r="I50" i="49" a="1"/>
  <c r="I50" i="49" s="1"/>
  <c r="I49" i="49" a="1"/>
  <c r="I49" i="49" s="1"/>
  <c r="I48" i="49" a="1"/>
  <c r="I48" i="49" s="1"/>
  <c r="I38" i="49" a="1"/>
  <c r="I38" i="49" s="1"/>
  <c r="I47" i="49" a="1"/>
  <c r="I47" i="49" s="1"/>
  <c r="I46" i="49" a="1"/>
  <c r="I46" i="49" s="1"/>
  <c r="I39" i="49" a="1"/>
  <c r="I39" i="49" s="1"/>
  <c r="I17" i="49" a="1"/>
  <c r="I17" i="49" s="1"/>
  <c r="I37" i="49" a="1"/>
  <c r="I37" i="49" s="1"/>
  <c r="I29" i="49" a="1"/>
  <c r="I29" i="49" s="1"/>
  <c r="I36" i="49" a="1"/>
  <c r="I36" i="49" s="1"/>
  <c r="I28" i="49" a="1"/>
  <c r="I28" i="49" s="1"/>
  <c r="I23" i="49" a="1"/>
  <c r="I23" i="49" s="1"/>
  <c r="I27" i="49" a="1"/>
  <c r="I27" i="49" s="1"/>
  <c r="I26" i="49" a="1"/>
  <c r="I26" i="49" s="1"/>
  <c r="I34" i="49" a="1"/>
  <c r="I34" i="49" s="1"/>
  <c r="I24" i="49" a="1"/>
  <c r="I24" i="49" s="1"/>
  <c r="I21" i="49" a="1"/>
  <c r="I21" i="49" s="1"/>
  <c r="I33" i="49" a="1"/>
  <c r="I33" i="49" s="1"/>
  <c r="I15" i="49" a="1"/>
  <c r="I15" i="49" s="1"/>
  <c r="I25" i="49" a="1"/>
  <c r="I25" i="49" s="1"/>
  <c r="I20" i="49" a="1"/>
  <c r="I20" i="49" s="1"/>
  <c r="I32" i="49" a="1"/>
  <c r="I32" i="49" s="1"/>
  <c r="I16" i="49" a="1"/>
  <c r="I16" i="49" s="1"/>
  <c r="I35" i="49" a="1"/>
  <c r="I35" i="49" s="1"/>
  <c r="I19" i="49" a="1"/>
  <c r="I19" i="49" s="1"/>
  <c r="I31" i="49" a="1"/>
  <c r="I31" i="49" s="1"/>
  <c r="I14" i="49" a="1"/>
  <c r="I14" i="49" s="1"/>
  <c r="I22" i="49" a="1"/>
  <c r="I22" i="49" s="1"/>
  <c r="I18" i="49" a="1"/>
  <c r="I18" i="49" s="1"/>
  <c r="I30" i="49" a="1"/>
  <c r="I30" i="49" s="1"/>
  <c r="CW15" i="37"/>
  <c r="CW14" i="37"/>
  <c r="CW17" i="37"/>
  <c r="H61" i="45" l="1"/>
  <c r="H67" i="45" s="1"/>
  <c r="H52" i="44"/>
  <c r="CW25" i="37"/>
  <c r="D63" i="45" l="1"/>
  <c r="H63" i="45"/>
  <c r="D54" i="44"/>
  <c r="H54" i="44"/>
  <c r="H58" i="44"/>
  <c r="BX9" i="37" l="1"/>
  <c r="BX11" i="37"/>
  <c r="BX13" i="37" l="1"/>
  <c r="BX15" i="37"/>
  <c r="CQ20" i="37" s="1"/>
  <c r="CR20" i="37" s="1"/>
  <c r="AA32" i="37" a="1"/>
  <c r="AA32" i="37" s="1"/>
  <c r="W32" i="37" a="1"/>
  <c r="W32" i="37" s="1"/>
  <c r="Z32" i="37" a="1"/>
  <c r="Z32" i="37" s="1"/>
  <c r="B103" i="49" a="1"/>
  <c r="B103" i="49" s="1"/>
  <c r="CQ37" i="37" l="1"/>
  <c r="CR37" i="37" s="1"/>
  <c r="CQ33" i="37"/>
  <c r="CR33" i="37" s="1"/>
  <c r="CQ35" i="37"/>
  <c r="CR35" i="37" s="1"/>
  <c r="CQ34" i="37"/>
  <c r="CR34" i="37" s="1"/>
  <c r="CQ36" i="37"/>
  <c r="CR36" i="37" s="1"/>
  <c r="CQ11" i="37"/>
  <c r="CR11" i="37" s="1"/>
  <c r="CQ22" i="37"/>
  <c r="CR22" i="37" s="1"/>
  <c r="CQ31" i="37"/>
  <c r="CR31" i="37" s="1"/>
  <c r="CQ12" i="37"/>
  <c r="CR12" i="37" s="1"/>
  <c r="CQ15" i="37"/>
  <c r="CR15" i="37" s="1"/>
  <c r="CQ13" i="37"/>
  <c r="CR13" i="37" s="1"/>
  <c r="CQ32" i="37"/>
  <c r="CR32" i="37" s="1"/>
  <c r="CQ24" i="37"/>
  <c r="CR24" i="37" s="1"/>
  <c r="CQ28" i="37"/>
  <c r="CR28" i="37" s="1"/>
  <c r="CQ29" i="37"/>
  <c r="CR29" i="37" s="1"/>
  <c r="CQ30" i="37"/>
  <c r="CR30" i="37" s="1"/>
  <c r="CQ25" i="37"/>
  <c r="CR25" i="37" s="1"/>
  <c r="CQ16" i="37"/>
  <c r="CR16" i="37" s="1"/>
  <c r="CQ21" i="37"/>
  <c r="CR21" i="37" s="1"/>
  <c r="CQ17" i="37"/>
  <c r="CR17" i="37" s="1"/>
  <c r="CQ10" i="37"/>
  <c r="CR10" i="37" s="1"/>
  <c r="CQ19" i="37"/>
  <c r="CR19" i="37" s="1"/>
  <c r="CQ18" i="37"/>
  <c r="CR18" i="37" s="1"/>
  <c r="CQ23" i="37"/>
  <c r="CR23" i="37" s="1"/>
  <c r="CQ14" i="37"/>
  <c r="CR14" i="37" s="1"/>
  <c r="CQ26" i="37"/>
  <c r="CR26" i="37" s="1"/>
  <c r="CQ27" i="37"/>
  <c r="CR27" i="37" s="1"/>
  <c r="CY11" i="37"/>
  <c r="CY15" i="37" l="1"/>
  <c r="CW18" i="37"/>
  <c r="CY12" i="37" l="1"/>
  <c r="CY18" i="37" l="1"/>
  <c r="CY14" i="37"/>
  <c r="AA1" i="33"/>
  <c r="S161" i="31" l="1"/>
  <c r="S32" i="31"/>
  <c r="A60" i="51" l="1"/>
  <c r="A114" i="51" s="1"/>
  <c r="D84" i="48" s="1"/>
  <c r="CW24" i="37"/>
  <c r="A60" i="32" l="1"/>
  <c r="A58" i="32"/>
  <c r="C58" i="32" l="1"/>
  <c r="CW22" i="3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 Kagan</author>
  </authors>
  <commentList>
    <comment ref="B3" authorId="0" shapeId="0" xr:uid="{00000000-0006-0000-0E00-000001000000}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 shapeId="0" xr:uid="{00000000-0006-0000-0E00-000002000000}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 shapeId="0" xr:uid="{00000000-0006-0000-0E00-000003000000}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 shapeId="0" xr:uid="{00000000-0006-0000-0E00-000004000000}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 shapeId="0" xr:uid="{00000000-0006-0000-0E00-000005000000}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00000000-0006-0000-0E00-000006000000}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 shapeId="0" xr:uid="{00000000-0006-0000-0E00-000007000000}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 shapeId="0" xr:uid="{00000000-0006-0000-0E00-000008000000}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 shapeId="0" xr:uid="{00000000-0006-0000-0E00-000009000000}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 shapeId="0" xr:uid="{00000000-0006-0000-0E00-00000A000000}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 shapeId="0" xr:uid="{00000000-0006-0000-0E00-00000B000000}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 shapeId="0" xr:uid="{00000000-0006-0000-0E00-00000C000000}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 shapeId="0" xr:uid="{00000000-0006-0000-0E00-00000D000000}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 shapeId="0" xr:uid="{00000000-0006-0000-0E00-00000E000000}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 shapeId="0" xr:uid="{00000000-0006-0000-0E00-00000F000000}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 shapeId="0" xr:uid="{00000000-0006-0000-0E00-000010000000}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 shapeId="0" xr:uid="{00000000-0006-0000-0E00-000011000000}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 shapeId="0" xr:uid="{00000000-0006-0000-0E00-000012000000}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 shapeId="0" xr:uid="{00000000-0006-0000-0E00-000013000000}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 shapeId="0" xr:uid="{00000000-0006-0000-0E00-000014000000}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 shapeId="0" xr:uid="{00000000-0006-0000-0E00-000015000000}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 shapeId="0" xr:uid="{00000000-0006-0000-0E00-000016000000}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 shapeId="0" xr:uid="{00000000-0006-0000-0E00-000017000000}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 shapeId="0" xr:uid="{00000000-0006-0000-0E00-000018000000}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 shapeId="0" xr:uid="{00000000-0006-0000-0E00-000019000000}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G54" authorId="0" shapeId="0" xr:uid="{00000000-0006-0000-0E00-00001A000000}">
      <text>
        <r>
          <rPr>
            <b/>
            <sz val="10"/>
            <color indexed="81"/>
            <rFont val="Tahoma"/>
            <family val="2"/>
          </rPr>
          <t>Total net weight of consignment including Dangerous Goods, Non Dangerous Goods and packaging rounded up to whole number</t>
        </r>
      </text>
    </comment>
    <comment ref="H54" authorId="0" shapeId="0" xr:uid="{00000000-0006-0000-0E00-00001B000000}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 shapeId="0" xr:uid="{00000000-0006-0000-0E00-00001C000000}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 shapeId="0" xr:uid="{00000000-0006-0000-0E00-00001D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 shapeId="0" xr:uid="{00000000-0006-0000-0E00-00001E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 shapeId="0" xr:uid="{00000000-0006-0000-0E00-00001F000000}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 shapeId="0" xr:uid="{00000000-0006-0000-0E00-000020000000}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 shapeId="0" xr:uid="{00000000-0006-0000-0E00-000021000000}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 shapeId="0" xr:uid="{00000000-0006-0000-0E00-000022000000}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 shapeId="0" xr:uid="{00000000-0006-0000-0E00-000023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 shapeId="0" xr:uid="{00000000-0006-0000-0E00-000024000000}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 shapeId="0" xr:uid="{00000000-0006-0000-0E00-000025000000}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 shapeId="0" xr:uid="{00000000-0006-0000-0E00-000026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 shapeId="0" xr:uid="{00000000-0006-0000-0E00-000027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 shapeId="0" xr:uid="{00000000-0006-0000-0E00-000028000000}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 shapeId="0" xr:uid="{00000000-0006-0000-0E00-000029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 shapeId="0" xr:uid="{00000000-0006-0000-0E00-00002A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 shapeId="0" xr:uid="{00000000-0006-0000-0E00-00002B000000}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 shapeId="0" xr:uid="{00000000-0006-0000-0E00-00002C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 shapeId="0" xr:uid="{00000000-0006-0000-0E00-00002D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 shapeId="0" xr:uid="{00000000-0006-0000-0E00-00002E000000}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Stephane</author>
  </authors>
  <commentList>
    <comment ref="O9" authorId="0" shapeId="0" xr:uid="{00000000-0006-0000-0F00-000001000000}">
      <text>
        <r>
          <rPr>
            <b/>
            <sz val="9"/>
            <color indexed="81"/>
            <rFont val="Tahoma"/>
            <family val="2"/>
          </rPr>
          <t xml:space="preserve">
Per le </t>
        </r>
        <r>
          <rPr>
            <b/>
            <sz val="9"/>
            <color indexed="10"/>
            <rFont val="Tahoma"/>
            <family val="2"/>
          </rPr>
          <t>SALES</t>
        </r>
        <r>
          <rPr>
            <b/>
            <sz val="9"/>
            <color indexed="81"/>
            <rFont val="Tahoma"/>
            <family val="2"/>
          </rPr>
          <t xml:space="preserve"> indica la data di creazione.
Per le </t>
        </r>
        <r>
          <rPr>
            <b/>
            <sz val="9"/>
            <color indexed="10"/>
            <rFont val="Tahoma"/>
            <family val="2"/>
          </rPr>
          <t>SUPPLIES</t>
        </r>
        <r>
          <rPr>
            <b/>
            <sz val="9"/>
            <color indexed="81"/>
            <rFont val="Tahoma"/>
            <family val="2"/>
          </rPr>
          <t xml:space="preserve"> indica il giorno di consegna della merce.</t>
        </r>
      </text>
    </comment>
    <comment ref="CV22" authorId="0" shapeId="0" xr:uid="{00000000-0006-0000-0F00-000002000000}">
      <text>
        <r>
          <rPr>
            <b/>
            <sz val="9"/>
            <color indexed="81"/>
            <rFont val="Tahoma"/>
            <family val="2"/>
          </rPr>
          <t>Stephane:</t>
        </r>
        <r>
          <rPr>
            <sz val="9"/>
            <color indexed="81"/>
            <rFont val="Tahoma"/>
            <family val="2"/>
          </rPr>
          <t xml:space="preserve">
Il calcolo automatico dei cartoni funziona se si rispetta la regola seguente:
- Non si mischiano referenze né per prodotti normali né per i testers
Quindi se si avrà una spedizione con 3 testers di una referenza e 4 testers di un'altra li si metteranno in due cartoni differenti.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<sst xmlns="http://schemas.openxmlformats.org/spreadsheetml/2006/main" count="6669" uniqueCount="1234">
  <si>
    <t>sku</t>
  </si>
  <si>
    <t>category</t>
  </si>
  <si>
    <t>nr_of_products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</si>
  <si>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</si>
  <si>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</si>
  <si>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</si>
  <si>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</si>
  <si>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</si>
  <si>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</si>
  <si>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</si>
  <si>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</si>
  <si>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</si>
  <si>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lenght</t>
  </si>
  <si>
    <t>width</t>
  </si>
  <si>
    <t>height</t>
  </si>
  <si>
    <t>net_weight</t>
  </si>
  <si>
    <t>gross_weight</t>
  </si>
  <si>
    <t>size3</t>
  </si>
  <si>
    <t>product1_weight</t>
  </si>
  <si>
    <t>product2_weight</t>
  </si>
  <si>
    <t>product3_weight</t>
  </si>
  <si>
    <t>product4_weight</t>
  </si>
  <si>
    <t>country_of_origin</t>
  </si>
  <si>
    <t>cbm</t>
  </si>
  <si>
    <t>GS5008</t>
  </si>
  <si>
    <t>GIFTSET</t>
  </si>
  <si>
    <t>MAN</t>
  </si>
  <si>
    <t>BHPC GIFT SET SPORT MEN 1 EDT 50ML + DEO 175ML</t>
  </si>
  <si>
    <t>GIFT</t>
  </si>
  <si>
    <t>SPAIN</t>
  </si>
  <si>
    <t>GS5009</t>
  </si>
  <si>
    <t>BHPC GIFT SET SPORT MEN 9 EDT 50ML + DEO 175ML</t>
  </si>
  <si>
    <t>GS5010</t>
  </si>
  <si>
    <t>BHPC GIFT SET SPORT MEN 8 EDT 50ML + DEO 175ML</t>
  </si>
  <si>
    <t>GS5011</t>
  </si>
  <si>
    <t>BHPC GIFT SET SPORT MEN 2 EDT 50ML + DEO 175ML</t>
  </si>
  <si>
    <t>GS5028</t>
  </si>
  <si>
    <t>WOMAN</t>
  </si>
  <si>
    <t>BHPC GIFT SET WOMEN 1 EDP 50ML + DEO 150ML</t>
  </si>
  <si>
    <t>GS5029</t>
  </si>
  <si>
    <t>BHPC GIFT SET WOMEN 9 EDP 50ML + DEO 150ML</t>
  </si>
  <si>
    <t>GS5030</t>
  </si>
  <si>
    <t>BHPC GIFT SET WOMEN 8 EDP 50ML + DEO 150ML</t>
  </si>
  <si>
    <t>GS5031</t>
  </si>
  <si>
    <t>BHPC GIFT SET WOMEN 2 EDP 50ML + DEO 150ML</t>
  </si>
  <si>
    <t>GS7020</t>
  </si>
  <si>
    <t>BHPC GIFT SET MEN #1 EDT50ML+DEO175ML+ROLLON50ML</t>
  </si>
  <si>
    <t>GS7021</t>
  </si>
  <si>
    <t>BHPC GIFT SET MEN #9 EDT50ML+DEO175ML+ROLLON50ML</t>
  </si>
  <si>
    <t>GS7022</t>
  </si>
  <si>
    <t>BHPC GIFT SET MEN #8 EDT50ML+DEO175ML+ROLLON50ML</t>
  </si>
  <si>
    <t>GS7023</t>
  </si>
  <si>
    <t>BHPC GIFT SET MEN #2 EDT50ML+DEO175ML+ROLLON50ML</t>
  </si>
  <si>
    <t>GS7024</t>
  </si>
  <si>
    <t>BHPC GIFT SET WOMEN #1 EDP50ML+DEO150ML+ROLLON50ML</t>
  </si>
  <si>
    <t>GS7025</t>
  </si>
  <si>
    <t>BHPC GIFT SET WOMEN #9 EDP50ML+DEO150ML+ROLLON50ML</t>
  </si>
  <si>
    <t>GS7026</t>
  </si>
  <si>
    <t>BHPC GIFT SET WOMEN #8 EDP50ML+DEO150ML+ROLLON50ML</t>
  </si>
  <si>
    <t>GS7027</t>
  </si>
  <si>
    <t>BHPC GIFT SET WOMEN #2 EDP50ML+DEO150ML+ROLLON50ML</t>
  </si>
  <si>
    <t>P05008</t>
  </si>
  <si>
    <t>MASTIGE</t>
  </si>
  <si>
    <t>33030010</t>
  </si>
  <si>
    <t>BHPC SPORT MEN 1 EDT 50ML</t>
  </si>
  <si>
    <t>BOTTLE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</si>
  <si>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</si>
  <si>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</si>
  <si>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</si>
  <si>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</si>
  <si>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</si>
  <si>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</si>
  <si>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P05028</t>
  </si>
  <si>
    <t>BHPC WOMEN 1 EDP 50ML</t>
  </si>
  <si>
    <t>P05029</t>
  </si>
  <si>
    <t>BHPC WOMEN 9 EDP 50ML</t>
  </si>
  <si>
    <t>P05030</t>
  </si>
  <si>
    <t>BHPC WOMEN 8 EDP 50ML</t>
  </si>
  <si>
    <t>P05031</t>
  </si>
  <si>
    <t>BHPC WOMEN 2 EDP 50ML</t>
  </si>
  <si>
    <t>GS5004</t>
  </si>
  <si>
    <t>BHPC GIFT SET SPORT MEN 1 EDT 100ML + DEO 175ML</t>
  </si>
  <si>
    <t>GS5005</t>
  </si>
  <si>
    <t>BHPC GIFT SET SPORT MEN 9 EDT 100ML + DEO 175ML</t>
  </si>
  <si>
    <t>GS5006</t>
  </si>
  <si>
    <t>BHPC GIFT SET SPORT MEN 8 EDT 100ML + DEO 175ML</t>
  </si>
  <si>
    <t>GS5007</t>
  </si>
  <si>
    <t>BHPC GIFT SET SPORT MEN 2 EDT 100ML + DEO 175ML</t>
  </si>
  <si>
    <t>GS5050</t>
  </si>
  <si>
    <t>BHPC GIFT SET WOMEN 1 EDP 100ML + DEO 150ML</t>
  </si>
  <si>
    <t>GS5051</t>
  </si>
  <si>
    <t>BHPC GIFT SET WOMEN 9 EDP 100ML + DEO 150ML</t>
  </si>
  <si>
    <t>GS5052</t>
  </si>
  <si>
    <t>BHPC GIFT SET WOMEN 8 EDP 100ML + DEO 150ML</t>
  </si>
  <si>
    <t>GS5053</t>
  </si>
  <si>
    <t>BHPC GIFT SET WOMEN 2 EDP 100ML + DEO 150ML</t>
  </si>
  <si>
    <t>GSTRO3</t>
  </si>
  <si>
    <t xml:space="preserve">BHPC GIFTSET PRESTIGE TROPHY EDP100ML + DEO 300ML </t>
  </si>
  <si>
    <t xml:space="preserve">BHPC GIFTSET PRESTIGE ELEGANCE EDP100ML + DEO 250ML </t>
  </si>
  <si>
    <t>P05004</t>
  </si>
  <si>
    <t>BHPC SPORT MEN 1 EDT 100ML</t>
  </si>
  <si>
    <t>P05005</t>
  </si>
  <si>
    <t>BHPC SPORT MEN 9 EDT 100ML</t>
  </si>
  <si>
    <t>P05006</t>
  </si>
  <si>
    <t>BHPC SPORT MEN 8 EDT 100ML</t>
  </si>
  <si>
    <t>P05007</t>
  </si>
  <si>
    <t>BHPC SPORT MEN 2 EDT 100ML</t>
  </si>
  <si>
    <t>P05050</t>
  </si>
  <si>
    <t>BHPC WOMEN 1 EDP 100ML</t>
  </si>
  <si>
    <t>P05051</t>
  </si>
  <si>
    <t>BHPC WOMEN 9 EDP 100ML</t>
  </si>
  <si>
    <t>P05052</t>
  </si>
  <si>
    <t>BHPC WOMEN 8 EDP 100ML</t>
  </si>
  <si>
    <t>P05053</t>
  </si>
  <si>
    <t>BHPC WOMEN 2 EDP 100ML</t>
  </si>
  <si>
    <t>P06000</t>
  </si>
  <si>
    <t>PRESTIGE</t>
  </si>
  <si>
    <t>BHPC PRESTIGE TROPHY 100ML EDP MEN</t>
  </si>
  <si>
    <t>P06001</t>
  </si>
  <si>
    <t>BHPC PRESTIGE HERITAGE OUD 100ML EDP MEN</t>
  </si>
  <si>
    <t>P06002</t>
  </si>
  <si>
    <t>BHPC PRESTIGE TOUR 100ML EDP MEN</t>
  </si>
  <si>
    <t>P06003</t>
  </si>
  <si>
    <t>BHPC PRESTIGE TITAN 100ML EDP MEN</t>
  </si>
  <si>
    <t>P06004</t>
  </si>
  <si>
    <t>BHPC PRESTIGE ELEGANCE 100ML EDP WOMEN</t>
  </si>
  <si>
    <t>P06005</t>
  </si>
  <si>
    <t>BHPC PRESTIGE CHALLENGE 100ML EDP WOMEN</t>
  </si>
  <si>
    <t>P06006</t>
  </si>
  <si>
    <t>BHPC PRESTIGE MYSTIQUE 100ML EDP WOMEN</t>
  </si>
  <si>
    <t>P06007</t>
  </si>
  <si>
    <t>BHPC PRESTIGE PASSION 100ML EDP WOMEN</t>
  </si>
  <si>
    <t>PT6000</t>
  </si>
  <si>
    <t>TESTER</t>
  </si>
  <si>
    <t>BHPC TESTERS TROPHY 100ML EDP MEN</t>
  </si>
  <si>
    <t>PT6001</t>
  </si>
  <si>
    <t>BHPC TESTERS HERITAGE OUD 100ML EDP MEN</t>
  </si>
  <si>
    <t>PT6002</t>
  </si>
  <si>
    <t>BHPC TESTERS TOUR 100ML EDP MEN</t>
  </si>
  <si>
    <t>PT6003</t>
  </si>
  <si>
    <t>BHPC TESTERS TITAN 100ML EDP MEN</t>
  </si>
  <si>
    <t>PT6004</t>
  </si>
  <si>
    <t>BHPC TESTERS ELEGANCE 100ML EDP WOMEN</t>
  </si>
  <si>
    <t>PT6005</t>
  </si>
  <si>
    <t>BHPC TESTERS CHALLENGE 100ML EDP WOMEN</t>
  </si>
  <si>
    <t>PT6006</t>
  </si>
  <si>
    <t>BHPC TESTERS MYSTIQUE 100ML EDP WOMEN</t>
  </si>
  <si>
    <t>PT6007</t>
  </si>
  <si>
    <t>BHPC TESTERS PASSION 100ML EDP WOMEN</t>
  </si>
  <si>
    <t>P06020</t>
  </si>
  <si>
    <t>BHPC PRESTIGE KNIGHT 100ML EDP MEN</t>
  </si>
  <si>
    <t>P06021</t>
  </si>
  <si>
    <t>BHPC PRESTIGE ROYALE 100ML EDP MEN</t>
  </si>
  <si>
    <t>PT6020</t>
  </si>
  <si>
    <t>BHPC TESTERS KNIGHT 100ML EDP MEN</t>
  </si>
  <si>
    <t>PT6021</t>
  </si>
  <si>
    <t>BHPC TESTERS ROYALE 100ML EDP MEN</t>
  </si>
  <si>
    <t>P05024</t>
  </si>
  <si>
    <t>DEODORANT</t>
  </si>
  <si>
    <t>33072000</t>
  </si>
  <si>
    <t>BHPC WOMEN 1 DEO 150ML</t>
  </si>
  <si>
    <t>CAN</t>
  </si>
  <si>
    <t>P05025</t>
  </si>
  <si>
    <t>BHPC WOMEN 9 DEO 150ML</t>
  </si>
  <si>
    <t>P05026</t>
  </si>
  <si>
    <t>BHPC WOMEN 8 DEO 150ML</t>
  </si>
  <si>
    <t>P05027</t>
  </si>
  <si>
    <t>BHPC WOMEN 2 DEO 150ML</t>
  </si>
  <si>
    <t>P05000</t>
  </si>
  <si>
    <t>BHPC SPORT MEN 1 DEO 175ML</t>
  </si>
  <si>
    <t>P05001</t>
  </si>
  <si>
    <t>BHPC SPORT MEN 9 DEO 175ML</t>
  </si>
  <si>
    <t>P05002</t>
  </si>
  <si>
    <t>BHPC SPORT MEN 8 DEO 175ML</t>
  </si>
  <si>
    <t>P05003</t>
  </si>
  <si>
    <t>BHPC SPORT MEN 2 DEO 175ML</t>
  </si>
  <si>
    <t>PBM001</t>
  </si>
  <si>
    <t>BODYMIST</t>
  </si>
  <si>
    <t>33030090</t>
  </si>
  <si>
    <t>BHPC WOMEN BODY MIST #1 EVOKING GARDENIA 200ML</t>
  </si>
  <si>
    <t>INDIA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</si>
  <si>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</si>
  <si>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</si>
  <si>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</si>
  <si>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</si>
  <si>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</si>
  <si>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</si>
  <si>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BHPC PRESTIGE ELEGANCE DEO 250ML</t>
  </si>
  <si>
    <t>BHPC PRESTIGE TROPHY DEO 300ML</t>
  </si>
  <si>
    <t>P07000</t>
  </si>
  <si>
    <t>ROLL-ON</t>
  </si>
  <si>
    <t>BHPC MEN ROLL-ON 1 50ML</t>
  </si>
  <si>
    <t>P07001</t>
  </si>
  <si>
    <t>BHPC MEN ROLL-ON 9 50ML</t>
  </si>
  <si>
    <t>P07002</t>
  </si>
  <si>
    <t>BHPC MEN ROLL-ON 8 50ML</t>
  </si>
  <si>
    <t>P07003</t>
  </si>
  <si>
    <t>BHPC MEN ROLL-ON 2 50ML</t>
  </si>
  <si>
    <t>GSTM12</t>
  </si>
  <si>
    <t>BHPC TWINPACK SPORTS MEN DEO #1 #2 175ML</t>
  </si>
  <si>
    <t>GSTM18</t>
  </si>
  <si>
    <t>BHPC TWINPACK SPORTS MEN DEO #1 #8 175ML</t>
  </si>
  <si>
    <t>GSTM19</t>
  </si>
  <si>
    <t>BHPC TWINPACK SPORTS MEN DEO #1 #9 175ML</t>
  </si>
  <si>
    <t>GSTM28</t>
  </si>
  <si>
    <t>BHPC TWINPACK SPORTS MEN DEO #2 #8 175ML</t>
  </si>
  <si>
    <t>GSTM29</t>
  </si>
  <si>
    <t>BHPC TWINPACK SPORTS MEN DEO #2 #9 175ML</t>
  </si>
  <si>
    <t>GSTM89</t>
  </si>
  <si>
    <t>BHPC TWINPACK SPORTS MEN DEO #8 #9 175ML</t>
  </si>
  <si>
    <t>GSTW18</t>
  </si>
  <si>
    <t>BHPC TWINPACK DEO WOMEN #1 #8 150ML</t>
  </si>
  <si>
    <t>GSTW19</t>
  </si>
  <si>
    <t>BHPC TWINPACK DEO WOMEN #1 #9 150ML</t>
  </si>
  <si>
    <t>GSTW89</t>
  </si>
  <si>
    <t>BHPC TWINPACK DEO WOMEN #8 #9 150ML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</si>
  <si>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</si>
  <si>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</si>
  <si>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</si>
  <si>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</si>
  <si>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</si>
  <si>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</si>
  <si>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</si>
  <si>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</si>
  <si>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</si>
  <si>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</si>
  <si>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</si>
  <si>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</si>
  <si>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</si>
  <si>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</si>
  <si>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</si>
  <si>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</si>
  <si>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</si>
  <si>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</si>
  <si>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</si>
  <si>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4BEAUTY4YOU</t>
  </si>
  <si>
    <t>POLAND</t>
  </si>
  <si>
    <t>4BEAUTY 4YOU SP. Z O. O. SP. K.</t>
  </si>
  <si>
    <t>UL. WIOSNY LUDÓW 21</t>
  </si>
  <si>
    <t>44-321 MARKLOWICE</t>
  </si>
  <si>
    <t>POLSKA / POLAND</t>
  </si>
  <si>
    <t>UL. KOLEJOWA 2/1</t>
  </si>
  <si>
    <t>44-230 CZERWIONKA - LESZCZYNY</t>
  </si>
  <si>
    <t>PL6423224141</t>
  </si>
  <si>
    <t>024 - IN ADVANCE</t>
  </si>
  <si>
    <t>FOT VENTIMIGLIA - ITALY</t>
  </si>
  <si>
    <t>EUR</t>
  </si>
  <si>
    <t>061</t>
  </si>
  <si>
    <t>CESS. CEE AR. 41 L 427</t>
  </si>
  <si>
    <t>A&amp;A DISTRIBUTION</t>
  </si>
  <si>
    <t>ROMANIA</t>
  </si>
  <si>
    <t>AUTOSTRADA A1 BUCURESTI PITESTI KM13</t>
  </si>
  <si>
    <t>CLADIREA BUCH 6, UNIT F, RAMPA 1, 2, 3</t>
  </si>
  <si>
    <t>CTPARK BUCHAREST 6, SAT DRAGOMIRESTI</t>
  </si>
  <si>
    <t>RO44479488</t>
  </si>
  <si>
    <t>A&amp;G KLEIMA</t>
  </si>
  <si>
    <t>CYPRUS</t>
  </si>
  <si>
    <t>"BANCO DESIO" - IBAN: IT 59 M 03440 49110 000047251833 - SWIFT : BDBDIT22 - BENEFICIARY : COPPO 1896 S.P.A.</t>
  </si>
  <si>
    <t>A &amp; G KLEIMA IMPORT EXPORT LIMITED</t>
  </si>
  <si>
    <t>2 AYIOU ATHANASIOU</t>
  </si>
  <si>
    <t>7102 ARADIPPOU LARNACA</t>
  </si>
  <si>
    <t xml:space="preserve">CYPRUS </t>
  </si>
  <si>
    <t>CY99000130O</t>
  </si>
  <si>
    <t>ABU SHAKRA</t>
  </si>
  <si>
    <t>JORDAN</t>
  </si>
  <si>
    <t>ABU SHAKRA TRADING COMPANY</t>
  </si>
  <si>
    <t>BAYDER WADI AL SEER</t>
  </si>
  <si>
    <t>USD</t>
  </si>
  <si>
    <t>053</t>
  </si>
  <si>
    <t>NON IMPONIBILE ART.8</t>
  </si>
  <si>
    <t>ACADEMY GROUP</t>
  </si>
  <si>
    <t>GEORGIA</t>
  </si>
  <si>
    <t>"BANCO BPM" - IBAN: IT 98 R 05034 10500 000000000813 - (BIC)  SWIFT: BAPPIT22</t>
  </si>
  <si>
    <t xml:space="preserve">ACADEMY GROUP LLC </t>
  </si>
  <si>
    <t>87 E, AKAKI TSERETELI AVE</t>
  </si>
  <si>
    <t>0119 TBILISI, GEORGIA</t>
  </si>
  <si>
    <t>TBILISI 0179, GEORGIA</t>
  </si>
  <si>
    <t>APPAREL FZCO</t>
  </si>
  <si>
    <t>UAE</t>
  </si>
  <si>
    <t>JAFZA - DUBAI</t>
  </si>
  <si>
    <t>UNITED ARAB EMIRATES</t>
  </si>
  <si>
    <t>BACHER &amp; CO</t>
  </si>
  <si>
    <t>SOUTH AFRICA</t>
  </si>
  <si>
    <t>S BACHER AND COMPANY (PTY) LTD</t>
  </si>
  <si>
    <t>PO BOX 29296</t>
  </si>
  <si>
    <t>SANDRINGHAM, GAUTENG, 2131,</t>
  </si>
  <si>
    <t>2131 SANDRINGHAM, SOUTH AFRICA</t>
  </si>
  <si>
    <t>BEAUTIFUL DISTRIBUIDORA</t>
  </si>
  <si>
    <t>BRAZIL</t>
  </si>
  <si>
    <t>BEAUTIFUL DISTRIBUIDORA E VARIACOES LTDA</t>
  </si>
  <si>
    <t>ROD GOVERNADOR MÁRIO COVAS, 1941</t>
  </si>
  <si>
    <t>BEAUTY &amp; LUXURY</t>
  </si>
  <si>
    <t>ITALY</t>
  </si>
  <si>
    <t>BEAUTY AND LUXURY SPA</t>
  </si>
  <si>
    <t>VIA VIENNA, 6</t>
  </si>
  <si>
    <t>43010 FONTEVIVO (PR)</t>
  </si>
  <si>
    <t>VIA ALESSANDRO MANZONI 38</t>
  </si>
  <si>
    <t>20121 MILANO, ITALIA</t>
  </si>
  <si>
    <t>IT08169740969</t>
  </si>
  <si>
    <t>50% AGAINST PROFORMA INVOICE - 50% BEFORE SHIPMENT</t>
  </si>
  <si>
    <t>022</t>
  </si>
  <si>
    <t>ALIQUOTA 22%</t>
  </si>
  <si>
    <t>BHPC BELGIUM</t>
  </si>
  <si>
    <t>BELGIUM</t>
  </si>
  <si>
    <t>BHPC LIFESTYLE FZE</t>
  </si>
  <si>
    <t xml:space="preserve">UL. WIOSNY LUDOW 21 </t>
  </si>
  <si>
    <t>PL, 44-321 MARKLOWICE</t>
  </si>
  <si>
    <t>B-2060 ANTWERP - BELGIUM</t>
  </si>
  <si>
    <t>BE0746419651</t>
  </si>
  <si>
    <t>019 - NET120</t>
  </si>
  <si>
    <t>BHPC DUBAI</t>
  </si>
  <si>
    <t>BEVERLY HILLS POLO CLUB FZCO</t>
  </si>
  <si>
    <t xml:space="preserve">LIU BUILDING 4, OFFICE A7, </t>
  </si>
  <si>
    <t>P.O.BOX. 938558, DUBAI SILICON OASIS</t>
  </si>
  <si>
    <t>DUBAI, UNITED ARAB EMIRATES</t>
  </si>
  <si>
    <t>DUBAI SILICON OASIS</t>
  </si>
  <si>
    <t>P.O. BOX 938558 - DUBAI - U.A.E.</t>
  </si>
  <si>
    <t>BHPC ISTANBUL</t>
  </si>
  <si>
    <t>TURKEY</t>
  </si>
  <si>
    <t xml:space="preserve">BHPC ISTANBUL </t>
  </si>
  <si>
    <t>GİYİM SANAYİ ANONİM ŞİRKETİ</t>
  </si>
  <si>
    <t>C&amp;F INSTANBUL - TURKEY</t>
  </si>
  <si>
    <t>GERMANY</t>
  </si>
  <si>
    <t>BRASMARK CORP.</t>
  </si>
  <si>
    <t>BRITISH GUYANA</t>
  </si>
  <si>
    <t>CIELOMED</t>
  </si>
  <si>
    <t>MALTA</t>
  </si>
  <si>
    <t>CIELOMED ENTERPRISES LTD</t>
  </si>
  <si>
    <t>33, PAUL &amp; WATERS</t>
  </si>
  <si>
    <t>TRIQ IL-KARMELITANI</t>
  </si>
  <si>
    <t>FGURA, MALTA</t>
  </si>
  <si>
    <t>MT11556301</t>
  </si>
  <si>
    <t>DIACOSMO</t>
  </si>
  <si>
    <t>DIACOSMO BELGIUM NV</t>
  </si>
  <si>
    <t>BE0436751606</t>
  </si>
  <si>
    <t>DRUNI</t>
  </si>
  <si>
    <t>"INTESA SANPAOLO SPA" - IBAN: IT15 I030 6949 1101 0000 0009 776 - (BIC)  SWIFT: BCITITMM</t>
  </si>
  <si>
    <t>DRUNI, S.A.</t>
  </si>
  <si>
    <t>CALLE LEVANTE, 24</t>
  </si>
  <si>
    <t>P.I. "CIUTAT DE CARLET"</t>
  </si>
  <si>
    <t>46240 VALENCIA, SPAIN</t>
  </si>
  <si>
    <t>ESA46581666</t>
  </si>
  <si>
    <t>DUNSTAN</t>
  </si>
  <si>
    <t>DENMARK</t>
  </si>
  <si>
    <t>DUNSTAN APS</t>
  </si>
  <si>
    <t>DK37860441</t>
  </si>
  <si>
    <t>ESSENCE CORP.</t>
  </si>
  <si>
    <t>CARIBBEAN</t>
  </si>
  <si>
    <t>FACES GROUP</t>
  </si>
  <si>
    <t>GLOBAL BEAUTY</t>
  </si>
  <si>
    <t>EXW VENTIMIGLIA - ITALY</t>
  </si>
  <si>
    <t>HEALTH &amp; BEAUTY INT.</t>
  </si>
  <si>
    <t>ILM</t>
  </si>
  <si>
    <t>CHILE</t>
  </si>
  <si>
    <t>INTERNATIONAL CELEBRITY BRANDS</t>
  </si>
  <si>
    <t>GREECE</t>
  </si>
  <si>
    <t>LINDO CHAIN</t>
  </si>
  <si>
    <t>ISRAEL</t>
  </si>
  <si>
    <t>DE339569838</t>
  </si>
  <si>
    <t>NET30</t>
  </si>
  <si>
    <t>CIP HAMBURG, GERMANY</t>
  </si>
  <si>
    <t>MÖRTH &amp; MÖRTH</t>
  </si>
  <si>
    <t>AUSTRIA</t>
  </si>
  <si>
    <t>NORDIC</t>
  </si>
  <si>
    <t>ORCOS</t>
  </si>
  <si>
    <t>MONTENEGRO</t>
  </si>
  <si>
    <t>PARFUMOOV</t>
  </si>
  <si>
    <t>FRANCE</t>
  </si>
  <si>
    <t>PER SCENT</t>
  </si>
  <si>
    <t>PRESTIGE BRANDS</t>
  </si>
  <si>
    <t>EL800758437</t>
  </si>
  <si>
    <t>RENALKO KAUBANDUS</t>
  </si>
  <si>
    <t>ESTONIA</t>
  </si>
  <si>
    <t>SIBO</t>
  </si>
  <si>
    <t>HUNGARY</t>
  </si>
  <si>
    <t>SIGMA</t>
  </si>
  <si>
    <t>PARAGUAY</t>
  </si>
  <si>
    <t>SOLVENT</t>
  </si>
  <si>
    <t>CZECH REP.</t>
  </si>
  <si>
    <t>size</t>
  </si>
  <si>
    <t>order_no</t>
  </si>
  <si>
    <t>qty</t>
  </si>
  <si>
    <t>disc_qty</t>
  </si>
  <si>
    <t>disc_price</t>
  </si>
  <si>
    <t>foc_qty</t>
  </si>
  <si>
    <t>cost_price</t>
  </si>
  <si>
    <t>order_date</t>
  </si>
  <si>
    <t>customer</t>
  </si>
  <si>
    <t>exchange_rate</t>
  </si>
  <si>
    <t>carton_no</t>
  </si>
  <si>
    <t>pallet_type</t>
  </si>
  <si>
    <t>pallet_no</t>
  </si>
  <si>
    <t>carrier_name</t>
  </si>
  <si>
    <t>carrier_cost</t>
  </si>
  <si>
    <t>on_bhpc_behalf</t>
  </si>
  <si>
    <t>status</t>
  </si>
  <si>
    <t>invoice_no</t>
  </si>
  <si>
    <t>invoice_date</t>
  </si>
  <si>
    <t>payment_type</t>
  </si>
  <si>
    <t>payment_date</t>
  </si>
  <si>
    <t>payed</t>
  </si>
  <si>
    <t>cost_of_goods</t>
  </si>
  <si>
    <t>profit</t>
  </si>
  <si>
    <t>other_cost_per_hour</t>
  </si>
  <si>
    <t>other_cost_desc</t>
  </si>
  <si>
    <t>order_notes</t>
  </si>
  <si>
    <t>shipping_method</t>
  </si>
  <si>
    <t>accountable</t>
  </si>
  <si>
    <t>Documents Ready</t>
  </si>
  <si>
    <t>Pallets Ready</t>
  </si>
  <si>
    <t>ON WAITING</t>
  </si>
  <si>
    <t>Order Confirmed</t>
  </si>
  <si>
    <t>Closed</t>
  </si>
  <si>
    <t>ARTICOLO</t>
  </si>
  <si>
    <t>DESCRIZIONE</t>
  </si>
  <si>
    <t>U.M.</t>
  </si>
  <si>
    <t>ESISTENZA</t>
  </si>
  <si>
    <t>COSTO UNITARIO</t>
  </si>
  <si>
    <t>PZ</t>
  </si>
  <si>
    <t>GS5068</t>
  </si>
  <si>
    <t>BHPC GIFT SET SPORT MEN 1 EDT 50ML + ROLL-ON 50ML</t>
  </si>
  <si>
    <t>GS5072</t>
  </si>
  <si>
    <t>BHPC GIFT SET WOMEN 1 EDP 50ML + ROLL-ON 50ML</t>
  </si>
  <si>
    <t>BHPC 3PCS GIFT SET MEN #1 EDT50ML+DEO175ML+ROLLON50ML</t>
  </si>
  <si>
    <t>BHPC 3PCS GIFT SET MEN #9 EDT50ML+DEO175ML+ROLLON50ML</t>
  </si>
  <si>
    <t>BHPC 3PCS GIFT SET MEN #8 EDT50ML+DEO175ML+ROLLON50ML</t>
  </si>
  <si>
    <t>BHPC 3PCS GIFT SET MEN #2 EDT50ML+DEO175ML+ROLLON50ML</t>
  </si>
  <si>
    <t>BHPC 3PCS GIFT SET WOMEN #9 EDP50ML+DEO150ML+ROLLON50ML</t>
  </si>
  <si>
    <t>BHPC 3PCS GIFT SET WOMEN #8 EDP50ML+DEO150ML+ROLLON50ML</t>
  </si>
  <si>
    <t>BHPC 3PCS GIFT SET WOMEN #2 EDP50ML+DEO150ML+ROLLON50ML</t>
  </si>
  <si>
    <t>GSSP4M</t>
  </si>
  <si>
    <t>BHPC GIFT SET SERIES 4 DEO MEN</t>
  </si>
  <si>
    <t>GSSP4W</t>
  </si>
  <si>
    <t>BHPC GIFTSET SERIES 4DEO WOMEN</t>
  </si>
  <si>
    <t>BHPC TWINPACK DEO MEN 1-2</t>
  </si>
  <si>
    <t>BHPC TWINPACK DEO MEN 1-8</t>
  </si>
  <si>
    <t>BHPC TWINPACK DEO MEN 1-9</t>
  </si>
  <si>
    <t>BHPC TWINPACK DEO MEN 2-8</t>
  </si>
  <si>
    <t>BHPC TWINPACK DEO MEN 2-9</t>
  </si>
  <si>
    <t>BHPC TWINPACK DEO MEN 8-9</t>
  </si>
  <si>
    <t>BHPC GIFT SET PRESTIGE TROPHY EDP 100ML + DEO 300ML</t>
  </si>
  <si>
    <t>GSTW12</t>
  </si>
  <si>
    <t>BHPC TWINPACK DEO WOMEN 1-2</t>
  </si>
  <si>
    <t>BHPC TWINPACK DEO WOMEN 1-8</t>
  </si>
  <si>
    <t>BHPC TWINPACK DEO WOMEN 1-9</t>
  </si>
  <si>
    <t>GSTW28</t>
  </si>
  <si>
    <t>BHPC TWINPACK DEO WOMEN 2-8</t>
  </si>
  <si>
    <t>GSTW29</t>
  </si>
  <si>
    <t>BHPC TWINPACK DEO WOMEN 2-9</t>
  </si>
  <si>
    <t>BHPC TWINPACK DEO WOMEN 8-9</t>
  </si>
  <si>
    <t>P00001</t>
  </si>
  <si>
    <t>BHPC T-SHIRTS</t>
  </si>
  <si>
    <t>P00002</t>
  </si>
  <si>
    <t>BHPC POUCHES</t>
  </si>
  <si>
    <t>P07004</t>
  </si>
  <si>
    <t>BHPC WOMEN ROLL-ON 1 50ML</t>
  </si>
  <si>
    <t>P07005</t>
  </si>
  <si>
    <t>BHPC WOMEN ROLL-ON 9 50ML</t>
  </si>
  <si>
    <t>P07006</t>
  </si>
  <si>
    <t>BHPC WOMEN ROLL-ON 8 50ML</t>
  </si>
  <si>
    <t>P07007</t>
  </si>
  <si>
    <t>BHPC WOMEN ROLL-ON 2 50ML</t>
  </si>
  <si>
    <t>X00TPM</t>
  </si>
  <si>
    <t>BHPC BOX TWIN PACK DEO MEN</t>
  </si>
  <si>
    <t>X00TPW</t>
  </si>
  <si>
    <t>BHPC BOX TWIN PACK DEO WOMEN</t>
  </si>
  <si>
    <t>X0SP4M</t>
  </si>
  <si>
    <t>BHPC BOX SERIES 4 DEO MEN</t>
  </si>
  <si>
    <t>X0SP4W</t>
  </si>
  <si>
    <t>BHPC BOX SERIES 4 DEO WOMEN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</si>
  <si>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</si>
  <si>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</si>
  <si>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</si>
  <si>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</si>
  <si>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</si>
  <si>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</si>
  <si>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</si>
  <si>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</si>
  <si>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</si>
  <si>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</si>
  <si>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</si>
  <si>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</si>
  <si>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</si>
  <si>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</si>
  <si>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</si>
  <si>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BEVERLY HILLS POLO CLUB EDP / EDT / DEO / GIFT SETS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</si>
  <si>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</si>
  <si>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</si>
  <si>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</si>
  <si>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</si>
  <si>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</si>
  <si>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</si>
  <si>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</si>
  <si>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</si>
  <si>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</si>
  <si>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</si>
  <si>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</si>
  <si>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</si>
  <si>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</si>
  <si>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</si>
  <si>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</si>
  <si>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SUBTOTAL PAG. 1</t>
  </si>
  <si>
    <t>FREE OF CHARGE / F.O.C</t>
  </si>
  <si>
    <t>COUNTRY OF DESTINATION</t>
  </si>
  <si>
    <t>PACKING LIST</t>
  </si>
  <si>
    <t>MADE IN</t>
  </si>
  <si>
    <t>VESSEL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</si>
  <si>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</si>
  <si>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</si>
  <si>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</si>
  <si>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</si>
  <si>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</si>
  <si>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</si>
  <si>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</si>
  <si>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</si>
  <si>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</si>
  <si>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</si>
  <si>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</si>
  <si>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</si>
  <si>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</si>
  <si>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</si>
  <si>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</si>
  <si>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</si>
  <si>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</si>
  <si>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</si>
  <si>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</si>
  <si>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</si>
  <si>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</si>
  <si>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</si>
  <si>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</si>
  <si>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</si>
  <si>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</si>
  <si>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</si>
  <si>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</si>
  <si>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</si>
  <si>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</si>
  <si>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</si>
  <si>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</si>
  <si>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</si>
  <si>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</si>
  <si>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</si>
  <si>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</si>
  <si>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</si>
  <si>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</si>
  <si>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</si>
  <si>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</si>
  <si>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</si>
  <si>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</si>
  <si>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</si>
  <si>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</si>
  <si>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</si>
  <si>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</si>
  <si>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</si>
  <si>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</si>
  <si>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</si>
  <si>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</si>
  <si>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</si>
  <si>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</si>
  <si>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</si>
  <si>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</si>
  <si>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</si>
  <si>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</si>
  <si>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</si>
  <si>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</si>
  <si>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</si>
  <si>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</si>
  <si>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</si>
  <si>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</si>
  <si>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</si>
  <si>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</si>
  <si>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</si>
  <si>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</si>
  <si>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</si>
  <si>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</si>
  <si>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</si>
  <si>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</si>
  <si>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</si>
  <si>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</si>
  <si>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</si>
  <si>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</si>
  <si>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</si>
  <si>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</si>
  <si>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</si>
  <si>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</si>
  <si>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</si>
  <si>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</si>
  <si>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</si>
  <si>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</si>
  <si>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Filter By Client</t>
  </si>
  <si>
    <t>Selected Client</t>
  </si>
  <si>
    <t>Products Details</t>
  </si>
  <si>
    <t>Order Sum Up</t>
  </si>
  <si>
    <t>Name:</t>
  </si>
  <si>
    <t>cts</t>
  </si>
  <si>
    <t>cts_foc</t>
  </si>
  <si>
    <t>warehouse</t>
  </si>
  <si>
    <t>Filter By Status</t>
  </si>
  <si>
    <t>Selected Order</t>
  </si>
  <si>
    <t># of references</t>
  </si>
  <si>
    <t>Country:</t>
  </si>
  <si>
    <t>total cost</t>
  </si>
  <si>
    <t>Invoice No.</t>
  </si>
  <si>
    <t>Payment 
Account:</t>
  </si>
  <si>
    <t>tot units</t>
  </si>
  <si>
    <t>tot disc units</t>
  </si>
  <si>
    <t>exp profit</t>
  </si>
  <si>
    <t>tot FOC</t>
  </si>
  <si>
    <t>FOC ratio</t>
  </si>
  <si>
    <t>Payment Type:</t>
  </si>
  <si>
    <t>tot FOC cost</t>
  </si>
  <si>
    <t>FOC/TOT COST ratio</t>
  </si>
  <si>
    <t>Description</t>
  </si>
  <si>
    <t>VAT No:</t>
  </si>
  <si>
    <t>Logistic Sum Up</t>
  </si>
  <si>
    <t>Legal HQ:</t>
  </si>
  <si>
    <t>tot cartons</t>
  </si>
  <si>
    <t>net weight</t>
  </si>
  <si>
    <t>gross weight</t>
  </si>
  <si>
    <t>Logistic HQ:</t>
  </si>
  <si>
    <t>SUBSTATUS</t>
  </si>
  <si>
    <t>Availability Check</t>
  </si>
  <si>
    <t>Transport Organized</t>
  </si>
  <si>
    <t>Ready To Ship</t>
  </si>
  <si>
    <t>Shipped</t>
  </si>
  <si>
    <t>Delivered</t>
  </si>
  <si>
    <t>sales_lastLocaleChange</t>
  </si>
  <si>
    <t>orders_lastLocaleChange</t>
  </si>
  <si>
    <t>client_lastLocaleChange</t>
  </si>
  <si>
    <t>bhpcData_lastLocaleChange</t>
  </si>
  <si>
    <t>URUGUAY</t>
  </si>
  <si>
    <t>GILMUR COMPANY S.A.</t>
  </si>
  <si>
    <t>ITUZAINGO AL SUR S/N</t>
  </si>
  <si>
    <t>ZONA FRANCA FLORID, FLORIDA</t>
  </si>
  <si>
    <t>Customer Details</t>
  </si>
  <si>
    <t>Data folder location</t>
  </si>
  <si>
    <t>80x120</t>
  </si>
  <si>
    <t>Order Count</t>
  </si>
  <si>
    <t>-</t>
  </si>
  <si>
    <t>AL UTHAMAA STREET BLDG NO 40</t>
  </si>
  <si>
    <t>VAKE DISTRICT,1</t>
  </si>
  <si>
    <t>CHAVCHAVADZE AVE N 78</t>
  </si>
  <si>
    <t>PO. BOX 261873,</t>
  </si>
  <si>
    <t>STATO ESPÍRITO SANTO, 29157-275, BRAZIL</t>
  </si>
  <si>
    <t>C/O LOGIP</t>
  </si>
  <si>
    <t>C/O HERFURTH LOGISTICS NV</t>
  </si>
  <si>
    <t>C/O FOJCIK TRANSPORT SP. Z O.O.</t>
  </si>
  <si>
    <t>CASSIERSSTRAAT, 19</t>
  </si>
  <si>
    <t>FISCAL REPRESENTATIVE BE 0746419651</t>
  </si>
  <si>
    <t>LIGHT INDUSTRIAL UNIT, PHASE - 4 UNIT - A07</t>
  </si>
  <si>
    <t>MAHMUTBEY MAH DILMENLER CAD. NO 19-/31</t>
  </si>
  <si>
    <t>BAĞCILAR/İSTANBUL</t>
  </si>
  <si>
    <t>BLUE OCEAN STRATEGIES, LLC</t>
  </si>
  <si>
    <t>3RD FLOOR WEST, LANCHESTER</t>
  </si>
  <si>
    <t>TRAFALGAR PLACE, BRIGHTON,</t>
  </si>
  <si>
    <t>EAST SUSSEX, BN1 4FU, UK</t>
  </si>
  <si>
    <t>GB303097824</t>
  </si>
  <si>
    <t>AGAINST PROFORMA INVOICE</t>
  </si>
  <si>
    <t>GBP</t>
  </si>
  <si>
    <t>BRASMARK CORPORATION, S.A.</t>
  </si>
  <si>
    <t xml:space="preserve">EDIF. SAN FRANCISO PARK PISO 9, </t>
  </si>
  <si>
    <t>COCO DEL MAR</t>
  </si>
  <si>
    <t>PANAMA - PANAMA</t>
  </si>
  <si>
    <t>R.U.C. 182503-1-392516 DV 90</t>
  </si>
  <si>
    <t>DE LANGE BEEMDEN 27</t>
  </si>
  <si>
    <t>3550 HEUSDEN ZOLDER</t>
  </si>
  <si>
    <t>60DD - DELIVERY DATE</t>
  </si>
  <si>
    <t>CIP CARRETERA CRUZ NEGRA, 15, 46240 CARLET, VALENCIA SPAIN</t>
  </si>
  <si>
    <t>VOLDBJERGVEJ 16A</t>
  </si>
  <si>
    <t>8240 RISSKOV, DENMARK</t>
  </si>
  <si>
    <t>CPT ODENSE SØ - DENMARK</t>
  </si>
  <si>
    <t>GILMUR COMPANY</t>
  </si>
  <si>
    <t>IMMEUBLE ENAKHILL</t>
  </si>
  <si>
    <t>17 RUE DU LAC BIWA</t>
  </si>
  <si>
    <t>1053 LES BERGES DU LAC</t>
  </si>
  <si>
    <t>TUNIS - TUNISIE</t>
  </si>
  <si>
    <t>INVERSIONES LA MUNDIAL LIMITADA</t>
  </si>
  <si>
    <t>LIBERTAD NO 790, LOCAL 1,</t>
  </si>
  <si>
    <t>R.U.T. : 78.146.900-9</t>
  </si>
  <si>
    <t>LINDO CHAIN LTD</t>
  </si>
  <si>
    <t xml:space="preserve">IMBER ST 5 </t>
  </si>
  <si>
    <t>PETAH TIKVA, ISRAEL</t>
  </si>
  <si>
    <t>LUXUM BEAUTY GMBH</t>
  </si>
  <si>
    <t>LANDHAUSSTRAßE 97</t>
  </si>
  <si>
    <t>70190 STUTTGART, GERMANY</t>
  </si>
  <si>
    <t>LILIENPARK 2</t>
  </si>
  <si>
    <t>8072 FERNITZ-MELLACH / AUSTRIA</t>
  </si>
  <si>
    <t>ATU47838808</t>
  </si>
  <si>
    <t>DAP FERNITZ-MELLACH / AUSTRIA</t>
  </si>
  <si>
    <t>PARFUMOOV, SARL</t>
  </si>
  <si>
    <t>N° 8 ZONE ACTIVITÉ ROQUE FORCADE</t>
  </si>
  <si>
    <t>13720 BELCODENE, FRANCE</t>
  </si>
  <si>
    <t>FR00499847010</t>
  </si>
  <si>
    <t>PER-SCENT LTD</t>
  </si>
  <si>
    <t>GB844298889</t>
  </si>
  <si>
    <t>PRESTIGE BRANDS S.A.</t>
  </si>
  <si>
    <t>305, VOULIAGMENIS AVE.17236</t>
  </si>
  <si>
    <t>AGIOS DIMITRIOS, ATHENS - GREECE</t>
  </si>
  <si>
    <t>RENALKO KAUBANDUS OÜ</t>
  </si>
  <si>
    <t>MÕISA 4</t>
  </si>
  <si>
    <t>13522 TALLINN</t>
  </si>
  <si>
    <t>EESTI - ESTONIA</t>
  </si>
  <si>
    <t>EE100481312</t>
  </si>
  <si>
    <t>SIGMA S.R.L.</t>
  </si>
  <si>
    <t>HUMAITÁ Y DR GASPAR R. DE FRANCIA</t>
  </si>
  <si>
    <t>BARRIO SAN MIGUEL</t>
  </si>
  <si>
    <t xml:space="preserve">      50% AGAINST PROFORMA - 50% BEFORE COLLECTION</t>
  </si>
  <si>
    <t>SOLVENT ČR s.r.o.</t>
  </si>
  <si>
    <t>PODĚBRADSKÁ 1162</t>
  </si>
  <si>
    <t>250 92 ŠESTAJOVICE</t>
  </si>
  <si>
    <t>CZECH REPUBLIC</t>
  </si>
  <si>
    <t>CZ25069497</t>
  </si>
  <si>
    <t>CIP ŠESTAJOVICE - CZECH REPUBLIC</t>
  </si>
  <si>
    <t>BHPC TESTERS TOUR INTENSE 100ML EDP MEN</t>
  </si>
  <si>
    <t>BHPC PRESTIGE TOUR INTENSE 100ML EDP MEN</t>
  </si>
  <si>
    <t>PANABEL PNM</t>
  </si>
  <si>
    <t>PANAMA</t>
  </si>
  <si>
    <t>PANABEL CO</t>
  </si>
  <si>
    <t>COLOMBIA</t>
  </si>
  <si>
    <t>PANABEL CR</t>
  </si>
  <si>
    <t>COSTA RICA</t>
  </si>
  <si>
    <t>PANABEL DISTRIBUTION S.A.</t>
  </si>
  <si>
    <t>RUC 1835435-1-711027 DV. 80</t>
  </si>
  <si>
    <t>CI. 15 1/2 Y 16 AVE. STA.ISABEL</t>
  </si>
  <si>
    <t>COLINDANTE CON LA MANZANA 6-B-1</t>
  </si>
  <si>
    <t>NOOS</t>
  </si>
  <si>
    <t>SALE</t>
  </si>
  <si>
    <t>BY SEA</t>
  </si>
  <si>
    <t>MODE OF SHIPMENT</t>
  </si>
  <si>
    <t>TOTAL NUMBER OF UNITS PAG.1</t>
  </si>
  <si>
    <t>TOTAL NUMBER OF CARTONS PAG.1</t>
  </si>
  <si>
    <t>TOTAL NET WEIGHT PAG.1</t>
  </si>
  <si>
    <t>TOTAL GROSS WEIGHT PAG.1</t>
  </si>
  <si>
    <t>Sort Direction:</t>
  </si>
  <si>
    <t>Sort By:</t>
  </si>
  <si>
    <t>place_of_discharge</t>
  </si>
  <si>
    <t>SelectedOrderCreationDate</t>
  </si>
  <si>
    <t>Shipment Details</t>
  </si>
  <si>
    <t>order_type</t>
  </si>
  <si>
    <t>SelectedOrderSubStatus</t>
  </si>
  <si>
    <t>ALMACÉN CENTRAL</t>
  </si>
  <si>
    <t>C/ALEMANYA, 15 - CARLET</t>
  </si>
  <si>
    <t>BY ROAD</t>
  </si>
  <si>
    <t>P06008</t>
  </si>
  <si>
    <t>BHPC ELEGANCE HAIR MIST 250ML PRESTIGE HAIR SPRAY</t>
  </si>
  <si>
    <t>P06009</t>
  </si>
  <si>
    <t>BHPC CHALLENGE BODY MIST 250ML PRESTIGE BODY SPRAY</t>
  </si>
  <si>
    <t>P06010</t>
  </si>
  <si>
    <t>BHPC MYSTIQUE BODY MIST 250ML PRESTIGE BODY SPRAY</t>
  </si>
  <si>
    <t>P06011</t>
  </si>
  <si>
    <t>BHPC PASSION BODY MIST 250ML PRESTIGE BODY SPRAY</t>
  </si>
  <si>
    <t>P06012</t>
  </si>
  <si>
    <t>BHPC TROPHY DEO 300ML PRESTIGE BODY SPRAY</t>
  </si>
  <si>
    <t>P06013</t>
  </si>
  <si>
    <t>BHPC HERITAGE OUD 300ML PRESTIGE BODY SPRAY</t>
  </si>
  <si>
    <t>P06014</t>
  </si>
  <si>
    <t>BHPC TOUR DEO 300ML PRESTIGE BODY SPRAY</t>
  </si>
  <si>
    <t>P06015</t>
  </si>
  <si>
    <t>BHPC TITAN DEO 300ML PRESTIGE BODY SPRAY</t>
  </si>
  <si>
    <t>BHPC TESTERS ROYALE 100ML EDP WOMEN</t>
  </si>
  <si>
    <t>BHPC 3PCS GIFT SET WOMEN #1 EDP50ML+DEO150ML+ROLLON50ML</t>
  </si>
  <si>
    <t>exp_profit</t>
  </si>
  <si>
    <t>100x120</t>
  </si>
  <si>
    <t>FGURA - MALTA</t>
  </si>
  <si>
    <t>FLORIDA - URUGUAY</t>
  </si>
  <si>
    <t>LUXUM BEAUTY - ULM</t>
  </si>
  <si>
    <t xml:space="preserve">FRANZENHAUSERWEG 5/1 </t>
  </si>
  <si>
    <t>89081 ULM-JUNGINGEN</t>
  </si>
  <si>
    <t>ULM-JUNGINGEN - GERMANY</t>
  </si>
  <si>
    <t>CIP ULM-JUNGINGEN, GERMANY</t>
  </si>
  <si>
    <t>LUXUM BEAUTY - HAMBURG</t>
  </si>
  <si>
    <t>BRANDSTÜCKEN 16</t>
  </si>
  <si>
    <t>22549 HAMBURG</t>
  </si>
  <si>
    <t>HAMBURG - GERMANY</t>
  </si>
  <si>
    <t>CHURCHILL POINT DISTRIBUTION CENTER</t>
  </si>
  <si>
    <t xml:space="preserve">LAKE EDGE GREEN </t>
  </si>
  <si>
    <t>MANCHESTER, M17 1BL - ENGLAND</t>
  </si>
  <si>
    <t>MANCHESTER - ENGLAND</t>
  </si>
  <si>
    <t>ATHENS - GREECE</t>
  </si>
  <si>
    <t xml:space="preserve">SOFOKLI VENIZELOU </t>
  </si>
  <si>
    <t>101 16343 - ILIOUPOLIS - GREECE</t>
  </si>
  <si>
    <t>Fercam</t>
  </si>
  <si>
    <t>Filter By Order Type</t>
  </si>
  <si>
    <t>Document folder location</t>
  </si>
  <si>
    <t>Insert the complete path to the folder containing the data folder (NOT THE DATA FILES)</t>
  </si>
  <si>
    <t>Insert the complete path to the folder containing doc folder (NOT THE DOC FILES!)</t>
  </si>
  <si>
    <t>N/A</t>
  </si>
  <si>
    <t>AURIA</t>
  </si>
  <si>
    <t>BLUE OCEAN UK</t>
  </si>
  <si>
    <t>BLUE OCEAN DE</t>
  </si>
  <si>
    <t>MARKLOWICE - POLAND</t>
  </si>
  <si>
    <t>Z:\Stephane\Stephane Personale\Applicazioni Coppo\BHPC\CRM BHPC\</t>
  </si>
  <si>
    <t>MAKEUP</t>
  </si>
  <si>
    <t>JAPAN</t>
  </si>
  <si>
    <t>X05004</t>
  </si>
  <si>
    <t>X05005</t>
  </si>
  <si>
    <t>X05006</t>
  </si>
  <si>
    <t>X05007</t>
  </si>
  <si>
    <t>X05050</t>
  </si>
  <si>
    <t>X05051</t>
  </si>
  <si>
    <t>X05052</t>
  </si>
  <si>
    <t>X05053</t>
  </si>
  <si>
    <t>BHPC GIFT BOX MEN NO.1 100ML</t>
  </si>
  <si>
    <t>BHPC GIFT BOX MEN NO.9 100ML</t>
  </si>
  <si>
    <t>BHPC GIFT BOX MEN NO.8 100ML</t>
  </si>
  <si>
    <t>BHPC GIFT BOX MEN NO.2 100ML</t>
  </si>
  <si>
    <t>X05008</t>
  </si>
  <si>
    <t>BHPC GIFT BOX MEN NO.1 50ML</t>
  </si>
  <si>
    <t>X05009</t>
  </si>
  <si>
    <t>BHPC GIFT BOX MEN NO.9 50ML</t>
  </si>
  <si>
    <t>X05010</t>
  </si>
  <si>
    <t>BHPC GIFT BOX MEN NO.8 50ML</t>
  </si>
  <si>
    <t>X05011</t>
  </si>
  <si>
    <t>BHPC GIFT BOX MEN NO.2 50ML</t>
  </si>
  <si>
    <t>X05028</t>
  </si>
  <si>
    <t>BHPC GIFT BOX WOMEN NO.1 50ML</t>
  </si>
  <si>
    <t>X05029</t>
  </si>
  <si>
    <t>BHPC GIFT BOX WOMEN NO.9 50ML</t>
  </si>
  <si>
    <t>X05030</t>
  </si>
  <si>
    <t>BHPC GIFT BOX WOMEN NO.8 50ML</t>
  </si>
  <si>
    <t>X05031</t>
  </si>
  <si>
    <t>BHPC GIFT BOX WOMEN NO.2 50ML</t>
  </si>
  <si>
    <t>BHPC GIFT BOX WOMEN NO.1 100ML</t>
  </si>
  <si>
    <t>BHPC GIFT BOX WOMEN NO.9 100ML</t>
  </si>
  <si>
    <t>BHPC GIFT BOX WOMEN NO.8 100ML</t>
  </si>
  <si>
    <t>BHPC GIFT BOX WOMEN NO.2 100ML</t>
  </si>
  <si>
    <t>X05068</t>
  </si>
  <si>
    <t>BHPC GS BOX MEN</t>
  </si>
  <si>
    <t>X05072</t>
  </si>
  <si>
    <t>BHPC GS BOX WOMEN</t>
  </si>
  <si>
    <t>X06012</t>
  </si>
  <si>
    <t>BHPC BOX TROPHY+DEO300ML</t>
  </si>
  <si>
    <t>X0TRFM</t>
  </si>
  <si>
    <t>BHPC TRAY GIFT BOX MEN 50ML</t>
  </si>
  <si>
    <t>X0TRFW</t>
  </si>
  <si>
    <t>BHPC TRAY GIFT BOX WOMEN 50ML</t>
  </si>
  <si>
    <t>X1TRFM</t>
  </si>
  <si>
    <t>BHPC TRAY GIFT BOX MEN 100ML</t>
  </si>
  <si>
    <t>X1TRFW</t>
  </si>
  <si>
    <t>BHPC TRAY GIFT BOX WOMEN 100ML</t>
  </si>
  <si>
    <t>vessel_name</t>
  </si>
  <si>
    <t>container_no</t>
  </si>
  <si>
    <t>container_type</t>
  </si>
  <si>
    <t>seal_no</t>
  </si>
  <si>
    <t>SUPPLY</t>
  </si>
  <si>
    <t>Order Type</t>
  </si>
  <si>
    <t>SAMPLING</t>
  </si>
  <si>
    <t>MBE</t>
  </si>
  <si>
    <t>NO PALLET</t>
  </si>
  <si>
    <t>Y00001</t>
  </si>
  <si>
    <t>Y00002</t>
  </si>
  <si>
    <t>Y00003</t>
  </si>
  <si>
    <t>Y00004</t>
  </si>
  <si>
    <t>Y00005</t>
  </si>
  <si>
    <t>Y00006</t>
  </si>
  <si>
    <t>Y00007</t>
  </si>
  <si>
    <t>Y00008</t>
  </si>
  <si>
    <t>Y00009</t>
  </si>
  <si>
    <t>Y00010</t>
  </si>
  <si>
    <t>Y00011</t>
  </si>
  <si>
    <t>Y00012</t>
  </si>
  <si>
    <t>Y00013</t>
  </si>
  <si>
    <t>Y00014</t>
  </si>
  <si>
    <t>Y00015</t>
  </si>
  <si>
    <t>Y00016</t>
  </si>
  <si>
    <t>Y00017</t>
  </si>
  <si>
    <t>Y00018</t>
  </si>
  <si>
    <t>Y00019</t>
  </si>
  <si>
    <t>Y00020</t>
  </si>
  <si>
    <t>Y00021</t>
  </si>
  <si>
    <t>Y00022</t>
  </si>
  <si>
    <t>Y00023</t>
  </si>
  <si>
    <t>Y00024</t>
  </si>
  <si>
    <t>Y00025</t>
  </si>
  <si>
    <t>Y00026</t>
  </si>
  <si>
    <t>Y00027</t>
  </si>
  <si>
    <t>Y00028</t>
  </si>
  <si>
    <t>Y00029</t>
  </si>
  <si>
    <t>Y00030</t>
  </si>
  <si>
    <t>Y00031</t>
  </si>
  <si>
    <t>Y00032</t>
  </si>
  <si>
    <t>Y00033</t>
  </si>
  <si>
    <t>Y00034</t>
  </si>
  <si>
    <t>Y00035</t>
  </si>
  <si>
    <t>Y00036</t>
  </si>
  <si>
    <t>Y00037</t>
  </si>
  <si>
    <t>Y00038</t>
  </si>
  <si>
    <t>YA2302A BHPC SUNGLASSES RUBB. BLACK / SOLID GREY</t>
  </si>
  <si>
    <t>YA2302B BHPC SUNGLASSES RUBB. BLUE/ SOLID SMOKE</t>
  </si>
  <si>
    <t>YA2302C BHPC SUNGLASSES RUBB. BLACK / MIRROR ICY</t>
  </si>
  <si>
    <t>YB2310A BHPC SUNGLASSES MATT BLACK/SILVER /SOLID GREE</t>
  </si>
  <si>
    <t>YB2310B BHPC SUNGLASSES MATT NAVY/SILVER/ SOLID SMOKE</t>
  </si>
  <si>
    <t>YB2310C BHPC SUNGLASSES MATT SMOKE/SILVER / SOLID GREY</t>
  </si>
  <si>
    <t>YB2313A BHPC SUNGLASSES SATIN NAVY / SOLID SMOKE</t>
  </si>
  <si>
    <t>YB2313B BHPC SUNGLASSES MATT BLACK / SOLID GREY</t>
  </si>
  <si>
    <t>YB2313C BHPC SUNGLASSES BLACK/GUN / SOLID GREEN</t>
  </si>
  <si>
    <t>YB2314A BHPC SUNGLASSES MATT BLACK / SOLID GREEN</t>
  </si>
  <si>
    <t>YB2314B BHPC SUNGLASSES MATT BLACK / SOLID GREY</t>
  </si>
  <si>
    <t>YB2314C BHPC SUNGLASSES BLACK / HIGH TRANSMIT YELLOW</t>
  </si>
  <si>
    <t>YB1304A BHPC SUNGLASSES GUN/TRANSP.GREY/GRADIENT GREY</t>
  </si>
  <si>
    <t>YB1304B BHPC SUNGLASSES GOLD/TRANSP.OLIVEGRADIENT CLAY</t>
  </si>
  <si>
    <t>YB1304C BHPC SUNGLASSES GUN/TRANSP. BLUE/GRADIENT BLU</t>
  </si>
  <si>
    <t>YB1308A BHPC SUNGLASSES SATIN GUN/SOLID SMOKE</t>
  </si>
  <si>
    <t>YB1308B BHPC SUNGLASSES GUN/SOLID BROWN</t>
  </si>
  <si>
    <t>YB1308C BHPC SUNGLASSES SATIN GOLD/SOLID GREEN</t>
  </si>
  <si>
    <t>YB1305A BHPC SUNGLASSES GOLD / SOLID GREEN</t>
  </si>
  <si>
    <t>YB1305B BHPC SUNGLASSES GUN/SOLID SMOKE</t>
  </si>
  <si>
    <t>YB1305C BHPC SUNGLASSES MATT BLACK / SOLID GREY</t>
  </si>
  <si>
    <t>YB1307A BHPC SUNGLASSES GOLD / GRADIENT GREY</t>
  </si>
  <si>
    <t>YB1307B BHPC SUNGLASSES BROWN / GRADIENT CLAY</t>
  </si>
  <si>
    <t>YB1307C BHPC SUNGLASSES ROSE GOLD/DOUBLE GRAD. GREYRED</t>
  </si>
  <si>
    <t>YB1306A BHPC SUNGLASSES GOLD/BLACK GRADIENT GREY</t>
  </si>
  <si>
    <t>YB1306B BHPC SUNGLASSES GOLD/BEIGE / GRADIENT CLAY</t>
  </si>
  <si>
    <t>YB1306C BHPC SUNGLASSES BRONZE GOLD / GRADIENT COFFEE</t>
  </si>
  <si>
    <t>YB2311A BHPC SUNGLASSES DEMI / GRADIENT MOCCA</t>
  </si>
  <si>
    <t>YB2311B BHPC SUNGLASSES BLACK / GRADIENT GREY</t>
  </si>
  <si>
    <t>YB2311C BHPC SUNGLASSES TRANSP. OLIVE / GRADIENT CLAY</t>
  </si>
  <si>
    <t>YB2315A BHPC SUNGLASSES BLACK CRYSTAL GRADIENT GREEN</t>
  </si>
  <si>
    <t>YB2315B BHPC SUNGLASSES TRANSP. GREEN / GRADIENT GREY</t>
  </si>
  <si>
    <t>YB2315C BHPC SUNGLASSES TRANSP. VIOLET /GRADIENT SMOKE</t>
  </si>
  <si>
    <t>YB2312A BHPC SUNGLASSES BLACK / SOLID GREY</t>
  </si>
  <si>
    <t>YB2312B BHPC SUNGLASSES RED / SOLID SMOKE</t>
  </si>
  <si>
    <t>YB2312C BHPC SUNGLASSES WHITE / GRADIENT GREY</t>
  </si>
  <si>
    <t>BHPC SUNGLASSES CASE AO49L BROWN FOR MEN</t>
  </si>
  <si>
    <t>BHPC SUNGLASSES CASE AO49L WHITE FOR WOMEN</t>
  </si>
  <si>
    <t>12 cappellini bianchi, 12 cappellini rossi, 12 cappellini blu, 14 cappellini blu scuro, 50 sacchetti BHPC.</t>
  </si>
  <si>
    <t>74Kg peso lordo. Da aggiungere il peso del pallet.</t>
  </si>
  <si>
    <t>Non segno costi di manodopera in questo ordine perché li ho addebitati tutti alla fattura #41. In realtà parte dei testers preparati durante la preparazione della fattura 41 sono stati utilizzati per questa fattura.</t>
  </si>
  <si>
    <t>https://www.mbe.it/it/tracking?c=641176034</t>
  </si>
  <si>
    <t>CARLET - SPAIN</t>
  </si>
  <si>
    <t>Ordine partito direttamente dai depositi di Auria.</t>
  </si>
  <si>
    <t>Filter By Sex</t>
  </si>
  <si>
    <t>Flter By Size</t>
  </si>
  <si>
    <t>Warehouse Stock</t>
  </si>
  <si>
    <t>SKU</t>
  </si>
  <si>
    <t>BHPC TROPHY DEO 300ML</t>
  </si>
  <si>
    <t>Trophy Deos + Packaging Material per i Giftset Prestige da inviare a Luxum.</t>
  </si>
  <si>
    <t>BHPC HERITAGE OUD DEO 300ML</t>
  </si>
  <si>
    <t>BHPC TITAN DEO 300ML</t>
  </si>
  <si>
    <t>BHPC TOUR DEO 300ML</t>
  </si>
  <si>
    <t>BHPC ELEGANCE HAIR MIST 250ML</t>
  </si>
  <si>
    <t>BHPC CHALLENGE BODY MIST 250ML</t>
  </si>
  <si>
    <t>BHPC MYSTIQUE BODY MIST 250ML</t>
  </si>
  <si>
    <t>BHPC PASSION BODY MIST 250ML</t>
  </si>
  <si>
    <t>BRANDSHAPERS</t>
  </si>
  <si>
    <t>IRELAND</t>
  </si>
  <si>
    <t>BALLYTRAMON BUSINESS PARK</t>
  </si>
  <si>
    <t>ARDCAVAN, CO. WEXFORD</t>
  </si>
  <si>
    <t>"BANCO DESIO" - IBAN NO.   : IT 59 M 03440 49110 000047251833 - SWIFT CODE   : BDBDIT22</t>
  </si>
  <si>
    <t>MR. BENOIT PFISTER</t>
  </si>
  <si>
    <t/>
  </si>
  <si>
    <t>145 AVENUE DE SUFFREN</t>
  </si>
  <si>
    <t>75015 PARIS </t>
  </si>
  <si>
    <t>MOBILE 06 14 88 9 42</t>
  </si>
  <si>
    <t>95cm altezza del pallet.</t>
  </si>
  <si>
    <t>SANTIAGO - CHILE</t>
  </si>
  <si>
    <t>60 DAYS DATE OF INVOICE</t>
  </si>
  <si>
    <t>BRIGHTON - UK</t>
  </si>
  <si>
    <t>UNITED KINGDOM</t>
  </si>
  <si>
    <t>cts_disc</t>
  </si>
  <si>
    <t>SUNGLASSES</t>
  </si>
  <si>
    <t>PC</t>
  </si>
  <si>
    <t>TUNISIA</t>
  </si>
  <si>
    <t>Churchill Point, Lake Edge Green</t>
  </si>
  <si>
    <t>Trafford Park Road, Trafford Park</t>
  </si>
  <si>
    <t>Lancashire m17 1bl, Manchester, ENGLAND</t>
  </si>
  <si>
    <t>175cm height</t>
  </si>
  <si>
    <t>box_per_europallet</t>
  </si>
  <si>
    <t>8320000 SANTIAGO, CHILE</t>
  </si>
  <si>
    <t>inv_amount</t>
  </si>
  <si>
    <t>price</t>
  </si>
  <si>
    <t>cost</t>
  </si>
  <si>
    <t>tot_invoice</t>
  </si>
  <si>
    <t>total invoice</t>
  </si>
  <si>
    <t># of full price ref</t>
  </si>
  <si>
    <t># of disc price ref</t>
  </si>
  <si>
    <t># of foc ref</t>
  </si>
  <si>
    <t>Merce venduta EXW Spagna e ritirata dal cliente polacco per trasporto fino in Polonia</t>
  </si>
  <si>
    <t>Merce venduta EXW Spagna e ritirata dal cliente Polacco x trasporto in Polonia</t>
  </si>
  <si>
    <t>Descending</t>
  </si>
  <si>
    <t>PREPARING</t>
  </si>
  <si>
    <t>7630775756999</t>
  </si>
  <si>
    <t>7630775757002</t>
  </si>
  <si>
    <t>7630775757019</t>
  </si>
  <si>
    <t>7630775761986</t>
  </si>
  <si>
    <t>7630775761993</t>
  </si>
  <si>
    <t>7630775762006</t>
  </si>
  <si>
    <t>7630775757057</t>
  </si>
  <si>
    <t>7630775757064</t>
  </si>
  <si>
    <t>7630775757071</t>
  </si>
  <si>
    <t>7630775757118</t>
  </si>
  <si>
    <t>7630775757125</t>
  </si>
  <si>
    <t>7630775757132</t>
  </si>
  <si>
    <t>7630775762013</t>
  </si>
  <si>
    <t>7630775762020</t>
  </si>
  <si>
    <t>7630775762037</t>
  </si>
  <si>
    <t>7630775757088</t>
  </si>
  <si>
    <t>7630775757095</t>
  </si>
  <si>
    <t>7630775757101</t>
  </si>
  <si>
    <t>7630775762044</t>
  </si>
  <si>
    <t>7630775762051</t>
  </si>
  <si>
    <t>7630775762068</t>
  </si>
  <si>
    <t>7630775757026</t>
  </si>
  <si>
    <t>7630775757033</t>
  </si>
  <si>
    <t>7630775757040</t>
  </si>
  <si>
    <t>7630775762075</t>
  </si>
  <si>
    <t>7630775762082</t>
  </si>
  <si>
    <t>7630775762099</t>
  </si>
  <si>
    <t>7630775762105</t>
  </si>
  <si>
    <t>7630775762112</t>
  </si>
  <si>
    <t>7630775756982</t>
  </si>
  <si>
    <t>7630775757170</t>
  </si>
  <si>
    <t>7630775757187</t>
  </si>
  <si>
    <t>7630775757194</t>
  </si>
  <si>
    <t>7630775757149</t>
  </si>
  <si>
    <t>7630775757156</t>
  </si>
  <si>
    <t>7630775757163</t>
  </si>
  <si>
    <t>30 DAYS DATE OF INVOICE</t>
  </si>
  <si>
    <t>60 DAYS DATE OF DELIVERY</t>
  </si>
  <si>
    <t>Filter By Invoice Year</t>
  </si>
  <si>
    <t>AGAINST SHIPPING DOCS</t>
  </si>
  <si>
    <t>Max height 120cm</t>
  </si>
  <si>
    <t>Max height 105cm</t>
  </si>
  <si>
    <t>120 DAYS DATE OF INVOICE</t>
  </si>
  <si>
    <t>SHIPPED</t>
  </si>
  <si>
    <t>Carton 45x37x24(h)</t>
  </si>
  <si>
    <t>DAT LOGISTICS</t>
  </si>
  <si>
    <t>90 DAYS DATE OF INVOICE</t>
  </si>
  <si>
    <t>Pick-Up Date</t>
  </si>
  <si>
    <t>Pick-Up Agent</t>
  </si>
  <si>
    <t>VAT NO</t>
  </si>
  <si>
    <t>ADDRESS LINE 1</t>
  </si>
  <si>
    <t>ADDRESS LINE 2</t>
  </si>
  <si>
    <t>ADDRESS LINE 3</t>
  </si>
  <si>
    <t>ADDRESS LINE 4</t>
  </si>
  <si>
    <t>FERCAM</t>
  </si>
  <si>
    <t>CARRIER_CODE</t>
  </si>
  <si>
    <t>CARRIER_NAME</t>
  </si>
  <si>
    <t>DAT LOGISTICS S.P.ZOO</t>
  </si>
  <si>
    <t>PL 66-530 DREZDENKO</t>
  </si>
  <si>
    <t>PIERWSZEJ BRYGADY 26</t>
  </si>
  <si>
    <t>ITALIANA CARGO</t>
  </si>
  <si>
    <t>EURO LOGISTICA</t>
  </si>
  <si>
    <t>VIA SPATARO 34</t>
  </si>
  <si>
    <t>16136 GENOVA</t>
  </si>
  <si>
    <t>VIA ALDO MORO 54</t>
  </si>
  <si>
    <t>24024 LALLIO (BG)</t>
  </si>
  <si>
    <t>TEL</t>
  </si>
  <si>
    <t>+39035335474</t>
  </si>
  <si>
    <t>EURO LOGISTICA LIGURE S.R.L.</t>
  </si>
  <si>
    <t>+390108352900</t>
  </si>
  <si>
    <t>01964650350</t>
  </si>
  <si>
    <t>01313820993</t>
  </si>
  <si>
    <t>TEL2</t>
  </si>
  <si>
    <t>+3901313820993</t>
  </si>
  <si>
    <t>FERCAM S.P.A</t>
  </si>
  <si>
    <t>00098090210</t>
  </si>
  <si>
    <t>pickup_date</t>
  </si>
  <si>
    <t>Expected</t>
  </si>
  <si>
    <t>Real</t>
  </si>
  <si>
    <t>DUBAI - UNITED ARAB EMIRATES</t>
  </si>
  <si>
    <t>BY AIR</t>
  </si>
  <si>
    <t>BARTOLINI</t>
  </si>
  <si>
    <t>DHL</t>
  </si>
  <si>
    <t>VIA FRATELLI CANEPA 8</t>
  </si>
  <si>
    <t>16010 SERRA RICCO' (GE)</t>
  </si>
  <si>
    <t>Knight &amp; Royale per TKMax fermi per problemi tecnici al loro sistema informatico.</t>
  </si>
  <si>
    <t>50 825168
Knight &amp; Royale per TKMax fermi per problemi tecnici al loro sistema informatico.</t>
  </si>
  <si>
    <t>30 Cartoni di Prestige Titan Mad in France da tornare indietro a Dubai.</t>
  </si>
  <si>
    <t>Si sono dovuti preparare tutti i GS e incartonarli. Le plastiche risultano di una misura troppo grande rispetto le scatole.</t>
  </si>
  <si>
    <t>DSV</t>
  </si>
  <si>
    <t>DSV S.p.A.</t>
  </si>
  <si>
    <t>VIA DE MARINI 1</t>
  </si>
  <si>
    <t>16149 GENOVA</t>
  </si>
  <si>
    <t>ITALIA</t>
  </si>
  <si>
    <t>ZONA LIBRE - PANAMA</t>
  </si>
  <si>
    <t>Si sono dovuti preparare tutti i GS e incartonarli. Le plastiche risultano di una misura troppo grande rispetto le scatole.
Ritira EURO COMM ITALIA con booking M24EXL10220</t>
  </si>
  <si>
    <t>ZINGALI</t>
  </si>
  <si>
    <t>VIALE DUEMILA 2</t>
  </si>
  <si>
    <t>27020 BORGO SAN SIRO (PV)</t>
  </si>
  <si>
    <t>ZINGALI S.R.L</t>
  </si>
  <si>
    <t>MAREXPORT</t>
  </si>
  <si>
    <t>SIFTE BERTI</t>
  </si>
  <si>
    <t>SIFTE BERTI S.P.A</t>
  </si>
  <si>
    <t>16126 GENOVA</t>
  </si>
  <si>
    <t>PIAZZALE DEI TRAGHETTI IQBAL MASIH 25</t>
  </si>
  <si>
    <t>MAREXPORT S.R.L.</t>
  </si>
  <si>
    <t>BRT S.P.A.</t>
  </si>
  <si>
    <t>LE BUREAU S.R.L.</t>
  </si>
  <si>
    <t>DHL EXPRESS (ITALY) S.R.L.</t>
  </si>
  <si>
    <t>Homme Tour made in France spediti via aereo a Malpensa e arrivati con Fedex.</t>
  </si>
  <si>
    <t>BOX PROFUMI</t>
  </si>
  <si>
    <t>BOX DEO</t>
  </si>
  <si>
    <t>BOX BM</t>
  </si>
  <si>
    <t>Product Category</t>
  </si>
  <si>
    <t>INITIAL STOCK</t>
  </si>
  <si>
    <t>MASSTIGE</t>
  </si>
  <si>
    <t>INCOTERMS</t>
  </si>
  <si>
    <t>SIZE OF PALLETS:</t>
  </si>
  <si>
    <t>TOTAL NET WEIGHT:</t>
  </si>
  <si>
    <t>TOTAL GROSS WEIGHT:</t>
  </si>
  <si>
    <t>TOTAL NUMBER OF CARTONS:</t>
  </si>
  <si>
    <t>TOTAL NUMBER OF PALLETS:</t>
  </si>
  <si>
    <t>BEVERLY HILLS POLO CLUB EDP / EDT / GIFT SETS</t>
  </si>
  <si>
    <t>max_height</t>
  </si>
  <si>
    <t>labor_hours</t>
  </si>
  <si>
    <t>labor_cost_desc</t>
  </si>
  <si>
    <t>labor_cost</t>
  </si>
  <si>
    <t>foc_value</t>
  </si>
  <si>
    <t>production_id</t>
  </si>
  <si>
    <t>prod_destroyed1</t>
  </si>
  <si>
    <t>prod_destroyed2</t>
  </si>
  <si>
    <t>prod_destroyed3</t>
  </si>
  <si>
    <t>prod_destroyed4</t>
  </si>
  <si>
    <t>prod_destroyed5</t>
  </si>
  <si>
    <t>prod_build</t>
  </si>
  <si>
    <t>PER CATEGORIA</t>
  </si>
  <si>
    <t>CONSOLIDATO</t>
  </si>
  <si>
    <t>PER SKU</t>
  </si>
  <si>
    <t>ORDINE PRODOTTI NEI DOCS</t>
  </si>
  <si>
    <t>HEALTH &amp; BEAUTY LOGISTICS O/B</t>
  </si>
  <si>
    <t>A&amp;A DISTRIBUTION ANSWER</t>
  </si>
  <si>
    <t>ENVASADO XIOMARA SLU</t>
  </si>
  <si>
    <t>Polígono Industrial La Torrecilla Chica, 6</t>
  </si>
  <si>
    <t xml:space="preserve">45220 Yeles, Toledo </t>
  </si>
  <si>
    <t>TOLEDO - SPAIN</t>
  </si>
  <si>
    <t>H. COS Global Beauty</t>
  </si>
  <si>
    <t>PAYMENT METHOD</t>
  </si>
  <si>
    <t>BANK ACCOUNTS</t>
  </si>
  <si>
    <t>IN ADVANCE</t>
  </si>
  <si>
    <t>30% AGAINST PROFORMA - 70% 60 DAYS FROM INVOICE DATE</t>
  </si>
  <si>
    <t>50% AGAINST PROFORMA - 50% BEFORE SHIPMENT</t>
  </si>
  <si>
    <t>PALLETTIZING METHOD</t>
  </si>
  <si>
    <t>counter</t>
  </si>
  <si>
    <t>DIMITRIE CANTEMIR 1</t>
  </si>
  <si>
    <t>B2 BUILING, 3RD ENTRANCE4TH FLOOR</t>
  </si>
  <si>
    <t>BUCHAREST - ROMANIA</t>
  </si>
  <si>
    <t>DUBAI - GRV</t>
  </si>
  <si>
    <t>GRV INTERNATIONAL FZE</t>
  </si>
  <si>
    <t>LOB 4 UNIT 4G07</t>
  </si>
  <si>
    <t>JEBEL ALI, DUBAI - UAE</t>
  </si>
  <si>
    <t>ESB SERVICE GROUP</t>
  </si>
  <si>
    <t>RL FORS OÜ/CO ESB SERVICE GROUP</t>
  </si>
  <si>
    <t>PÄRNU MNT 142</t>
  </si>
  <si>
    <t xml:space="preserve">TALLINN 11317 </t>
  </si>
  <si>
    <t>MAKE UP INC.</t>
  </si>
  <si>
    <t>THE PLACE 8F</t>
  </si>
  <si>
    <t>1-13-18 NISHI SHINSAIBASHI CHUO-KU</t>
  </si>
  <si>
    <t>OSAKA 542-0086</t>
  </si>
  <si>
    <t>MÖRTH &amp; MÖRTH GmbH</t>
  </si>
  <si>
    <t>FEDEX</t>
  </si>
  <si>
    <t>La parte restante delle merci made in France da spedire a Dubai. Abbiamo aggiunto dei pallet di cartoni della misura sbagliata.</t>
  </si>
  <si>
    <t>92Kg lordi + 20 Kg peso pallet. 8ct porta occhiali, 6ct occhiali</t>
  </si>
  <si>
    <t>30 DD INVOICE DATE</t>
  </si>
  <si>
    <t>60 DAYS FROM INVOICE</t>
  </si>
  <si>
    <t>Altezza pallet 115cm (Luxum ha accettato i 10cm extra)</t>
  </si>
  <si>
    <t>Pallet devono essere fumigati</t>
  </si>
  <si>
    <t>90 DAYS FROM INVOICE</t>
  </si>
  <si>
    <t>P1 Height: 144cm ; P2 Height: 151cm
Ordine pronto, in attesa che COFACE ci confermi la copertura assicurativa del cliente.</t>
  </si>
  <si>
    <t>PT5008</t>
  </si>
  <si>
    <t>BHPC TESTER SPORT MEN 1 EDT 50ML</t>
  </si>
  <si>
    <t>WEIGHT</t>
  </si>
  <si>
    <t>PERFUMES WITH 50ML BOTTLE</t>
  </si>
  <si>
    <t>PERFUMES WITH 100ML BOTTLE</t>
  </si>
  <si>
    <t>DEOS WITH 150ML CAN</t>
  </si>
  <si>
    <t>DEOS WITH 175ML CAN</t>
  </si>
  <si>
    <t>DEOS WITH 300ML CAN</t>
  </si>
  <si>
    <t>BODY MIST WITH 200ML BOTTLE</t>
  </si>
  <si>
    <t>box_per_eurolayer</t>
  </si>
  <si>
    <t>layer_per_europallet</t>
  </si>
  <si>
    <t>size1</t>
  </si>
  <si>
    <t>size2</t>
  </si>
  <si>
    <t>BOX</t>
  </si>
  <si>
    <t>TRAY</t>
  </si>
  <si>
    <t>5</t>
  </si>
  <si>
    <t>4</t>
  </si>
  <si>
    <t>6</t>
  </si>
  <si>
    <t>14</t>
  </si>
  <si>
    <t>13</t>
  </si>
  <si>
    <t>11</t>
  </si>
  <si>
    <t>12</t>
  </si>
  <si>
    <t>10</t>
  </si>
  <si>
    <t>47</t>
  </si>
  <si>
    <t>7</t>
  </si>
  <si>
    <t>8</t>
  </si>
  <si>
    <t>9</t>
  </si>
  <si>
    <t>DESCRIPTION</t>
  </si>
  <si>
    <t>PERF</t>
  </si>
  <si>
    <t>DEO</t>
  </si>
  <si>
    <t>COMPONENTS</t>
  </si>
  <si>
    <t>HS CODE</t>
  </si>
  <si>
    <t>EAN CODE</t>
  </si>
  <si>
    <t>NET 
WEIGHT</t>
  </si>
  <si>
    <t>GROSS 
WEIGHT</t>
  </si>
  <si>
    <t xml:space="preserve">UN 1266 PERFUMERY PRODUCTS, CLASS 3, III, (23°C) </t>
  </si>
  <si>
    <t>LIMITED QUANTITY, EMS: F- E, S-D</t>
  </si>
  <si>
    <t>UN 1266 PERFUMERY PRODUCTS, CLASS 3, II, (12°C)</t>
  </si>
  <si>
    <t>LIMITED QUANTITY</t>
  </si>
  <si>
    <t>UN 1950 AEROSOLS, CLASS 2.1, II</t>
  </si>
  <si>
    <t>OVERPACK USED</t>
  </si>
  <si>
    <t>151</t>
  </si>
  <si>
    <t>115</t>
  </si>
  <si>
    <t>20</t>
  </si>
  <si>
    <t>50% AGAINST PROFORMA - 50% BEFORE COLLECTION</t>
  </si>
  <si>
    <t>CIUDAD DEL ESTE - PARAGUAY</t>
  </si>
  <si>
    <t xml:space="preserve">VAT. NO.: </t>
  </si>
  <si>
    <t>AREA COMERCIAL, ZONA LIBRE, PANAMA</t>
  </si>
  <si>
    <t>P.O.BOX 6971, AMMAN 11118 JORDAN</t>
  </si>
  <si>
    <t>1053 LES BERGES DU LAC, TUNIS - TUNISIE</t>
  </si>
  <si>
    <t>place_discharge</t>
  </si>
  <si>
    <t>port_of_loading</t>
  </si>
  <si>
    <t>RUC.: 80005486-5</t>
  </si>
  <si>
    <t>7000 - CIUDAD DEL ESTE - PARAGUAY</t>
  </si>
  <si>
    <t>213</t>
  </si>
  <si>
    <t>0</t>
  </si>
  <si>
    <t>0,00 €</t>
  </si>
  <si>
    <t>460</t>
  </si>
  <si>
    <t>24/06/24</t>
  </si>
  <si>
    <t>CHINA</t>
  </si>
  <si>
    <t>90041091</t>
  </si>
  <si>
    <t>42023900</t>
  </si>
  <si>
    <t>24/06/2024</t>
  </si>
  <si>
    <t>30% AGAINST PROFORMA 70% 60 DAYS DATE OF INVOICE</t>
  </si>
  <si>
    <t>1</t>
  </si>
  <si>
    <t>Total Net (kg)</t>
  </si>
  <si>
    <t>NEW CUSTOMER TURKEY</t>
  </si>
  <si>
    <t>120</t>
  </si>
  <si>
    <t>Sono state aggiunte nei cartoni 30 flat boxes di GS5008 Giftset Men #1 perchè non abbiamo la merce per preparare i giftset veri e propri.</t>
  </si>
  <si>
    <t>38</t>
  </si>
  <si>
    <t>- I GS sono in preparazione in magazzino. Ogni tanto andare a verificare lo stato dei lavori._x000D_
- I documenti sono stati creati. Và però creata un ulteriore PL con il dettaglio per bancale quando saranno completati. FATTO_x000D_
- Dato che il cliente paga a 60 giorni, non appena la merce è pronta avvisara Dario che si può organizzare la spedizione con il trasportatore._x000D_
_x000D_
Ore di lavoro: _x000D_
01/07 2x8 + 3h Massimo;_x000D_
02/07 1x8 + 8h Massimo + 8h Alessandro;_x000D_
03/07 2x8 + 8h Alessandro + 4h Ste/Vince/Mario;_x000D_
04/07 2x8 + 8h Alessandro + 4h Ste/Vince/Massimo;</t>
  </si>
  <si>
    <t>MERCE E DOCUMENTI PRONTI_x000D_
_x000D_
- Per quanto riguarda i bancali bisogna mettere i fogli con scritto cosa contiene il bancale e gli sticker per le merci pericolose. FATTO_x000D_
- Andrà emessa fattura senza includere i RollOn che verranno spediti in un secondo momento._x000D_
- Per quanto riguarda i Roll-On dovremo riceverli dalla Spagna.</t>
  </si>
  <si>
    <t>- I documenti sono a posto. Va solo specificato nella packing list e nella proforma quanti sono i bancali non appena lo si saprà._x000D_
- Deve arrivare dalla spagna la versione INTENSE del prestige Elegance._x000D_
- Una volta che la merce sarà pronta chiedere il pagamento della seconda metà del dovuto.</t>
  </si>
  <si>
    <t>Ordine in stand-by perchè stiamo aspettando da Dubai le etichette da mettere sulle scatole dei giftsets per dire che la merce è MADE IN SPAIN; dei packing material e i roll on per fare i GS 3 pcs.</t>
  </si>
  <si>
    <t>08/07/24</t>
  </si>
  <si>
    <t>Merce in arrivo da Dubai per via aerea tramite aeroporto di Malpensa._x000D_
L'importazione è stata gestita da GCTRSL, contatto: chiara.meucci@gctsrl.com_x000D_
_x000D_
I costi dell'importazione sono da addebitare a BHPC._x000D_
_x000D_
Merce in consegna lil 08/07 con vettore CTV.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</si>
</sst>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_€_-;\-* #,##0.00\ _€_-;_-* &quot;-&quot;??\ _€_-;_-@_-"/>
    <numFmt numFmtId="165" formatCode="_-&quot;€&quot;\ * #,##0.00_-;\-&quot;€&quot;\ * #,##0.00_-;_-&quot;€&quot;\ * &quot;-&quot;??_-;_-@_-"/>
    <numFmt numFmtId="166" formatCode="_(* #,##0.00_);_(* \(#,##0.00\);_(* &quot;-&quot;??_);_(@_)"/>
    <numFmt numFmtId="167" formatCode="_(* #,##0_);_(* \(#,##0\);_(* &quot;-&quot;_);_(@_)"/>
    <numFmt numFmtId="168" formatCode="_(&quot;$&quot;* #,##0.00_);_(&quot;$&quot;* \(#,##0.00\);_(&quot;$&quot;* &quot;-&quot;??_);_(@_)"/>
    <numFmt numFmtId="169" formatCode="#,##0.00\ &quot;€&quot;"/>
    <numFmt numFmtId="170" formatCode="0.0"/>
    <numFmt numFmtId="171" formatCode="0.000"/>
    <numFmt numFmtId="172" formatCode="_ * #,##0.00_ ;_ * \-#,##0.00_ ;_ * &quot;-&quot;??_ ;_ @_ "/>
    <numFmt numFmtId="173" formatCode="_ &quot;€&quot;\ * #,##0.00_ ;_ &quot;€&quot;\ * \-#,##0.00_ ;_ &quot;€&quot;\ * &quot;-&quot;??_ ;_ @_ "/>
    <numFmt numFmtId="174" formatCode="_(&quot;€&quot;* #,##0.00_);_(&quot;€&quot;* \(#,##0.00\);_(&quot;€&quot;* &quot;-&quot;??_);_(@_)"/>
    <numFmt numFmtId="175" formatCode="_-[$€]\ * #,##0.00_-;_-[$€]\ * #,##0.00\-;_-[$€]\ * &quot;-&quot;??_-;_-@_-"/>
    <numFmt numFmtId="176" formatCode="dd/mm/yy;@"/>
    <numFmt numFmtId="177" formatCode="\€\ #,##0.00_)"/>
    <numFmt numFmtId="178" formatCode="0\ &quot;Kg.&quot;"/>
    <numFmt numFmtId="179" formatCode="[$$-F0000]\ #,##0.00_)"/>
    <numFmt numFmtId="180" formatCode="[$$-F0000]#,##0.00;[Red]\-[$$-F0000]#,##0.00"/>
    <numFmt numFmtId="181" formatCode="\€#,##0.00;[Red]\-\€#,##0.00"/>
    <numFmt numFmtId="182" formatCode="0.00\ &quot;m³&quot;"/>
    <numFmt numFmtId="183" formatCode="0.0000"/>
    <numFmt numFmtId="184" formatCode="_-* #,##0.00\ [$€-410]_-;\-* #,##0.00\ [$€-410]_-;_-* &quot;-&quot;??\ [$€-410]_-;_-@_-"/>
    <numFmt numFmtId="185" formatCode="0;\-0;\-;@"/>
    <numFmt numFmtId="186" formatCode="#,##0.0\ &quot;Kg.&quot;"/>
    <numFmt numFmtId="187" formatCode="_-[$€-130000]* #,##0.00_-;\-[$€-130000]* #,##0.00_-;_-[$€-130000]* &quot;-&quot;??_-;_-@_-"/>
    <numFmt numFmtId="188" formatCode="&quot;€&quot;#,##0.000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10"/>
      <name val="Tahoma"/>
      <family val="2"/>
    </font>
    <font>
      <b/>
      <sz val="6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52">
    <xf numFmtId="0" fontId="0" fillId="0" borderId="0"/>
    <xf numFmtId="43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6" fontId="15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15" fillId="0" borderId="0" applyFont="0" applyFill="0" applyBorder="0" applyAlignment="0" applyProtection="0"/>
    <xf numFmtId="168" fontId="1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6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15" fillId="0" borderId="0"/>
    <xf numFmtId="0" fontId="1" fillId="0" borderId="0"/>
    <xf numFmtId="4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49" fontId="25" fillId="19" borderId="28" applyAlignment="0"/>
    <xf numFmtId="49" fontId="25" fillId="20" borderId="29" applyAlignment="0">
      <protection locked="0"/>
    </xf>
    <xf numFmtId="49" fontId="25" fillId="20" borderId="29" applyAlignment="0">
      <protection locked="0"/>
    </xf>
    <xf numFmtId="0" fontId="20" fillId="3" borderId="0" applyNumberFormat="0" applyBorder="0" applyAlignment="0" applyProtection="0"/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49" fontId="25" fillId="21" borderId="28" applyAlignment="0"/>
    <xf numFmtId="49" fontId="26" fillId="22" borderId="4">
      <alignment horizontal="center" vertical="center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4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49" fontId="25" fillId="23" borderId="30" applyAlignment="0"/>
    <xf numFmtId="0" fontId="19" fillId="2" borderId="0" applyNumberFormat="0" applyBorder="0" applyAlignment="0">
      <protection locked="0"/>
    </xf>
    <xf numFmtId="0" fontId="19" fillId="2" borderId="0" applyNumberFormat="0" applyBorder="0" applyAlignment="0" applyProtection="0"/>
    <xf numFmtId="0" fontId="19" fillId="2" borderId="0" applyNumberFormat="0" applyBorder="0" applyAlignment="0">
      <protection locked="0"/>
    </xf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0" fontId="27" fillId="24" borderId="16">
      <alignment horizontal="left" vertical="top"/>
      <protection locked="0"/>
    </xf>
    <xf numFmtId="0" fontId="21" fillId="4" borderId="0" applyNumberFormat="0" applyBorder="0" applyAlignment="0">
      <protection locked="0"/>
    </xf>
    <xf numFmtId="0" fontId="21" fillId="4" borderId="0" applyNumberFormat="0" applyBorder="0" applyAlignment="0" applyProtection="0"/>
    <xf numFmtId="0" fontId="21" fillId="4" borderId="0" applyNumberFormat="0" applyBorder="0" applyAlignment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30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49" fontId="25" fillId="0" borderId="0">
      <protection locked="0"/>
    </xf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49" fontId="25" fillId="25" borderId="28" applyAlignment="0"/>
    <xf numFmtId="49" fontId="31" fillId="26" borderId="29">
      <alignment horizontal="center" wrapText="1"/>
    </xf>
    <xf numFmtId="49" fontId="31" fillId="26" borderId="29">
      <alignment horizontal="center" wrapText="1"/>
    </xf>
    <xf numFmtId="49" fontId="31" fillId="27" borderId="29">
      <alignment horizontal="center" wrapText="1"/>
    </xf>
    <xf numFmtId="49" fontId="31" fillId="27" borderId="29">
      <alignment horizontal="center" wrapText="1"/>
    </xf>
    <xf numFmtId="49" fontId="31" fillId="28" borderId="16">
      <alignment horizontal="center" wrapText="1"/>
    </xf>
    <xf numFmtId="49" fontId="31" fillId="29" borderId="29">
      <alignment horizontal="center" wrapText="1"/>
    </xf>
    <xf numFmtId="49" fontId="31" fillId="29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1" fillId="30" borderId="16">
      <alignment horizontal="center" wrapText="1"/>
    </xf>
    <xf numFmtId="49" fontId="31" fillId="21" borderId="16">
      <alignment horizontal="center" wrapText="1"/>
    </xf>
    <xf numFmtId="49" fontId="25" fillId="21" borderId="28" applyAlignment="0"/>
    <xf numFmtId="49" fontId="31" fillId="31" borderId="16">
      <alignment horizontal="center" wrapText="1"/>
    </xf>
    <xf numFmtId="0" fontId="15" fillId="0" borderId="0"/>
    <xf numFmtId="0" fontId="15" fillId="0" borderId="0"/>
    <xf numFmtId="49" fontId="25" fillId="0" borderId="0" applyFont="0" applyFill="0" applyBorder="0">
      <alignment wrapText="1"/>
    </xf>
    <xf numFmtId="0" fontId="32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9" fontId="25" fillId="32" borderId="29">
      <protection locked="0"/>
    </xf>
    <xf numFmtId="49" fontId="25" fillId="32" borderId="29">
      <protection locked="0"/>
    </xf>
    <xf numFmtId="0" fontId="33" fillId="0" borderId="0"/>
    <xf numFmtId="0" fontId="38" fillId="0" borderId="0"/>
    <xf numFmtId="9" fontId="1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5" fillId="0" borderId="0"/>
    <xf numFmtId="165" fontId="45" fillId="0" borderId="0" applyFont="0" applyFill="0" applyBorder="0" applyAlignment="0" applyProtection="0"/>
    <xf numFmtId="43" fontId="45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46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6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3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71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171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169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1" fontId="15" fillId="0" borderId="0" xfId="6" applyNumberFormat="1" applyFont="1" applyAlignment="1">
      <alignment horizontal="center" vertical="center" wrapText="1"/>
    </xf>
    <xf numFmtId="1" fontId="15" fillId="0" borderId="0" xfId="2" applyNumberFormat="1" applyAlignment="1">
      <alignment horizontal="center" vertic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69" fontId="0" fillId="0" borderId="0" xfId="0" applyNumberFormat="1"/>
    <xf numFmtId="169" fontId="2" fillId="0" borderId="0" xfId="0" applyNumberFormat="1" applyFon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34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0" fontId="0" fillId="34" borderId="0" xfId="0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4" borderId="0" xfId="0" applyFill="1"/>
    <xf numFmtId="0" fontId="0" fillId="35" borderId="32" xfId="0" applyFill="1" applyBorder="1"/>
    <xf numFmtId="0" fontId="0" fillId="35" borderId="33" xfId="0" applyFill="1" applyBorder="1"/>
    <xf numFmtId="0" fontId="0" fillId="35" borderId="0" xfId="0" applyFill="1"/>
    <xf numFmtId="0" fontId="0" fillId="35" borderId="35" xfId="0" applyFill="1" applyBorder="1"/>
    <xf numFmtId="0" fontId="0" fillId="35" borderId="37" xfId="0" applyFill="1" applyBorder="1"/>
    <xf numFmtId="0" fontId="0" fillId="35" borderId="38" xfId="0" applyFill="1" applyBorder="1"/>
    <xf numFmtId="0" fontId="0" fillId="35" borderId="34" xfId="0" applyFill="1" applyBorder="1" applyAlignment="1">
      <alignment horizontal="right"/>
    </xf>
    <xf numFmtId="0" fontId="2" fillId="35" borderId="40" xfId="0" applyFont="1" applyFill="1" applyBorder="1" applyAlignment="1">
      <alignment horizontal="center"/>
    </xf>
    <xf numFmtId="0" fontId="2" fillId="35" borderId="41" xfId="0" applyFont="1" applyFill="1" applyBorder="1" applyAlignment="1">
      <alignment horizontal="center"/>
    </xf>
    <xf numFmtId="0" fontId="0" fillId="35" borderId="36" xfId="0" applyFill="1" applyBorder="1" applyAlignment="1">
      <alignment horizontal="right"/>
    </xf>
    <xf numFmtId="0" fontId="0" fillId="35" borderId="0" xfId="0" applyFill="1" applyAlignment="1">
      <alignment horizontal="right"/>
    </xf>
    <xf numFmtId="0" fontId="41" fillId="35" borderId="31" xfId="0" applyFont="1" applyFill="1" applyBorder="1"/>
    <xf numFmtId="0" fontId="41" fillId="35" borderId="34" xfId="0" applyFont="1" applyFill="1" applyBorder="1" applyAlignment="1">
      <alignment horizontal="right"/>
    </xf>
    <xf numFmtId="0" fontId="41" fillId="35" borderId="34" xfId="0" applyFont="1" applyFill="1" applyBorder="1" applyAlignment="1">
      <alignment vertical="center"/>
    </xf>
    <xf numFmtId="0" fontId="41" fillId="35" borderId="34" xfId="0" applyFont="1" applyFill="1" applyBorder="1" applyAlignment="1">
      <alignment vertical="top" wrapText="1"/>
    </xf>
    <xf numFmtId="0" fontId="41" fillId="35" borderId="34" xfId="0" applyFont="1" applyFill="1" applyBorder="1" applyAlignment="1">
      <alignment horizontal="right" vertical="top"/>
    </xf>
    <xf numFmtId="0" fontId="41" fillId="35" borderId="34" xfId="0" applyFont="1" applyFill="1" applyBorder="1" applyAlignment="1">
      <alignment vertical="top"/>
    </xf>
    <xf numFmtId="0" fontId="40" fillId="35" borderId="34" xfId="0" applyFont="1" applyFill="1" applyBorder="1" applyAlignment="1">
      <alignment horizontal="right"/>
    </xf>
    <xf numFmtId="0" fontId="40" fillId="35" borderId="36" xfId="0" applyFont="1" applyFill="1" applyBorder="1"/>
    <xf numFmtId="0" fontId="0" fillId="35" borderId="32" xfId="0" applyFill="1" applyBorder="1" applyAlignment="1">
      <alignment horizontal="left"/>
    </xf>
    <xf numFmtId="0" fontId="0" fillId="35" borderId="0" xfId="0" applyFill="1" applyAlignment="1">
      <alignment horizontal="left"/>
    </xf>
    <xf numFmtId="0" fontId="2" fillId="35" borderId="39" xfId="0" applyFont="1" applyFill="1" applyBorder="1" applyAlignment="1">
      <alignment horizontal="center" vertical="center"/>
    </xf>
    <xf numFmtId="0" fontId="2" fillId="35" borderId="40" xfId="0" applyFont="1" applyFill="1" applyBorder="1" applyAlignment="1">
      <alignment horizontal="center" vertical="center"/>
    </xf>
    <xf numFmtId="169" fontId="2" fillId="35" borderId="40" xfId="0" applyNumberFormat="1" applyFont="1" applyFill="1" applyBorder="1" applyAlignment="1">
      <alignment horizontal="center" vertical="center"/>
    </xf>
    <xf numFmtId="169" fontId="2" fillId="35" borderId="41" xfId="0" applyNumberFormat="1" applyFont="1" applyFill="1" applyBorder="1" applyAlignment="1">
      <alignment horizontal="center" vertical="center"/>
    </xf>
    <xf numFmtId="0" fontId="0" fillId="35" borderId="36" xfId="0" applyFill="1" applyBorder="1"/>
    <xf numFmtId="0" fontId="0" fillId="35" borderId="31" xfId="0" applyFill="1" applyBorder="1"/>
    <xf numFmtId="1" fontId="0" fillId="0" borderId="0" xfId="0" applyNumberFormat="1"/>
    <xf numFmtId="0" fontId="0" fillId="0" borderId="34" xfId="0" applyBorder="1"/>
    <xf numFmtId="0" fontId="2" fillId="35" borderId="52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5" borderId="37" xfId="0" applyFill="1" applyBorder="1" applyAlignment="1">
      <alignment horizontal="right"/>
    </xf>
    <xf numFmtId="0" fontId="0" fillId="35" borderId="0" xfId="0" applyFill="1" applyAlignment="1">
      <alignment horizontal="right" vertical="center"/>
    </xf>
    <xf numFmtId="0" fontId="0" fillId="35" borderId="0" xfId="0" applyFill="1" applyAlignment="1">
      <alignment horizontal="right" shrinkToFit="1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1" fontId="2" fillId="35" borderId="40" xfId="0" applyNumberFormat="1" applyFont="1" applyFill="1" applyBorder="1" applyAlignment="1">
      <alignment horizontal="center" vertical="center"/>
    </xf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2" xfId="2" applyBorder="1" applyAlignment="1">
      <alignment vertical="center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7" fillId="0" borderId="0" xfId="2" applyFont="1" applyAlignment="1">
      <alignment vertical="center"/>
    </xf>
    <xf numFmtId="0" fontId="22" fillId="0" borderId="25" xfId="2" applyFont="1" applyBorder="1" applyAlignment="1">
      <alignment horizontal="left" vertical="top"/>
    </xf>
    <xf numFmtId="0" fontId="22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2" fillId="0" borderId="54" xfId="2" applyFont="1" applyBorder="1" applyAlignment="1">
      <alignment horizontal="center" vertical="center" wrapText="1"/>
    </xf>
    <xf numFmtId="0" fontId="22" fillId="0" borderId="54" xfId="2" applyFont="1" applyBorder="1" applyAlignment="1">
      <alignment horizontal="center" vertical="center"/>
    </xf>
    <xf numFmtId="180" fontId="15" fillId="0" borderId="0" xfId="2" applyNumberFormat="1" applyAlignment="1">
      <alignment vertical="center"/>
    </xf>
    <xf numFmtId="180" fontId="15" fillId="0" borderId="0" xfId="2" applyNumberFormat="1" applyAlignment="1">
      <alignment horizontal="right" vertical="center"/>
    </xf>
    <xf numFmtId="180" fontId="15" fillId="0" borderId="0" xfId="2" applyNumberFormat="1" applyAlignment="1">
      <alignment horizontal="center" vertical="center"/>
    </xf>
    <xf numFmtId="181" fontId="15" fillId="0" borderId="0" xfId="2" applyNumberFormat="1" applyAlignment="1">
      <alignment vertical="center"/>
    </xf>
    <xf numFmtId="181" fontId="15" fillId="0" borderId="0" xfId="2" applyNumberFormat="1" applyAlignment="1">
      <alignment horizontal="right" vertical="center"/>
    </xf>
    <xf numFmtId="0" fontId="22" fillId="0" borderId="18" xfId="2" applyFont="1" applyBorder="1" applyAlignment="1">
      <alignment vertical="top"/>
    </xf>
    <xf numFmtId="0" fontId="22" fillId="0" borderId="19" xfId="2" applyFont="1" applyBorder="1" applyAlignment="1">
      <alignment vertical="top"/>
    </xf>
    <xf numFmtId="14" fontId="0" fillId="34" borderId="0" xfId="0" applyNumberFormat="1" applyFill="1" applyAlignment="1">
      <alignment horizontal="center"/>
    </xf>
    <xf numFmtId="14" fontId="2" fillId="35" borderId="40" xfId="0" applyNumberFormat="1" applyFont="1" applyFill="1" applyBorder="1" applyAlignment="1">
      <alignment horizontal="center"/>
    </xf>
    <xf numFmtId="0" fontId="0" fillId="35" borderId="42" xfId="0" applyFill="1" applyBorder="1" applyProtection="1">
      <protection locked="0" hidden="1"/>
    </xf>
    <xf numFmtId="0" fontId="1" fillId="35" borderId="42" xfId="0" applyFont="1" applyFill="1" applyBorder="1" applyProtection="1">
      <protection locked="0" hidden="1"/>
    </xf>
    <xf numFmtId="0" fontId="1" fillId="35" borderId="43" xfId="0" applyFont="1" applyFill="1" applyBorder="1" applyProtection="1">
      <protection locked="0" hidden="1"/>
    </xf>
    <xf numFmtId="0" fontId="0" fillId="36" borderId="29" xfId="0" applyFill="1" applyBorder="1" applyProtection="1">
      <protection locked="0"/>
    </xf>
    <xf numFmtId="14" fontId="0" fillId="36" borderId="29" xfId="0" applyNumberFormat="1" applyFill="1" applyBorder="1" applyAlignment="1" applyProtection="1">
      <alignment horizontal="center"/>
      <protection locked="0"/>
    </xf>
    <xf numFmtId="0" fontId="0" fillId="36" borderId="34" xfId="0" applyFill="1" applyBorder="1" applyAlignment="1" applyProtection="1">
      <alignment horizontal="center" vertical="center"/>
      <protection locked="0" hidden="1"/>
    </xf>
    <xf numFmtId="3" fontId="1" fillId="36" borderId="44" xfId="0" applyNumberFormat="1" applyFont="1" applyFill="1" applyBorder="1" applyAlignment="1" applyProtection="1">
      <alignment horizontal="center"/>
      <protection locked="0" hidden="1"/>
    </xf>
    <xf numFmtId="1" fontId="1" fillId="36" borderId="21" xfId="0" applyNumberFormat="1" applyFont="1" applyFill="1" applyBorder="1" applyAlignment="1" applyProtection="1">
      <alignment horizontal="center"/>
      <protection locked="0" hidden="1"/>
    </xf>
    <xf numFmtId="3" fontId="1" fillId="36" borderId="42" xfId="0" applyNumberFormat="1" applyFont="1" applyFill="1" applyBorder="1" applyAlignment="1" applyProtection="1">
      <alignment horizontal="center"/>
      <protection locked="0" hidden="1"/>
    </xf>
    <xf numFmtId="1" fontId="1" fillId="35" borderId="59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60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44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1" xfId="0" applyNumberFormat="1" applyFont="1" applyFill="1" applyBorder="1" applyAlignment="1" applyProtection="1">
      <alignment horizontal="center" vertical="center"/>
      <protection locked="0" hidden="1"/>
    </xf>
    <xf numFmtId="3" fontId="24" fillId="36" borderId="44" xfId="2" applyNumberFormat="1" applyFont="1" applyFill="1" applyBorder="1" applyAlignment="1" applyProtection="1">
      <alignment horizontal="center" vertical="center"/>
      <protection locked="0" hidden="1"/>
    </xf>
    <xf numFmtId="0" fontId="24" fillId="36" borderId="34" xfId="2" applyFont="1" applyFill="1" applyBorder="1" applyAlignment="1" applyProtection="1">
      <alignment horizontal="center" vertical="center"/>
      <protection locked="0" hidden="1"/>
    </xf>
    <xf numFmtId="0" fontId="1" fillId="36" borderId="34" xfId="0" applyFont="1" applyFill="1" applyBorder="1" applyAlignment="1" applyProtection="1">
      <alignment horizontal="center" vertical="center"/>
      <protection locked="0" hidden="1"/>
    </xf>
    <xf numFmtId="1" fontId="1" fillId="36" borderId="21" xfId="0" applyNumberFormat="1" applyFont="1" applyFill="1" applyBorder="1" applyProtection="1">
      <protection locked="0" hidden="1"/>
    </xf>
    <xf numFmtId="3" fontId="1" fillId="36" borderId="42" xfId="0" applyNumberFormat="1" applyFont="1" applyFill="1" applyBorder="1" applyProtection="1">
      <protection locked="0" hidden="1"/>
    </xf>
    <xf numFmtId="1" fontId="1" fillId="36" borderId="44" xfId="0" applyNumberFormat="1" applyFont="1" applyFill="1" applyBorder="1" applyProtection="1">
      <protection locked="0" hidden="1"/>
    </xf>
    <xf numFmtId="0" fontId="1" fillId="36" borderId="36" xfId="0" applyFont="1" applyFill="1" applyBorder="1" applyAlignment="1" applyProtection="1">
      <alignment horizontal="center" vertical="center"/>
      <protection locked="0" hidden="1"/>
    </xf>
    <xf numFmtId="3" fontId="1" fillId="36" borderId="46" xfId="0" applyNumberFormat="1" applyFont="1" applyFill="1" applyBorder="1" applyAlignment="1" applyProtection="1">
      <alignment horizontal="center"/>
      <protection locked="0" hidden="1"/>
    </xf>
    <xf numFmtId="1" fontId="1" fillId="36" borderId="46" xfId="0" applyNumberFormat="1" applyFont="1" applyFill="1" applyBorder="1" applyProtection="1">
      <protection locked="0" hidden="1"/>
    </xf>
    <xf numFmtId="3" fontId="1" fillId="36" borderId="43" xfId="0" applyNumberFormat="1" applyFont="1" applyFill="1" applyBorder="1" applyProtection="1">
      <protection locked="0" hidden="1"/>
    </xf>
    <xf numFmtId="1" fontId="1" fillId="35" borderId="46" xfId="0" applyNumberFormat="1" applyFont="1" applyFill="1" applyBorder="1" applyAlignment="1" applyProtection="1">
      <alignment horizontal="right"/>
      <protection locked="0" hidden="1"/>
    </xf>
    <xf numFmtId="1" fontId="1" fillId="35" borderId="53" xfId="0" applyNumberFormat="1" applyFont="1" applyFill="1" applyBorder="1" applyAlignment="1" applyProtection="1">
      <alignment horizontal="right"/>
      <protection locked="0" hidden="1"/>
    </xf>
    <xf numFmtId="177" fontId="1" fillId="35" borderId="53" xfId="0" applyNumberFormat="1" applyFont="1" applyFill="1" applyBorder="1" applyAlignment="1" applyProtection="1">
      <alignment horizontal="right"/>
      <protection locked="0" hidden="1"/>
    </xf>
    <xf numFmtId="2" fontId="1" fillId="35" borderId="32" xfId="0" applyNumberFormat="1" applyFont="1" applyFill="1" applyBorder="1" applyAlignment="1" applyProtection="1">
      <alignment horizontal="center" vertical="center"/>
      <protection locked="0" hidden="1"/>
    </xf>
    <xf numFmtId="2" fontId="1" fillId="35" borderId="0" xfId="0" applyNumberFormat="1" applyFont="1" applyFill="1" applyAlignment="1" applyProtection="1">
      <alignment horizontal="center" vertical="center"/>
      <protection locked="0" hidden="1"/>
    </xf>
    <xf numFmtId="2" fontId="1" fillId="35" borderId="37" xfId="0" applyNumberFormat="1" applyFont="1" applyFill="1" applyBorder="1" applyAlignment="1" applyProtection="1">
      <alignment horizontal="center"/>
      <protection locked="0" hidden="1"/>
    </xf>
    <xf numFmtId="0" fontId="9" fillId="0" borderId="0" xfId="0" applyFont="1"/>
    <xf numFmtId="0" fontId="7" fillId="0" borderId="9" xfId="41" applyFont="1" applyBorder="1" applyAlignment="1" applyProtection="1">
      <alignment horizontal="left" vertical="center"/>
      <protection locked="0"/>
    </xf>
    <xf numFmtId="1" fontId="0" fillId="36" borderId="29" xfId="0" applyNumberFormat="1" applyFill="1" applyBorder="1" applyAlignment="1" applyProtection="1">
      <alignment horizontal="center"/>
      <protection locked="0"/>
    </xf>
    <xf numFmtId="183" fontId="2" fillId="0" borderId="0" xfId="0" applyNumberFormat="1" applyFont="1" applyAlignment="1">
      <alignment horizontal="center" vertical="center" wrapText="1"/>
    </xf>
    <xf numFmtId="183" fontId="0" fillId="0" borderId="0" xfId="0" applyNumberFormat="1" applyAlignment="1">
      <alignment horizontal="center"/>
    </xf>
    <xf numFmtId="183" fontId="0" fillId="0" borderId="0" xfId="0" applyNumberFormat="1" applyAlignment="1">
      <alignment horizontal="center" vertical="center"/>
    </xf>
    <xf numFmtId="1" fontId="1" fillId="35" borderId="63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6" xfId="0" applyNumberFormat="1" applyFont="1" applyFill="1" applyBorder="1" applyAlignment="1" applyProtection="1">
      <alignment horizontal="center" vertical="center"/>
      <protection locked="0" hidden="1"/>
    </xf>
    <xf numFmtId="177" fontId="1" fillId="35" borderId="47" xfId="0" applyNumberFormat="1" applyFont="1" applyFill="1" applyBorder="1" applyAlignment="1" applyProtection="1">
      <alignment horizontal="right"/>
      <protection locked="0" hidden="1"/>
    </xf>
    <xf numFmtId="14" fontId="46" fillId="0" borderId="0" xfId="0" applyNumberFormat="1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169" fontId="0" fillId="0" borderId="0" xfId="0" applyNumberFormat="1" applyAlignment="1">
      <alignment horizontal="left" shrinkToFit="1"/>
    </xf>
    <xf numFmtId="0" fontId="48" fillId="0" borderId="0" xfId="0" applyFont="1" applyAlignment="1">
      <alignment horizontal="center" shrinkToFit="1"/>
    </xf>
    <xf numFmtId="0" fontId="51" fillId="0" borderId="0" xfId="0" applyFont="1" applyAlignment="1">
      <alignment horizontal="center" shrinkToFit="1"/>
    </xf>
    <xf numFmtId="0" fontId="52" fillId="0" borderId="0" xfId="0" applyFont="1" applyAlignment="1">
      <alignment vertical="center"/>
    </xf>
    <xf numFmtId="0" fontId="52" fillId="0" borderId="0" xfId="0" applyFont="1" applyAlignment="1">
      <alignment horizontal="left" vertical="center"/>
    </xf>
    <xf numFmtId="0" fontId="0" fillId="0" borderId="26" xfId="0" applyBorder="1"/>
    <xf numFmtId="0" fontId="37" fillId="35" borderId="53" xfId="0" applyFont="1" applyFill="1" applyBorder="1" applyAlignment="1">
      <alignment horizontal="center"/>
    </xf>
    <xf numFmtId="0" fontId="37" fillId="35" borderId="47" xfId="0" applyFont="1" applyFill="1" applyBorder="1" applyAlignment="1">
      <alignment horizontal="center"/>
    </xf>
    <xf numFmtId="0" fontId="37" fillId="35" borderId="48" xfId="0" applyFont="1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53" fillId="0" borderId="0" xfId="2" applyFont="1"/>
    <xf numFmtId="1" fontId="53" fillId="0" borderId="0" xfId="6" applyNumberFormat="1" applyFont="1" applyAlignment="1">
      <alignment horizontal="center" vertical="center" wrapText="1"/>
    </xf>
    <xf numFmtId="0" fontId="17" fillId="0" borderId="22" xfId="2" applyFont="1" applyBorder="1" applyAlignment="1">
      <alignment vertical="center"/>
    </xf>
    <xf numFmtId="0" fontId="22" fillId="0" borderId="19" xfId="40" applyFont="1" applyBorder="1" applyAlignment="1">
      <alignment horizontal="left" vertical="top"/>
    </xf>
    <xf numFmtId="0" fontId="22" fillId="0" borderId="20" xfId="2" applyFont="1" applyBorder="1" applyAlignment="1">
      <alignment vertical="top"/>
    </xf>
    <xf numFmtId="0" fontId="22" fillId="0" borderId="55" xfId="2" applyFont="1" applyBorder="1" applyAlignment="1">
      <alignment horizontal="center" vertical="center" wrapText="1"/>
    </xf>
    <xf numFmtId="0" fontId="24" fillId="0" borderId="14" xfId="2" applyFont="1" applyBorder="1" applyAlignment="1">
      <alignment horizontal="left" vertical="center"/>
    </xf>
    <xf numFmtId="0" fontId="37" fillId="0" borderId="14" xfId="2" applyFont="1" applyBorder="1" applyAlignment="1">
      <alignment horizontal="left" vertical="center"/>
    </xf>
    <xf numFmtId="0" fontId="37" fillId="0" borderId="0" xfId="2" applyFont="1" applyAlignment="1">
      <alignment vertical="center"/>
    </xf>
    <xf numFmtId="0" fontId="37" fillId="0" borderId="0" xfId="2" applyFont="1" applyAlignment="1">
      <alignment horizontal="right" vertical="center"/>
    </xf>
    <xf numFmtId="0" fontId="37" fillId="0" borderId="21" xfId="2" applyFont="1" applyBorder="1" applyAlignment="1">
      <alignment vertical="center"/>
    </xf>
    <xf numFmtId="0" fontId="37" fillId="0" borderId="26" xfId="2" applyFont="1" applyBorder="1" applyAlignment="1">
      <alignment horizontal="center" vertical="center"/>
    </xf>
    <xf numFmtId="1" fontId="37" fillId="0" borderId="26" xfId="2" applyNumberFormat="1" applyFont="1" applyBorder="1" applyAlignment="1">
      <alignment horizontal="center" vertical="center"/>
    </xf>
    <xf numFmtId="0" fontId="24" fillId="0" borderId="26" xfId="2" applyFont="1" applyBorder="1" applyAlignment="1">
      <alignment vertical="center"/>
    </xf>
    <xf numFmtId="0" fontId="24" fillId="0" borderId="14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170" fontId="24" fillId="0" borderId="0" xfId="2" applyNumberFormat="1" applyFont="1" applyAlignment="1">
      <alignment horizontal="center" vertical="center"/>
    </xf>
    <xf numFmtId="0" fontId="24" fillId="0" borderId="21" xfId="2" applyFont="1" applyBorder="1" applyAlignment="1">
      <alignment vertical="center"/>
    </xf>
    <xf numFmtId="4" fontId="24" fillId="0" borderId="26" xfId="2" applyNumberFormat="1" applyFont="1" applyBorder="1" applyAlignment="1">
      <alignment horizontal="center" vertical="center"/>
    </xf>
    <xf numFmtId="3" fontId="24" fillId="0" borderId="26" xfId="2" applyNumberFormat="1" applyFont="1" applyBorder="1" applyAlignment="1">
      <alignment horizontal="center" vertical="center"/>
    </xf>
    <xf numFmtId="1" fontId="24" fillId="0" borderId="26" xfId="5" applyNumberFormat="1" applyFont="1" applyFill="1" applyBorder="1" applyAlignment="1" applyProtection="1">
      <alignment horizontal="center" vertical="center"/>
    </xf>
    <xf numFmtId="0" fontId="24" fillId="0" borderId="26" xfId="2" applyFont="1" applyBorder="1" applyAlignment="1">
      <alignment horizontal="center" vertical="center"/>
    </xf>
    <xf numFmtId="0" fontId="22" fillId="0" borderId="18" xfId="40" applyFont="1" applyBorder="1" applyAlignment="1">
      <alignment vertical="top"/>
    </xf>
    <xf numFmtId="0" fontId="22" fillId="0" borderId="19" xfId="40" applyFont="1" applyBorder="1" applyAlignment="1">
      <alignment vertical="top"/>
    </xf>
    <xf numFmtId="0" fontId="22" fillId="0" borderId="19" xfId="40" applyFont="1" applyBorder="1" applyAlignment="1">
      <alignment horizontal="right" vertical="top"/>
    </xf>
    <xf numFmtId="0" fontId="15" fillId="0" borderId="20" xfId="2" applyBorder="1" applyAlignment="1">
      <alignment horizontal="left" vertical="center"/>
    </xf>
    <xf numFmtId="0" fontId="22" fillId="0" borderId="20" xfId="40" applyFont="1" applyBorder="1" applyAlignment="1">
      <alignment vertical="top"/>
    </xf>
    <xf numFmtId="0" fontId="15" fillId="0" borderId="22" xfId="40" applyBorder="1" applyAlignment="1">
      <alignment vertical="center"/>
    </xf>
    <xf numFmtId="0" fontId="15" fillId="0" borderId="23" xfId="40" applyBorder="1" applyAlignment="1">
      <alignment vertical="center"/>
    </xf>
    <xf numFmtId="0" fontId="15" fillId="0" borderId="23" xfId="40" applyBorder="1" applyAlignment="1">
      <alignment horizontal="right" vertical="center"/>
    </xf>
    <xf numFmtId="0" fontId="22" fillId="0" borderId="14" xfId="40" applyFont="1" applyBorder="1" applyAlignment="1">
      <alignment vertical="top"/>
    </xf>
    <xf numFmtId="0" fontId="22" fillId="0" borderId="21" xfId="40" applyFont="1" applyBorder="1" applyAlignment="1">
      <alignment vertical="top"/>
    </xf>
    <xf numFmtId="0" fontId="22" fillId="0" borderId="14" xfId="40" applyFont="1" applyBorder="1" applyAlignment="1">
      <alignment horizontal="left" vertical="top"/>
    </xf>
    <xf numFmtId="0" fontId="22" fillId="0" borderId="21" xfId="40" applyFont="1" applyBorder="1" applyAlignment="1">
      <alignment horizontal="right" vertical="top"/>
    </xf>
    <xf numFmtId="0" fontId="22" fillId="0" borderId="18" xfId="40" applyFont="1" applyBorder="1" applyAlignment="1">
      <alignment horizontal="left" vertical="top"/>
    </xf>
    <xf numFmtId="0" fontId="22" fillId="0" borderId="20" xfId="2" applyFont="1" applyBorder="1" applyAlignment="1">
      <alignment vertical="center"/>
    </xf>
    <xf numFmtId="0" fontId="22" fillId="0" borderId="20" xfId="40" applyFont="1" applyBorder="1" applyAlignment="1">
      <alignment horizontal="left" vertical="top"/>
    </xf>
    <xf numFmtId="0" fontId="22" fillId="0" borderId="20" xfId="40" applyFont="1" applyBorder="1" applyAlignment="1">
      <alignment horizontal="right" vertical="top"/>
    </xf>
    <xf numFmtId="0" fontId="15" fillId="0" borderId="14" xfId="40" applyBorder="1" applyAlignment="1">
      <alignment horizontal="left" vertical="center"/>
    </xf>
    <xf numFmtId="0" fontId="15" fillId="0" borderId="0" xfId="40" applyAlignment="1">
      <alignment vertical="center"/>
    </xf>
    <xf numFmtId="0" fontId="15" fillId="0" borderId="21" xfId="40" applyBorder="1" applyAlignment="1">
      <alignment vertical="center"/>
    </xf>
    <xf numFmtId="0" fontId="15" fillId="0" borderId="19" xfId="40" applyBorder="1" applyAlignment="1">
      <alignment vertical="center"/>
    </xf>
    <xf numFmtId="0" fontId="9" fillId="0" borderId="14" xfId="40" applyFont="1" applyBorder="1" applyAlignment="1">
      <alignment horizontal="left" vertical="center"/>
    </xf>
    <xf numFmtId="0" fontId="9" fillId="0" borderId="0" xfId="40" applyFont="1" applyAlignment="1">
      <alignment vertical="center"/>
    </xf>
    <xf numFmtId="0" fontId="9" fillId="0" borderId="0" xfId="40" applyFont="1" applyAlignment="1">
      <alignment horizontal="center" vertical="center"/>
    </xf>
    <xf numFmtId="0" fontId="9" fillId="0" borderId="21" xfId="40" applyFont="1" applyBorder="1" applyAlignment="1">
      <alignment horizontal="left" vertical="center"/>
    </xf>
    <xf numFmtId="0" fontId="15" fillId="0" borderId="14" xfId="40" applyBorder="1" applyAlignment="1">
      <alignment vertical="center"/>
    </xf>
    <xf numFmtId="0" fontId="15" fillId="0" borderId="0" xfId="40" applyAlignment="1">
      <alignment horizontal="left" vertical="center"/>
    </xf>
    <xf numFmtId="0" fontId="15" fillId="0" borderId="0" xfId="40" applyAlignment="1">
      <alignment horizontal="right" vertical="center"/>
    </xf>
    <xf numFmtId="0" fontId="9" fillId="0" borderId="22" xfId="40" applyFont="1" applyBorder="1" applyAlignment="1">
      <alignment horizontal="left" vertical="center"/>
    </xf>
    <xf numFmtId="0" fontId="9" fillId="0" borderId="23" xfId="40" applyFont="1" applyBorder="1" applyAlignment="1">
      <alignment vertical="center"/>
    </xf>
    <xf numFmtId="0" fontId="9" fillId="0" borderId="24" xfId="40" applyFont="1" applyBorder="1" applyAlignment="1">
      <alignment horizontal="left" vertical="center"/>
    </xf>
    <xf numFmtId="19" fontId="0" fillId="0" borderId="0" xfId="0" applyNumberFormat="1" applyAlignment="1">
      <alignment horizontal="center"/>
    </xf>
    <xf numFmtId="0" fontId="54" fillId="0" borderId="0" xfId="0" applyFont="1" applyAlignment="1">
      <alignment horizontal="center" shrinkToFit="1"/>
    </xf>
    <xf numFmtId="0" fontId="37" fillId="0" borderId="18" xfId="2" applyFont="1" applyBorder="1" applyAlignment="1">
      <alignment vertical="center"/>
    </xf>
    <xf numFmtId="0" fontId="37" fillId="0" borderId="14" xfId="2" applyFont="1" applyBorder="1" applyAlignment="1">
      <alignment vertical="center"/>
    </xf>
    <xf numFmtId="3" fontId="1" fillId="36" borderId="21" xfId="0" applyNumberFormat="1" applyFont="1" applyFill="1" applyBorder="1" applyAlignment="1" applyProtection="1">
      <alignment horizontal="center"/>
      <protection locked="0" hidden="1"/>
    </xf>
    <xf numFmtId="1" fontId="1" fillId="36" borderId="44" xfId="0" applyNumberFormat="1" applyFont="1" applyFill="1" applyBorder="1" applyAlignment="1" applyProtection="1">
      <alignment horizontal="center"/>
      <protection locked="0" hidden="1"/>
    </xf>
    <xf numFmtId="0" fontId="55" fillId="0" borderId="0" xfId="0" applyFont="1" applyAlignment="1">
      <alignment horizontal="center" shrinkToFit="1"/>
    </xf>
    <xf numFmtId="0" fontId="56" fillId="0" borderId="0" xfId="0" applyFont="1" applyAlignment="1">
      <alignment horizontal="center" vertical="center" wrapText="1"/>
    </xf>
    <xf numFmtId="0" fontId="0" fillId="0" borderId="45" xfId="0" applyBorder="1" applyAlignment="1">
      <alignment horizontal="center"/>
    </xf>
    <xf numFmtId="177" fontId="1" fillId="35" borderId="45" xfId="0" applyNumberFormat="1" applyFont="1" applyFill="1" applyBorder="1" applyAlignment="1" applyProtection="1">
      <alignment horizontal="right" vertical="center"/>
      <protection locked="0" hidden="1"/>
    </xf>
    <xf numFmtId="177" fontId="1" fillId="35" borderId="48" xfId="0" applyNumberFormat="1" applyFont="1" applyFill="1" applyBorder="1" applyAlignment="1" applyProtection="1">
      <alignment horizontal="right" vertical="center"/>
      <protection locked="0" hidden="1"/>
    </xf>
    <xf numFmtId="0" fontId="53" fillId="0" borderId="0" xfId="2" applyFont="1" applyAlignment="1">
      <alignment horizontal="center"/>
    </xf>
    <xf numFmtId="0" fontId="16" fillId="0" borderId="0" xfId="2" applyFont="1" applyAlignment="1">
      <alignment horizontal="center" vertical="center" wrapText="1"/>
    </xf>
    <xf numFmtId="0" fontId="53" fillId="0" borderId="0" xfId="2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57" fillId="0" borderId="0" xfId="2" applyFont="1" applyAlignment="1">
      <alignment horizontal="center" vertical="center"/>
    </xf>
    <xf numFmtId="2" fontId="15" fillId="0" borderId="0" xfId="2" applyNumberFormat="1" applyAlignment="1">
      <alignment horizontal="center" vertical="center"/>
    </xf>
    <xf numFmtId="170" fontId="15" fillId="0" borderId="0" xfId="2" applyNumberFormat="1" applyAlignment="1">
      <alignment vertical="center"/>
    </xf>
    <xf numFmtId="0" fontId="58" fillId="0" borderId="0" xfId="0" applyFont="1" applyAlignment="1">
      <alignment horizontal="center" shrinkToFit="1"/>
    </xf>
    <xf numFmtId="170" fontId="37" fillId="0" borderId="26" xfId="2" applyNumberFormat="1" applyFont="1" applyBorder="1" applyAlignment="1">
      <alignment horizontal="center" vertical="center"/>
    </xf>
    <xf numFmtId="170" fontId="24" fillId="0" borderId="26" xfId="2" applyNumberFormat="1" applyFont="1" applyBorder="1" applyAlignment="1">
      <alignment horizontal="left" vertical="center"/>
    </xf>
    <xf numFmtId="170" fontId="24" fillId="0" borderId="14" xfId="3" applyNumberFormat="1" applyFont="1" applyFill="1" applyBorder="1" applyAlignment="1" applyProtection="1">
      <alignment horizontal="center" vertical="center"/>
    </xf>
    <xf numFmtId="170" fontId="24" fillId="0" borderId="26" xfId="2" applyNumberFormat="1" applyFont="1" applyBorder="1" applyAlignment="1">
      <alignment horizontal="center" vertical="center"/>
    </xf>
    <xf numFmtId="0" fontId="59" fillId="0" borderId="0" xfId="0" applyFont="1" applyAlignment="1">
      <alignment horizontal="center" shrinkToFit="1"/>
    </xf>
    <xf numFmtId="0" fontId="60" fillId="0" borderId="0" xfId="0" applyFont="1" applyAlignment="1">
      <alignment horizontal="center" shrinkToFit="1"/>
    </xf>
    <xf numFmtId="0" fontId="2" fillId="0" borderId="29" xfId="0" applyFont="1" applyBorder="1" applyAlignment="1">
      <alignment vertical="center"/>
    </xf>
    <xf numFmtId="3" fontId="2" fillId="0" borderId="29" xfId="0" applyNumberFormat="1" applyFont="1" applyBorder="1" applyAlignment="1">
      <alignment vertical="center"/>
    </xf>
    <xf numFmtId="1" fontId="2" fillId="33" borderId="29" xfId="344" applyNumberFormat="1" applyFont="1" applyFill="1" applyBorder="1" applyAlignment="1">
      <alignment horizontal="right" vertical="center"/>
    </xf>
    <xf numFmtId="177" fontId="2" fillId="0" borderId="29" xfId="0" applyNumberFormat="1" applyFont="1" applyBorder="1" applyAlignment="1">
      <alignment vertical="center"/>
    </xf>
    <xf numFmtId="177" fontId="2" fillId="0" borderId="29" xfId="0" applyNumberFormat="1" applyFont="1" applyBorder="1"/>
    <xf numFmtId="9" fontId="2" fillId="0" borderId="29" xfId="344" applyFont="1" applyFill="1" applyBorder="1"/>
    <xf numFmtId="182" fontId="2" fillId="0" borderId="29" xfId="0" applyNumberFormat="1" applyFont="1" applyBorder="1"/>
    <xf numFmtId="0" fontId="2" fillId="0" borderId="29" xfId="0" applyFont="1" applyBorder="1"/>
    <xf numFmtId="0" fontId="16" fillId="0" borderId="0" xfId="2" applyFont="1" applyAlignment="1">
      <alignment horizontal="left" vertical="center" indent="1"/>
    </xf>
    <xf numFmtId="0" fontId="15" fillId="0" borderId="0" xfId="2" applyAlignment="1">
      <alignment horizontal="left" vertical="center" indent="1"/>
    </xf>
    <xf numFmtId="0" fontId="15" fillId="0" borderId="23" xfId="2" applyBorder="1" applyAlignment="1">
      <alignment horizontal="left" vertical="center" indent="1"/>
    </xf>
    <xf numFmtId="0" fontId="22" fillId="0" borderId="0" xfId="2" applyFont="1" applyAlignment="1">
      <alignment vertical="top"/>
    </xf>
    <xf numFmtId="0" fontId="15" fillId="0" borderId="21" xfId="2" applyBorder="1" applyAlignment="1">
      <alignment horizontal="left" vertical="center"/>
    </xf>
    <xf numFmtId="0" fontId="15" fillId="0" borderId="24" xfId="2" applyBorder="1" applyAlignment="1">
      <alignment horizontal="left" vertical="center"/>
    </xf>
    <xf numFmtId="164" fontId="15" fillId="0" borderId="0" xfId="347" applyFont="1" applyFill="1" applyAlignment="1">
      <alignment vertical="center"/>
    </xf>
    <xf numFmtId="0" fontId="0" fillId="18" borderId="29" xfId="0" applyFill="1" applyBorder="1"/>
    <xf numFmtId="0" fontId="0" fillId="18" borderId="0" xfId="0" applyFill="1"/>
    <xf numFmtId="0" fontId="51" fillId="0" borderId="0" xfId="0" applyFont="1" applyAlignment="1">
      <alignment horizontal="center" wrapText="1" shrinkToFit="1"/>
    </xf>
    <xf numFmtId="0" fontId="55" fillId="0" borderId="0" xfId="0" applyFont="1" applyAlignment="1">
      <alignment horizontal="center" wrapText="1" shrinkToFit="1"/>
    </xf>
    <xf numFmtId="170" fontId="9" fillId="0" borderId="9" xfId="41" applyNumberFormat="1" applyFont="1" applyBorder="1" applyAlignment="1" applyProtection="1">
      <alignment horizontal="center" vertical="center" shrinkToFit="1"/>
      <protection locked="0"/>
    </xf>
    <xf numFmtId="170" fontId="8" fillId="0" borderId="6" xfId="41" applyNumberFormat="1" applyFont="1" applyBorder="1" applyAlignment="1" applyProtection="1">
      <alignment vertical="center" shrinkToFit="1"/>
      <protection locked="0"/>
    </xf>
    <xf numFmtId="170" fontId="9" fillId="0" borderId="11" xfId="41" applyNumberFormat="1" applyFont="1" applyBorder="1" applyAlignment="1" applyProtection="1">
      <alignment horizontal="center" vertical="center" shrinkToFit="1"/>
      <protection locked="0"/>
    </xf>
    <xf numFmtId="170" fontId="9" fillId="0" borderId="11" xfId="42" applyNumberFormat="1" applyFont="1" applyBorder="1" applyAlignment="1" applyProtection="1">
      <alignment horizontal="center" vertical="center" shrinkToFit="1"/>
      <protection locked="0"/>
    </xf>
    <xf numFmtId="0" fontId="61" fillId="0" borderId="0" xfId="0" applyFont="1" applyAlignment="1">
      <alignment horizontal="center" shrinkToFit="1"/>
    </xf>
    <xf numFmtId="1" fontId="1" fillId="0" borderId="0" xfId="41" applyNumberFormat="1"/>
    <xf numFmtId="0" fontId="1" fillId="0" borderId="0" xfId="41" applyAlignment="1">
      <alignment vertical="center"/>
    </xf>
    <xf numFmtId="0" fontId="6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3" fillId="0" borderId="0" xfId="0" applyFont="1" applyAlignment="1">
      <alignment horizontal="center" vertical="center"/>
    </xf>
    <xf numFmtId="0" fontId="1" fillId="0" borderId="0" xfId="4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14" xfId="0" applyFont="1" applyBorder="1"/>
    <xf numFmtId="0" fontId="1" fillId="0" borderId="0" xfId="0" applyFont="1"/>
    <xf numFmtId="0" fontId="1" fillId="0" borderId="21" xfId="0" applyFont="1" applyBorder="1"/>
    <xf numFmtId="0" fontId="1" fillId="0" borderId="26" xfId="0" applyFont="1" applyBorder="1" applyAlignment="1">
      <alignment horizontal="center"/>
    </xf>
    <xf numFmtId="44" fontId="1" fillId="0" borderId="26" xfId="351" applyFont="1" applyBorder="1" applyAlignment="1">
      <alignment horizontal="center"/>
    </xf>
    <xf numFmtId="0" fontId="24" fillId="0" borderId="18" xfId="2" applyFont="1" applyBorder="1" applyAlignment="1">
      <alignment horizontal="center" vertical="center" wrapText="1"/>
    </xf>
    <xf numFmtId="0" fontId="24" fillId="0" borderId="19" xfId="2" applyFont="1" applyBorder="1" applyAlignment="1">
      <alignment horizontal="center" vertical="center" wrapText="1"/>
    </xf>
    <xf numFmtId="0" fontId="24" fillId="0" borderId="20" xfId="2" applyFont="1" applyBorder="1" applyAlignment="1">
      <alignment horizontal="center" vertical="center" wrapText="1"/>
    </xf>
    <xf numFmtId="0" fontId="24" fillId="0" borderId="25" xfId="2" applyFont="1" applyBorder="1" applyAlignment="1">
      <alignment horizontal="center" vertical="center"/>
    </xf>
    <xf numFmtId="0" fontId="24" fillId="0" borderId="25" xfId="2" applyFont="1" applyBorder="1" applyAlignment="1">
      <alignment horizontal="center" vertical="center" wrapText="1"/>
    </xf>
    <xf numFmtId="44" fontId="24" fillId="0" borderId="25" xfId="351" applyFont="1" applyBorder="1" applyAlignment="1">
      <alignment horizontal="center" vertical="center" wrapText="1"/>
    </xf>
    <xf numFmtId="0" fontId="24" fillId="0" borderId="14" xfId="2" applyFont="1" applyBorder="1" applyAlignment="1">
      <alignment horizontal="center" vertical="center" wrapText="1"/>
    </xf>
    <xf numFmtId="0" fontId="24" fillId="0" borderId="0" xfId="2" applyFont="1" applyAlignment="1">
      <alignment horizontal="center" vertical="center" wrapText="1"/>
    </xf>
    <xf numFmtId="0" fontId="24" fillId="0" borderId="21" xfId="2" applyFont="1" applyBorder="1" applyAlignment="1">
      <alignment horizontal="center" vertical="center" wrapText="1"/>
    </xf>
    <xf numFmtId="0" fontId="24" fillId="0" borderId="26" xfId="2" applyFont="1" applyBorder="1" applyAlignment="1">
      <alignment horizontal="center" vertical="center" wrapText="1"/>
    </xf>
    <xf numFmtId="44" fontId="24" fillId="0" borderId="26" xfId="351" applyFont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1" fontId="0" fillId="0" borderId="45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0" fontId="2" fillId="18" borderId="1" xfId="0" applyFont="1" applyFill="1" applyBorder="1" applyAlignment="1">
      <alignment vertical="top" shrinkToFit="1"/>
    </xf>
    <xf numFmtId="0" fontId="2" fillId="18" borderId="15" xfId="0" applyFont="1" applyFill="1" applyBorder="1" applyAlignment="1">
      <alignment vertical="top" shrinkToFit="1"/>
    </xf>
    <xf numFmtId="0" fontId="2" fillId="18" borderId="2" xfId="0" applyFont="1" applyFill="1" applyBorder="1" applyAlignment="1">
      <alignment vertical="top" shrinkToFit="1"/>
    </xf>
    <xf numFmtId="179" fontId="17" fillId="0" borderId="23" xfId="2" applyNumberFormat="1" applyFont="1" applyBorder="1" applyAlignment="1">
      <alignment horizontal="left" vertical="center"/>
    </xf>
    <xf numFmtId="179" fontId="17" fillId="0" borderId="24" xfId="2" applyNumberFormat="1" applyFont="1" applyBorder="1" applyAlignment="1">
      <alignment horizontal="left" vertical="center"/>
    </xf>
    <xf numFmtId="0" fontId="15" fillId="0" borderId="18" xfId="2" applyBorder="1" applyAlignment="1">
      <alignment vertical="top"/>
    </xf>
    <xf numFmtId="0" fontId="15" fillId="0" borderId="19" xfId="2" applyBorder="1" applyAlignment="1">
      <alignment vertical="top"/>
    </xf>
    <xf numFmtId="0" fontId="17" fillId="0" borderId="23" xfId="2" applyFont="1" applyBorder="1" applyAlignment="1">
      <alignment vertical="center"/>
    </xf>
    <xf numFmtId="44" fontId="17" fillId="0" borderId="23" xfId="351" applyFont="1" applyBorder="1" applyAlignment="1">
      <alignment vertical="center"/>
    </xf>
    <xf numFmtId="44" fontId="17" fillId="0" borderId="24" xfId="351" applyFont="1" applyBorder="1" applyAlignment="1">
      <alignment vertical="center"/>
    </xf>
    <xf numFmtId="0" fontId="17" fillId="0" borderId="22" xfId="2" applyFont="1" applyBorder="1" applyAlignment="1">
      <alignment horizontal="left" vertical="center"/>
    </xf>
    <xf numFmtId="0" fontId="17" fillId="0" borderId="23" xfId="2" applyFont="1" applyBorder="1" applyAlignment="1">
      <alignment horizontal="left" vertical="center"/>
    </xf>
    <xf numFmtId="44" fontId="17" fillId="0" borderId="23" xfId="351" applyFont="1" applyBorder="1" applyAlignment="1">
      <alignment horizontal="left" vertical="center"/>
    </xf>
    <xf numFmtId="44" fontId="17" fillId="0" borderId="24" xfId="351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179" fontId="17" fillId="0" borderId="23" xfId="2" applyNumberFormat="1" applyFont="1" applyBorder="1" applyAlignment="1">
      <alignment vertical="center"/>
    </xf>
    <xf numFmtId="179" fontId="17" fillId="0" borderId="24" xfId="2" applyNumberFormat="1" applyFont="1" applyBorder="1" applyAlignment="1">
      <alignment vertical="center"/>
    </xf>
    <xf numFmtId="1" fontId="2" fillId="0" borderId="0" xfId="0" applyNumberFormat="1" applyFont="1" applyAlignment="1">
      <alignment horizontal="left"/>
    </xf>
    <xf numFmtId="0" fontId="65" fillId="0" borderId="19" xfId="2" applyFont="1" applyBorder="1" applyAlignment="1">
      <alignment vertical="top"/>
    </xf>
    <xf numFmtId="0" fontId="16" fillId="0" borderId="20" xfId="2" applyFont="1" applyBorder="1" applyAlignment="1">
      <alignment vertical="center"/>
    </xf>
    <xf numFmtId="0" fontId="16" fillId="0" borderId="21" xfId="2" applyFont="1" applyBorder="1" applyAlignment="1">
      <alignment vertical="center"/>
    </xf>
    <xf numFmtId="0" fontId="16" fillId="0" borderId="18" xfId="2" applyFont="1" applyBorder="1" applyAlignment="1">
      <alignment horizontal="left" vertical="center" indent="3"/>
    </xf>
    <xf numFmtId="0" fontId="16" fillId="0" borderId="14" xfId="2" applyFont="1" applyBorder="1" applyAlignment="1">
      <alignment horizontal="left" vertical="center" indent="3"/>
    </xf>
    <xf numFmtId="0" fontId="15" fillId="0" borderId="14" xfId="2" applyBorder="1" applyAlignment="1">
      <alignment horizontal="left" vertical="center" indent="3"/>
    </xf>
    <xf numFmtId="0" fontId="15" fillId="0" borderId="22" xfId="2" applyBorder="1" applyAlignment="1">
      <alignment horizontal="left" vertical="center" indent="3"/>
    </xf>
    <xf numFmtId="0" fontId="15" fillId="0" borderId="18" xfId="2" applyBorder="1" applyAlignment="1">
      <alignment horizontal="left" vertical="center" indent="3"/>
    </xf>
    <xf numFmtId="186" fontId="2" fillId="0" borderId="29" xfId="0" applyNumberFormat="1" applyFont="1" applyBorder="1"/>
    <xf numFmtId="177" fontId="1" fillId="36" borderId="45" xfId="351" applyNumberFormat="1" applyFont="1" applyFill="1" applyBorder="1" applyAlignment="1" applyProtection="1">
      <alignment horizontal="center"/>
      <protection locked="0" hidden="1"/>
    </xf>
    <xf numFmtId="177" fontId="24" fillId="36" borderId="45" xfId="351" applyNumberFormat="1" applyFont="1" applyFill="1" applyBorder="1" applyAlignment="1" applyProtection="1">
      <alignment horizontal="center" vertical="center"/>
      <protection locked="0" hidden="1"/>
    </xf>
    <xf numFmtId="177" fontId="1" fillId="36" borderId="48" xfId="351" applyNumberFormat="1" applyFont="1" applyFill="1" applyBorder="1" applyAlignment="1" applyProtection="1">
      <alignment horizontal="center"/>
      <protection locked="0" hidden="1"/>
    </xf>
    <xf numFmtId="177" fontId="1" fillId="36" borderId="14" xfId="0" applyNumberFormat="1" applyFont="1" applyFill="1" applyBorder="1" applyAlignment="1" applyProtection="1">
      <alignment horizontal="center"/>
      <protection locked="0" hidden="1"/>
    </xf>
    <xf numFmtId="177" fontId="1" fillId="36" borderId="14" xfId="0" applyNumberFormat="1" applyFont="1" applyFill="1" applyBorder="1" applyProtection="1">
      <protection locked="0" hidden="1"/>
    </xf>
    <xf numFmtId="177" fontId="1" fillId="36" borderId="45" xfId="0" applyNumberFormat="1" applyFont="1" applyFill="1" applyBorder="1" applyProtection="1">
      <protection locked="0" hidden="1"/>
    </xf>
    <xf numFmtId="177" fontId="1" fillId="36" borderId="48" xfId="0" applyNumberFormat="1" applyFont="1" applyFill="1" applyBorder="1" applyProtection="1">
      <protection locked="0" hidden="1"/>
    </xf>
    <xf numFmtId="177" fontId="1" fillId="35" borderId="35" xfId="351" applyNumberFormat="1" applyFont="1" applyFill="1" applyBorder="1" applyAlignment="1" applyProtection="1">
      <alignment horizontal="center"/>
      <protection locked="0" hidden="1"/>
    </xf>
    <xf numFmtId="177" fontId="1" fillId="35" borderId="21" xfId="351" applyNumberFormat="1" applyFont="1" applyFill="1" applyBorder="1" applyAlignment="1" applyProtection="1">
      <alignment horizontal="right"/>
      <protection locked="0" hidden="1"/>
    </xf>
    <xf numFmtId="177" fontId="0" fillId="35" borderId="35" xfId="351" applyNumberFormat="1" applyFont="1" applyFill="1" applyBorder="1" applyAlignment="1" applyProtection="1">
      <alignment horizontal="center"/>
      <protection locked="0" hidden="1"/>
    </xf>
    <xf numFmtId="177" fontId="24" fillId="35" borderId="35" xfId="351" applyNumberFormat="1" applyFont="1" applyFill="1" applyBorder="1" applyAlignment="1" applyProtection="1">
      <alignment horizontal="center" vertical="center"/>
      <protection locked="0" hidden="1"/>
    </xf>
    <xf numFmtId="177" fontId="24" fillId="35" borderId="21" xfId="351" applyNumberFormat="1" applyFont="1" applyFill="1" applyBorder="1" applyAlignment="1" applyProtection="1">
      <alignment horizontal="right" vertical="center"/>
      <protection locked="0" hidden="1"/>
    </xf>
    <xf numFmtId="177" fontId="1" fillId="35" borderId="44" xfId="351" applyNumberFormat="1" applyFont="1" applyFill="1" applyBorder="1" applyAlignment="1" applyProtection="1">
      <alignment horizontal="right"/>
      <protection locked="0" hidden="1"/>
    </xf>
    <xf numFmtId="177" fontId="1" fillId="35" borderId="38" xfId="351" applyNumberFormat="1" applyFont="1" applyFill="1" applyBorder="1" applyAlignment="1" applyProtection="1">
      <alignment horizontal="center"/>
      <protection locked="0" hidden="1"/>
    </xf>
    <xf numFmtId="177" fontId="1" fillId="35" borderId="46" xfId="351" applyNumberFormat="1" applyFont="1" applyFill="1" applyBorder="1" applyAlignment="1" applyProtection="1">
      <alignment horizontal="right"/>
      <protection locked="0" hidden="1"/>
    </xf>
    <xf numFmtId="177" fontId="0" fillId="35" borderId="0" xfId="0" applyNumberFormat="1" applyFill="1" applyAlignment="1">
      <alignment horizontal="right"/>
    </xf>
    <xf numFmtId="0" fontId="16" fillId="0" borderId="0" xfId="2" applyFont="1" applyAlignment="1">
      <alignment horizontal="right" vertical="center" wrapText="1"/>
    </xf>
    <xf numFmtId="0" fontId="69" fillId="0" borderId="0" xfId="0" applyFont="1" applyAlignment="1">
      <alignment horizontal="center" shrinkToFit="1"/>
    </xf>
    <xf numFmtId="49" fontId="15" fillId="0" borderId="0" xfId="2" applyNumberFormat="1" applyAlignment="1">
      <alignment horizontal="center" vertical="center"/>
    </xf>
    <xf numFmtId="3" fontId="1" fillId="35" borderId="58" xfId="0" applyNumberFormat="1" applyFont="1" applyFill="1" applyBorder="1" applyAlignment="1" applyProtection="1">
      <alignment horizontal="center" vertical="center" shrinkToFit="1"/>
      <protection locked="0" hidden="1"/>
    </xf>
    <xf numFmtId="3" fontId="1" fillId="35" borderId="45" xfId="0" applyNumberFormat="1" applyFont="1" applyFill="1" applyBorder="1" applyAlignment="1" applyProtection="1">
      <alignment horizontal="center" vertical="center" shrinkToFit="1"/>
      <protection locked="0" hidden="1"/>
    </xf>
    <xf numFmtId="3" fontId="1" fillId="35" borderId="48" xfId="0" applyNumberFormat="1" applyFont="1" applyFill="1" applyBorder="1" applyAlignment="1" applyProtection="1">
      <alignment horizontal="right"/>
      <protection locked="0" hidden="1"/>
    </xf>
    <xf numFmtId="171" fontId="2" fillId="0" borderId="0" xfId="0" applyNumberFormat="1" applyFont="1" applyAlignment="1">
      <alignment horizontal="center" vertical="center" wrapText="1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/>
    </xf>
    <xf numFmtId="0" fontId="2" fillId="0" borderId="0" xfId="41" applyFont="1" applyAlignment="1">
      <alignment horizontal="center" vertical="center" wrapText="1"/>
    </xf>
    <xf numFmtId="0" fontId="0" fillId="0" borderId="0" xfId="0" applyAlignment="1">
      <alignment wrapText="1"/>
    </xf>
    <xf numFmtId="49" fontId="16" fillId="0" borderId="0" xfId="2" applyNumberFormat="1" applyFont="1" applyAlignment="1">
      <alignment horizontal="center" vertical="top" wrapText="1"/>
    </xf>
    <xf numFmtId="3" fontId="2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1" fontId="1" fillId="35" borderId="32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0" xfId="0" applyNumberFormat="1" applyFont="1" applyFill="1" applyAlignment="1" applyProtection="1">
      <alignment horizontal="center" vertical="center"/>
      <protection locked="0" hidden="1"/>
    </xf>
    <xf numFmtId="1" fontId="1" fillId="35" borderId="37" xfId="0" applyNumberFormat="1" applyFont="1" applyFill="1" applyBorder="1" applyAlignment="1" applyProtection="1">
      <alignment horizontal="right"/>
      <protection locked="0" hidden="1"/>
    </xf>
    <xf numFmtId="49" fontId="1" fillId="0" borderId="26" xfId="0" applyNumberFormat="1" applyFont="1" applyBorder="1" applyAlignment="1">
      <alignment horizontal="center"/>
    </xf>
    <xf numFmtId="0" fontId="16" fillId="0" borderId="0" xfId="2" applyFont="1" applyAlignment="1">
      <alignment horizontal="left" vertical="center"/>
    </xf>
    <xf numFmtId="0" fontId="16" fillId="0" borderId="23" xfId="2" applyFont="1" applyBorder="1" applyAlignment="1">
      <alignment horizontal="left" vertical="center"/>
    </xf>
    <xf numFmtId="3" fontId="2" fillId="0" borderId="0" xfId="0" applyNumberFormat="1" applyFont="1" applyAlignment="1">
      <alignment horizontal="left"/>
    </xf>
    <xf numFmtId="1" fontId="70" fillId="0" borderId="25" xfId="2" applyNumberFormat="1" applyFont="1" applyBorder="1" applyAlignment="1">
      <alignment horizontal="center" vertical="center" wrapText="1"/>
    </xf>
    <xf numFmtId="1" fontId="71" fillId="0" borderId="26" xfId="0" applyNumberFormat="1" applyFont="1" applyBorder="1" applyAlignment="1">
      <alignment horizontal="center"/>
    </xf>
    <xf numFmtId="1" fontId="70" fillId="0" borderId="26" xfId="2" applyNumberFormat="1" applyFont="1" applyBorder="1" applyAlignment="1">
      <alignment horizontal="center" vertical="center" wrapText="1"/>
    </xf>
    <xf numFmtId="1" fontId="37" fillId="0" borderId="26" xfId="2" applyNumberFormat="1" applyFont="1" applyBorder="1" applyAlignment="1">
      <alignment horizontal="center" vertical="center" shrinkToFit="1"/>
    </xf>
    <xf numFmtId="1" fontId="24" fillId="0" borderId="26" xfId="5" applyNumberFormat="1" applyFont="1" applyFill="1" applyBorder="1" applyAlignment="1" applyProtection="1">
      <alignment horizontal="center" vertical="center" shrinkToFit="1"/>
    </xf>
    <xf numFmtId="169" fontId="48" fillId="0" borderId="0" xfId="0" applyNumberFormat="1" applyFont="1" applyAlignment="1">
      <alignment horizontal="center" shrinkToFit="1"/>
    </xf>
    <xf numFmtId="0" fontId="17" fillId="0" borderId="23" xfId="2" applyFont="1" applyBorder="1" applyAlignment="1">
      <alignment horizontal="right" vertical="center"/>
    </xf>
    <xf numFmtId="0" fontId="66" fillId="0" borderId="23" xfId="2" applyFont="1" applyBorder="1" applyAlignment="1">
      <alignment horizontal="left" vertical="center"/>
    </xf>
    <xf numFmtId="0" fontId="22" fillId="0" borderId="26" xfId="2" applyFont="1" applyBorder="1" applyAlignment="1">
      <alignment horizontal="left" vertical="top"/>
    </xf>
    <xf numFmtId="187" fontId="24" fillId="0" borderId="25" xfId="351" applyNumberFormat="1" applyFont="1" applyBorder="1" applyAlignment="1">
      <alignment horizontal="center" vertical="center" wrapText="1"/>
    </xf>
    <xf numFmtId="187" fontId="1" fillId="0" borderId="26" xfId="351" applyNumberFormat="1" applyFont="1" applyBorder="1" applyAlignment="1">
      <alignment horizontal="center"/>
    </xf>
    <xf numFmtId="49" fontId="24" fillId="0" borderId="25" xfId="2" applyNumberFormat="1" applyFont="1" applyBorder="1" applyAlignment="1">
      <alignment horizontal="center" vertical="center" wrapText="1"/>
    </xf>
    <xf numFmtId="49" fontId="24" fillId="0" borderId="26" xfId="2" applyNumberFormat="1" applyFont="1" applyBorder="1" applyAlignment="1">
      <alignment horizontal="center" vertical="center" wrapText="1"/>
    </xf>
    <xf numFmtId="14" fontId="0" fillId="0" borderId="34" xfId="0" applyNumberFormat="1" applyBorder="1"/>
    <xf numFmtId="14" fontId="0" fillId="0" borderId="34" xfId="0" applyNumberFormat="1" applyBorder="1" applyAlignment="1">
      <alignment horizontal="center"/>
    </xf>
    <xf numFmtId="0" fontId="0" fillId="0" borderId="0" xfId="0" applyAlignment="1">
      <alignment horizontal="center" wrapText="1"/>
    </xf>
    <xf numFmtId="0" fontId="72" fillId="0" borderId="0" xfId="0" applyFont="1" applyAlignment="1">
      <alignment horizontal="center" shrinkToFit="1"/>
    </xf>
    <xf numFmtId="0" fontId="50" fillId="18" borderId="0" xfId="0" applyFont="1" applyFill="1" applyAlignment="1">
      <alignment horizontal="center" vertical="center"/>
    </xf>
    <xf numFmtId="0" fontId="2" fillId="18" borderId="0" xfId="0" applyFont="1" applyFill="1" applyAlignment="1">
      <alignment vertical="top"/>
    </xf>
    <xf numFmtId="0" fontId="2" fillId="18" borderId="0" xfId="0" applyFont="1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8" borderId="0" xfId="0" applyFont="1" applyFill="1"/>
    <xf numFmtId="0" fontId="24" fillId="18" borderId="29" xfId="0" applyFont="1" applyFill="1" applyBorder="1" applyAlignment="1" applyProtection="1">
      <alignment horizontal="center" vertical="center" shrinkToFit="1"/>
      <protection locked="0"/>
    </xf>
    <xf numFmtId="0" fontId="0" fillId="18" borderId="32" xfId="0" applyFill="1" applyBorder="1" applyAlignment="1">
      <alignment horizontal="left"/>
    </xf>
    <xf numFmtId="0" fontId="0" fillId="18" borderId="32" xfId="0" applyFill="1" applyBorder="1"/>
    <xf numFmtId="0" fontId="0" fillId="18" borderId="33" xfId="0" applyFill="1" applyBorder="1"/>
    <xf numFmtId="0" fontId="0" fillId="18" borderId="35" xfId="0" applyFill="1" applyBorder="1"/>
    <xf numFmtId="0" fontId="0" fillId="18" borderId="29" xfId="0" applyFill="1" applyBorder="1" applyAlignment="1" applyProtection="1">
      <alignment horizontal="center" vertical="center"/>
      <protection locked="0"/>
    </xf>
    <xf numFmtId="0" fontId="0" fillId="18" borderId="0" xfId="0" applyFill="1" applyAlignment="1">
      <alignment horizontal="left"/>
    </xf>
    <xf numFmtId="0" fontId="0" fillId="18" borderId="1" xfId="0" applyFill="1" applyBorder="1"/>
    <xf numFmtId="14" fontId="2" fillId="18" borderId="29" xfId="0" applyNumberFormat="1" applyFont="1" applyFill="1" applyBorder="1" applyAlignment="1">
      <alignment horizontal="center" vertical="center"/>
    </xf>
    <xf numFmtId="14" fontId="0" fillId="18" borderId="29" xfId="0" applyNumberFormat="1" applyFill="1" applyBorder="1" applyAlignment="1">
      <alignment horizontal="left" vertical="center"/>
    </xf>
    <xf numFmtId="0" fontId="40" fillId="18" borderId="34" xfId="0" applyFont="1" applyFill="1" applyBorder="1" applyAlignment="1">
      <alignment horizontal="right"/>
    </xf>
    <xf numFmtId="0" fontId="0" fillId="18" borderId="37" xfId="0" applyFill="1" applyBorder="1"/>
    <xf numFmtId="0" fontId="0" fillId="18" borderId="38" xfId="0" applyFill="1" applyBorder="1"/>
    <xf numFmtId="0" fontId="0" fillId="18" borderId="0" xfId="0" applyFill="1" applyAlignment="1">
      <alignment horizontal="center"/>
    </xf>
    <xf numFmtId="0" fontId="39" fillId="18" borderId="0" xfId="0" applyFont="1" applyFill="1"/>
    <xf numFmtId="0" fontId="44" fillId="18" borderId="0" xfId="0" applyFont="1" applyFill="1"/>
    <xf numFmtId="0" fontId="43" fillId="18" borderId="0" xfId="0" applyFont="1" applyFill="1" applyAlignment="1">
      <alignment horizontal="right"/>
    </xf>
    <xf numFmtId="0" fontId="2" fillId="18" borderId="10" xfId="0" applyFont="1" applyFill="1" applyBorder="1" applyAlignment="1">
      <alignment horizontal="right"/>
    </xf>
    <xf numFmtId="0" fontId="44" fillId="18" borderId="0" xfId="0" applyFont="1" applyFill="1" applyAlignment="1">
      <alignment horizontal="center"/>
    </xf>
    <xf numFmtId="0" fontId="2" fillId="18" borderId="0" xfId="0" applyFont="1" applyFill="1" applyAlignment="1">
      <alignment horizontal="left"/>
    </xf>
    <xf numFmtId="14" fontId="24" fillId="18" borderId="0" xfId="0" applyNumberFormat="1" applyFont="1" applyFill="1" applyAlignment="1">
      <alignment horizontal="center" vertical="center"/>
    </xf>
    <xf numFmtId="0" fontId="24" fillId="18" borderId="0" xfId="0" applyFont="1" applyFill="1" applyAlignment="1">
      <alignment horizontal="center" vertical="center"/>
    </xf>
    <xf numFmtId="0" fontId="24" fillId="18" borderId="0" xfId="0" applyFont="1" applyFill="1" applyAlignment="1">
      <alignment horizontal="center"/>
    </xf>
    <xf numFmtId="1" fontId="0" fillId="18" borderId="0" xfId="0" applyNumberFormat="1" applyFill="1"/>
    <xf numFmtId="2" fontId="0" fillId="18" borderId="0" xfId="0" applyNumberFormat="1" applyFill="1" applyAlignment="1">
      <alignment horizontal="center" vertical="center"/>
    </xf>
    <xf numFmtId="1" fontId="0" fillId="18" borderId="0" xfId="0" applyNumberFormat="1" applyFill="1" applyAlignment="1">
      <alignment horizontal="center" vertical="center"/>
    </xf>
    <xf numFmtId="0" fontId="2" fillId="18" borderId="0" xfId="0" applyFon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/>
      <protection locked="0"/>
    </xf>
    <xf numFmtId="14" fontId="0" fillId="18" borderId="0" xfId="0" applyNumberFormat="1" applyFill="1"/>
    <xf numFmtId="14" fontId="2" fillId="18" borderId="0" xfId="0" applyNumberFormat="1" applyFont="1" applyFill="1" applyAlignment="1">
      <alignment horizontal="right"/>
    </xf>
    <xf numFmtId="0" fontId="24" fillId="18" borderId="0" xfId="0" applyFont="1" applyFill="1"/>
    <xf numFmtId="0" fontId="2" fillId="18" borderId="0" xfId="0" applyFont="1" applyFill="1" applyAlignment="1">
      <alignment horizontal="right"/>
    </xf>
    <xf numFmtId="0" fontId="24" fillId="18" borderId="0" xfId="0" applyFont="1" applyFill="1" applyAlignment="1">
      <alignment vertical="center" wrapText="1"/>
    </xf>
    <xf numFmtId="14" fontId="24" fillId="18" borderId="50" xfId="0" applyNumberFormat="1" applyFont="1" applyFill="1" applyBorder="1" applyAlignment="1">
      <alignment horizontal="center" vertical="center"/>
    </xf>
    <xf numFmtId="0" fontId="24" fillId="18" borderId="50" xfId="0" applyFont="1" applyFill="1" applyBorder="1" applyAlignment="1">
      <alignment horizontal="center" vertical="center"/>
    </xf>
    <xf numFmtId="0" fontId="24" fillId="18" borderId="50" xfId="0" applyFont="1" applyFill="1" applyBorder="1" applyAlignment="1">
      <alignment horizontal="center"/>
    </xf>
    <xf numFmtId="14" fontId="24" fillId="18" borderId="51" xfId="0" applyNumberFormat="1" applyFont="1" applyFill="1" applyBorder="1" applyAlignment="1">
      <alignment horizontal="center" vertical="center"/>
    </xf>
    <xf numFmtId="0" fontId="24" fillId="18" borderId="51" xfId="0" applyFont="1" applyFill="1" applyBorder="1" applyAlignment="1">
      <alignment horizontal="center" vertical="center"/>
    </xf>
    <xf numFmtId="0" fontId="24" fillId="18" borderId="51" xfId="0" applyFont="1" applyFill="1" applyBorder="1" applyAlignment="1">
      <alignment horizontal="center"/>
    </xf>
    <xf numFmtId="0" fontId="0" fillId="18" borderId="29" xfId="0" applyFill="1" applyBorder="1" applyAlignment="1">
      <alignment horizontal="center"/>
    </xf>
    <xf numFmtId="0" fontId="0" fillId="18" borderId="31" xfId="0" applyFill="1" applyBorder="1" applyAlignment="1">
      <alignment horizontal="right"/>
    </xf>
    <xf numFmtId="14" fontId="0" fillId="18" borderId="32" xfId="0" applyNumberFormat="1" applyFill="1" applyBorder="1"/>
    <xf numFmtId="0" fontId="0" fillId="18" borderId="31" xfId="0" applyFill="1" applyBorder="1"/>
    <xf numFmtId="0" fontId="0" fillId="18" borderId="34" xfId="0" applyFill="1" applyBorder="1"/>
    <xf numFmtId="0" fontId="0" fillId="18" borderId="32" xfId="0" applyFill="1" applyBorder="1" applyAlignment="1">
      <alignment horizontal="center"/>
    </xf>
    <xf numFmtId="0" fontId="0" fillId="18" borderId="34" xfId="0" applyFill="1" applyBorder="1" applyAlignment="1">
      <alignment horizontal="right"/>
    </xf>
    <xf numFmtId="1" fontId="0" fillId="18" borderId="29" xfId="347" applyNumberFormat="1" applyFont="1" applyFill="1" applyBorder="1" applyAlignment="1" applyProtection="1">
      <alignment horizontal="center" vertical="center"/>
      <protection hidden="1"/>
    </xf>
    <xf numFmtId="14" fontId="0" fillId="18" borderId="0" xfId="0" applyNumberFormat="1" applyFill="1" applyAlignment="1">
      <alignment horizontal="right"/>
    </xf>
    <xf numFmtId="0" fontId="2" fillId="18" borderId="29" xfId="0" applyFont="1" applyFill="1" applyBorder="1" applyAlignment="1" applyProtection="1">
      <alignment horizontal="center"/>
      <protection locked="0"/>
    </xf>
    <xf numFmtId="0" fontId="0" fillId="18" borderId="0" xfId="0" applyFill="1" applyAlignment="1">
      <alignment vertical="top"/>
    </xf>
    <xf numFmtId="14" fontId="24" fillId="18" borderId="61" xfId="0" applyNumberFormat="1" applyFont="1" applyFill="1" applyBorder="1" applyAlignment="1">
      <alignment horizontal="center" vertical="center"/>
    </xf>
    <xf numFmtId="0" fontId="24" fillId="18" borderId="49" xfId="0" applyFont="1" applyFill="1" applyBorder="1" applyAlignment="1">
      <alignment horizontal="center" vertical="center"/>
    </xf>
    <xf numFmtId="1" fontId="0" fillId="18" borderId="29" xfId="0" applyNumberFormat="1" applyFill="1" applyBorder="1" applyAlignment="1">
      <alignment horizontal="center"/>
    </xf>
    <xf numFmtId="14" fontId="0" fillId="18" borderId="29" xfId="0" applyNumberFormat="1" applyFill="1" applyBorder="1" applyAlignment="1" applyProtection="1">
      <alignment horizontal="center"/>
      <protection locked="0"/>
    </xf>
    <xf numFmtId="14" fontId="2" fillId="18" borderId="29" xfId="0" applyNumberFormat="1" applyFont="1" applyFill="1" applyBorder="1" applyAlignment="1" applyProtection="1">
      <alignment horizontal="center"/>
      <protection locked="0"/>
    </xf>
    <xf numFmtId="177" fontId="0" fillId="18" borderId="29" xfId="0" applyNumberFormat="1" applyFill="1" applyBorder="1" applyAlignment="1">
      <alignment horizontal="left"/>
    </xf>
    <xf numFmtId="177" fontId="0" fillId="18" borderId="29" xfId="0" applyNumberFormat="1" applyFill="1" applyBorder="1" applyAlignment="1" applyProtection="1">
      <alignment horizontal="center" vertical="center"/>
      <protection locked="0"/>
    </xf>
    <xf numFmtId="0" fontId="2" fillId="18" borderId="29" xfId="0" applyFont="1" applyFill="1" applyBorder="1" applyAlignment="1">
      <alignment horizontal="center" vertical="center"/>
    </xf>
    <xf numFmtId="14" fontId="24" fillId="18" borderId="62" xfId="0" applyNumberFormat="1" applyFont="1" applyFill="1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18" borderId="29" xfId="0" applyFill="1" applyBorder="1" applyAlignment="1">
      <alignment horizontal="center" vertical="center"/>
    </xf>
    <xf numFmtId="183" fontId="0" fillId="18" borderId="29" xfId="0" applyNumberFormat="1" applyFill="1" applyBorder="1" applyAlignment="1" applyProtection="1">
      <alignment horizontal="center"/>
      <protection locked="0"/>
    </xf>
    <xf numFmtId="14" fontId="24" fillId="18" borderId="29" xfId="0" applyNumberFormat="1" applyFont="1" applyFill="1" applyBorder="1" applyProtection="1">
      <protection locked="0"/>
    </xf>
    <xf numFmtId="0" fontId="0" fillId="18" borderId="36" xfId="0" applyFill="1" applyBorder="1" applyAlignment="1">
      <alignment horizontal="right"/>
    </xf>
    <xf numFmtId="14" fontId="0" fillId="18" borderId="37" xfId="0" applyNumberFormat="1" applyFill="1" applyBorder="1"/>
    <xf numFmtId="0" fontId="0" fillId="18" borderId="36" xfId="0" applyFill="1" applyBorder="1"/>
    <xf numFmtId="0" fontId="0" fillId="18" borderId="37" xfId="0" applyFill="1" applyBorder="1" applyAlignment="1">
      <alignment horizontal="center"/>
    </xf>
    <xf numFmtId="0" fontId="0" fillId="18" borderId="29" xfId="0" applyFill="1" applyBorder="1" applyAlignment="1" applyProtection="1">
      <alignment horizontal="center" vertical="center"/>
      <protection hidden="1"/>
    </xf>
    <xf numFmtId="177" fontId="0" fillId="18" borderId="29" xfId="0" applyNumberFormat="1" applyFill="1" applyBorder="1" applyAlignment="1">
      <alignment horizontal="right"/>
    </xf>
    <xf numFmtId="14" fontId="0" fillId="18" borderId="0" xfId="0" applyNumberFormat="1" applyFill="1" applyAlignment="1">
      <alignment horizontal="right" vertical="center"/>
    </xf>
    <xf numFmtId="14" fontId="0" fillId="18" borderId="29" xfId="0" applyNumberFormat="1" applyFill="1" applyBorder="1" applyAlignment="1" applyProtection="1">
      <alignment horizontal="center" vertical="center" shrinkToFit="1"/>
      <protection locked="0"/>
    </xf>
    <xf numFmtId="0" fontId="0" fillId="18" borderId="0" xfId="0" applyFill="1" applyAlignment="1">
      <alignment horizontal="left" vertical="center"/>
    </xf>
    <xf numFmtId="0" fontId="2" fillId="18" borderId="40" xfId="0" applyFont="1" applyFill="1" applyBorder="1"/>
    <xf numFmtId="0" fontId="0" fillId="18" borderId="40" xfId="0" applyFill="1" applyBorder="1"/>
    <xf numFmtId="0" fontId="2" fillId="18" borderId="34" xfId="0" applyFont="1" applyFill="1" applyBorder="1" applyAlignment="1">
      <alignment horizontal="right"/>
    </xf>
    <xf numFmtId="0" fontId="0" fillId="18" borderId="35" xfId="0" applyFill="1" applyBorder="1" applyAlignment="1">
      <alignment vertical="top"/>
    </xf>
    <xf numFmtId="0" fontId="0" fillId="18" borderId="37" xfId="0" applyFill="1" applyBorder="1" applyAlignment="1">
      <alignment horizontal="left"/>
    </xf>
    <xf numFmtId="0" fontId="37" fillId="18" borderId="2" xfId="0" applyFont="1" applyFill="1" applyBorder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/>
    </xf>
    <xf numFmtId="0" fontId="24" fillId="18" borderId="4" xfId="0" applyFont="1" applyFill="1" applyBorder="1" applyAlignment="1" applyProtection="1">
      <alignment horizontal="center" vertical="center"/>
      <protection locked="0" hidden="1"/>
    </xf>
    <xf numFmtId="0" fontId="37" fillId="18" borderId="29" xfId="0" applyFont="1" applyFill="1" applyBorder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 shrinkToFit="1"/>
    </xf>
    <xf numFmtId="0" fontId="24" fillId="18" borderId="29" xfId="0" applyFont="1" applyFill="1" applyBorder="1" applyAlignment="1" applyProtection="1">
      <alignment horizontal="center" vertical="center" shrinkToFit="1"/>
      <protection locked="0" hidden="1"/>
    </xf>
    <xf numFmtId="0" fontId="24" fillId="18" borderId="0" xfId="0" applyFont="1" applyFill="1" applyAlignment="1">
      <alignment horizontal="right"/>
    </xf>
    <xf numFmtId="0" fontId="24" fillId="18" borderId="29" xfId="0" applyFont="1" applyFill="1" applyBorder="1" applyAlignment="1" applyProtection="1">
      <alignment horizontal="center" vertical="center"/>
      <protection locked="0"/>
    </xf>
    <xf numFmtId="178" fontId="24" fillId="18" borderId="29" xfId="0" applyNumberFormat="1" applyFont="1" applyFill="1" applyBorder="1" applyAlignment="1">
      <alignment horizontal="right"/>
    </xf>
    <xf numFmtId="178" fontId="24" fillId="18" borderId="9" xfId="0" applyNumberFormat="1" applyFont="1" applyFill="1" applyBorder="1" applyAlignment="1">
      <alignment horizontal="right"/>
    </xf>
    <xf numFmtId="0" fontId="37" fillId="18" borderId="0" xfId="0" applyFont="1" applyFill="1" applyAlignment="1">
      <alignment vertical="center"/>
    </xf>
    <xf numFmtId="0" fontId="0" fillId="18" borderId="0" xfId="0" applyFill="1" applyAlignment="1">
      <alignment horizontal="right"/>
    </xf>
    <xf numFmtId="182" fontId="24" fillId="18" borderId="29" xfId="0" applyNumberFormat="1" applyFont="1" applyFill="1" applyBorder="1" applyAlignment="1">
      <alignment horizontal="right"/>
    </xf>
    <xf numFmtId="178" fontId="24" fillId="18" borderId="1" xfId="0" applyNumberFormat="1" applyFont="1" applyFill="1" applyBorder="1" applyAlignment="1">
      <alignment horizontal="right"/>
    </xf>
    <xf numFmtId="178" fontId="24" fillId="18" borderId="11" xfId="0" applyNumberFormat="1" applyFont="1" applyFill="1" applyBorder="1" applyAlignment="1">
      <alignment horizontal="right"/>
    </xf>
    <xf numFmtId="0" fontId="37" fillId="18" borderId="0" xfId="0" applyFont="1" applyFill="1" applyAlignment="1">
      <alignment horizontal="left" vertical="center"/>
    </xf>
    <xf numFmtId="0" fontId="37" fillId="18" borderId="29" xfId="0" applyFont="1" applyFill="1" applyBorder="1" applyProtection="1">
      <protection locked="0" hidden="1"/>
    </xf>
    <xf numFmtId="14" fontId="24" fillId="18" borderId="29" xfId="0" applyNumberFormat="1" applyFont="1" applyFill="1" applyBorder="1" applyAlignment="1" applyProtection="1">
      <alignment horizontal="center"/>
      <protection locked="0"/>
    </xf>
    <xf numFmtId="0" fontId="0" fillId="18" borderId="40" xfId="0" applyFill="1" applyBorder="1" applyAlignment="1">
      <alignment horizontal="right"/>
    </xf>
    <xf numFmtId="184" fontId="0" fillId="18" borderId="2" xfId="0" applyNumberFormat="1" applyFill="1" applyBorder="1" applyAlignment="1" applyProtection="1">
      <alignment horizontal="right"/>
      <protection locked="0" hidden="1"/>
    </xf>
    <xf numFmtId="0" fontId="24" fillId="18" borderId="29" xfId="0" applyFont="1" applyFill="1" applyBorder="1" applyProtection="1">
      <protection locked="0" hidden="1"/>
    </xf>
    <xf numFmtId="0" fontId="43" fillId="18" borderId="0" xfId="0" applyFont="1" applyFill="1"/>
    <xf numFmtId="0" fontId="24" fillId="18" borderId="0" xfId="0" applyFont="1" applyFill="1" applyAlignment="1">
      <alignment vertical="center"/>
    </xf>
    <xf numFmtId="0" fontId="24" fillId="18" borderId="49" xfId="0" applyFont="1" applyFill="1" applyBorder="1" applyAlignment="1">
      <alignment horizontal="center"/>
    </xf>
    <xf numFmtId="0" fontId="0" fillId="18" borderId="15" xfId="0" applyFill="1" applyBorder="1" applyAlignment="1">
      <alignment horizontal="center" vertical="center"/>
    </xf>
    <xf numFmtId="0" fontId="0" fillId="18" borderId="15" xfId="0" applyFill="1" applyBorder="1"/>
    <xf numFmtId="0" fontId="0" fillId="18" borderId="2" xfId="0" applyFill="1" applyBorder="1"/>
    <xf numFmtId="0" fontId="15" fillId="18" borderId="0" xfId="2" applyFill="1" applyAlignment="1">
      <alignment vertical="center"/>
    </xf>
    <xf numFmtId="0" fontId="0" fillId="18" borderId="0" xfId="0" applyFill="1" applyAlignment="1" applyProtection="1">
      <alignment horizontal="center" vertical="center"/>
      <protection locked="0"/>
    </xf>
    <xf numFmtId="178" fontId="0" fillId="18" borderId="0" xfId="0" applyNumberFormat="1" applyFill="1" applyAlignment="1" applyProtection="1">
      <alignment horizontal="center" vertical="center"/>
      <protection locked="0"/>
    </xf>
    <xf numFmtId="169" fontId="0" fillId="18" borderId="0" xfId="0" applyNumberForma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178" fontId="0" fillId="18" borderId="0" xfId="0" applyNumberFormat="1" applyFill="1" applyAlignment="1" applyProtection="1">
      <alignment horizontal="left" vertical="center"/>
      <protection locked="0"/>
    </xf>
    <xf numFmtId="2" fontId="2" fillId="18" borderId="0" xfId="0" applyNumberFormat="1" applyFont="1" applyFill="1" applyAlignment="1" applyProtection="1">
      <alignment horizontal="center" vertical="center"/>
      <protection locked="0"/>
    </xf>
    <xf numFmtId="14" fontId="0" fillId="18" borderId="29" xfId="0" applyNumberFormat="1" applyFill="1" applyBorder="1" applyAlignment="1">
      <alignment horizontal="center"/>
    </xf>
    <xf numFmtId="0" fontId="0" fillId="0" borderId="64" xfId="0" applyBorder="1" applyAlignment="1" applyProtection="1">
      <alignment horizontal="left"/>
      <protection locked="0" hidden="1"/>
    </xf>
    <xf numFmtId="1" fontId="0" fillId="0" borderId="65" xfId="0" applyNumberFormat="1" applyBorder="1" applyAlignment="1" applyProtection="1">
      <alignment horizontal="center"/>
      <protection locked="0" hidden="1"/>
    </xf>
    <xf numFmtId="0" fontId="0" fillId="0" borderId="65" xfId="0" applyBorder="1" applyAlignment="1" applyProtection="1">
      <alignment horizontal="center"/>
      <protection locked="0" hidden="1"/>
    </xf>
    <xf numFmtId="14" fontId="0" fillId="0" borderId="65" xfId="0" applyNumberFormat="1" applyBorder="1" applyAlignment="1" applyProtection="1">
      <alignment horizontal="center"/>
      <protection locked="0" hidden="1"/>
    </xf>
    <xf numFmtId="1" fontId="24" fillId="0" borderId="65" xfId="0" applyNumberFormat="1" applyFont="1" applyBorder="1" applyAlignment="1" applyProtection="1">
      <alignment horizontal="center"/>
      <protection locked="0" hidden="1"/>
    </xf>
    <xf numFmtId="14" fontId="24" fillId="0" borderId="65" xfId="0" applyNumberFormat="1" applyFont="1" applyBorder="1" applyAlignment="1" applyProtection="1">
      <alignment horizontal="center"/>
      <protection locked="0" hidden="1"/>
    </xf>
    <xf numFmtId="44" fontId="0" fillId="0" borderId="65" xfId="0" applyNumberFormat="1" applyBorder="1" applyAlignment="1" applyProtection="1">
      <alignment horizontal="center"/>
      <protection locked="0" hidden="1"/>
    </xf>
    <xf numFmtId="44" fontId="0" fillId="0" borderId="65" xfId="0" applyNumberFormat="1" applyBorder="1" applyProtection="1">
      <protection locked="0" hidden="1"/>
    </xf>
    <xf numFmtId="0" fontId="0" fillId="0" borderId="65" xfId="0" applyBorder="1" applyAlignment="1" applyProtection="1">
      <alignment horizontal="center" vertical="center"/>
      <protection locked="0" hidden="1"/>
    </xf>
    <xf numFmtId="0" fontId="0" fillId="0" borderId="66" xfId="0" applyBorder="1" applyAlignment="1" applyProtection="1">
      <alignment horizontal="center" vertical="center"/>
      <protection locked="0" hidden="1"/>
    </xf>
    <xf numFmtId="0" fontId="0" fillId="0" borderId="67" xfId="0" applyBorder="1" applyAlignment="1" applyProtection="1">
      <alignment horizontal="left"/>
      <protection locked="0" hidden="1"/>
    </xf>
    <xf numFmtId="1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/>
      <protection locked="0" hidden="1"/>
    </xf>
    <xf numFmtId="14" fontId="0" fillId="0" borderId="15" xfId="0" applyNumberFormat="1" applyBorder="1" applyAlignment="1" applyProtection="1">
      <alignment horizontal="center"/>
      <protection locked="0" hidden="1"/>
    </xf>
    <xf numFmtId="1" fontId="24" fillId="0" borderId="15" xfId="0" applyNumberFormat="1" applyFont="1" applyBorder="1" applyAlignment="1" applyProtection="1">
      <alignment horizontal="center"/>
      <protection locked="0" hidden="1"/>
    </xf>
    <xf numFmtId="14" fontId="24" fillId="0" borderId="15" xfId="0" applyNumberFormat="1" applyFont="1" applyBorder="1" applyAlignment="1" applyProtection="1">
      <alignment horizontal="center" vertical="center"/>
      <protection locked="0" hidden="1"/>
    </xf>
    <xf numFmtId="44" fontId="0" fillId="0" borderId="15" xfId="0" applyNumberFormat="1" applyBorder="1" applyAlignment="1" applyProtection="1">
      <alignment horizontal="center"/>
      <protection locked="0" hidden="1"/>
    </xf>
    <xf numFmtId="44" fontId="0" fillId="0" borderId="15" xfId="0" applyNumberFormat="1" applyBorder="1" applyProtection="1">
      <protection locked="0" hidden="1"/>
    </xf>
    <xf numFmtId="0" fontId="0" fillId="0" borderId="15" xfId="0" applyBorder="1" applyAlignment="1" applyProtection="1">
      <alignment horizontal="center" vertical="center"/>
      <protection locked="0" hidden="1"/>
    </xf>
    <xf numFmtId="0" fontId="0" fillId="0" borderId="68" xfId="0" applyBorder="1" applyAlignment="1" applyProtection="1">
      <alignment horizontal="center" vertical="center"/>
      <protection locked="0" hidden="1"/>
    </xf>
    <xf numFmtId="0" fontId="0" fillId="0" borderId="69" xfId="0" applyBorder="1" applyAlignment="1" applyProtection="1">
      <alignment horizontal="left"/>
      <protection locked="0" hidden="1"/>
    </xf>
    <xf numFmtId="1" fontId="0" fillId="0" borderId="70" xfId="0" applyNumberFormat="1" applyBorder="1" applyAlignment="1" applyProtection="1">
      <alignment horizontal="center"/>
      <protection locked="0" hidden="1"/>
    </xf>
    <xf numFmtId="0" fontId="0" fillId="0" borderId="70" xfId="0" applyBorder="1" applyAlignment="1" applyProtection="1">
      <alignment horizontal="center"/>
      <protection locked="0" hidden="1"/>
    </xf>
    <xf numFmtId="14" fontId="0" fillId="0" borderId="70" xfId="0" applyNumberFormat="1" applyBorder="1" applyAlignment="1" applyProtection="1">
      <alignment horizontal="center"/>
      <protection locked="0" hidden="1"/>
    </xf>
    <xf numFmtId="1" fontId="24" fillId="0" borderId="70" xfId="0" applyNumberFormat="1" applyFont="1" applyBorder="1" applyAlignment="1" applyProtection="1">
      <alignment horizontal="center"/>
      <protection locked="0" hidden="1"/>
    </xf>
    <xf numFmtId="14" fontId="24" fillId="0" borderId="70" xfId="0" applyNumberFormat="1" applyFont="1" applyBorder="1" applyAlignment="1" applyProtection="1">
      <alignment horizontal="center" vertical="center"/>
      <protection locked="0" hidden="1"/>
    </xf>
    <xf numFmtId="44" fontId="0" fillId="0" borderId="70" xfId="0" applyNumberFormat="1" applyBorder="1" applyAlignment="1" applyProtection="1">
      <alignment horizontal="center"/>
      <protection locked="0" hidden="1"/>
    </xf>
    <xf numFmtId="0" fontId="0" fillId="0" borderId="70" xfId="0" applyBorder="1" applyAlignment="1" applyProtection="1">
      <alignment horizontal="center" vertical="center"/>
      <protection locked="0" hidden="1"/>
    </xf>
    <xf numFmtId="0" fontId="0" fillId="0" borderId="71" xfId="0" applyBorder="1" applyAlignment="1" applyProtection="1">
      <alignment horizontal="center" vertical="center"/>
      <protection locked="0" hidden="1"/>
    </xf>
    <xf numFmtId="0" fontId="2" fillId="0" borderId="0" xfId="0" applyFont="1" applyAlignment="1">
      <alignment horizontal="center" vertical="center" shrinkToFit="1"/>
    </xf>
    <xf numFmtId="188" fontId="0" fillId="0" borderId="0" xfId="0" applyNumberFormat="1"/>
    <xf numFmtId="188" fontId="0" fillId="0" borderId="0" xfId="0" applyNumberFormat="1" applyAlignment="1">
      <alignment horizontal="center"/>
    </xf>
    <xf numFmtId="0" fontId="0" fillId="0" borderId="14" xfId="0" applyBorder="1"/>
    <xf numFmtId="0" fontId="73" fillId="0" borderId="0" xfId="0" applyFont="1" applyAlignment="1">
      <alignment horizontal="center" shrinkToFit="1"/>
    </xf>
    <xf numFmtId="0" fontId="17" fillId="0" borderId="22" xfId="2" applyFont="1" applyBorder="1" applyAlignment="1">
      <alignment horizontal="center" vertical="center"/>
    </xf>
    <xf numFmtId="0" fontId="17" fillId="0" borderId="24" xfId="2" applyFont="1" applyBorder="1" applyAlignment="1">
      <alignment horizontal="center" vertical="center"/>
    </xf>
    <xf numFmtId="0" fontId="22" fillId="0" borderId="18" xfId="2" applyFont="1" applyBorder="1" applyAlignment="1">
      <alignment horizontal="left" vertical="top"/>
    </xf>
    <xf numFmtId="0" fontId="22" fillId="0" borderId="19" xfId="2" applyFont="1" applyBorder="1" applyAlignment="1">
      <alignment horizontal="left" vertical="top"/>
    </xf>
    <xf numFmtId="0" fontId="65" fillId="0" borderId="19" xfId="2" applyFont="1" applyBorder="1" applyAlignment="1">
      <alignment horizontal="left" vertical="top"/>
    </xf>
    <xf numFmtId="0" fontId="22" fillId="0" borderId="20" xfId="2" applyFont="1" applyBorder="1" applyAlignment="1">
      <alignment horizontal="left" vertical="top"/>
    </xf>
    <xf numFmtId="0" fontId="22" fillId="0" borderId="55" xfId="2" applyFont="1" applyBorder="1" applyAlignment="1">
      <alignment horizontal="center" vertical="center" wrapText="1"/>
    </xf>
    <xf numFmtId="0" fontId="0" fillId="0" borderId="56" xfId="0" applyBorder="1"/>
    <xf numFmtId="0" fontId="0" fillId="0" borderId="57" xfId="0" applyBorder="1"/>
    <xf numFmtId="14" fontId="17" fillId="0" borderId="22" xfId="2" applyNumberFormat="1" applyFont="1" applyBorder="1" applyAlignment="1">
      <alignment horizontal="center" vertical="center"/>
    </xf>
    <xf numFmtId="14" fontId="66" fillId="0" borderId="24" xfId="2" applyNumberFormat="1" applyFont="1" applyBorder="1" applyAlignment="1">
      <alignment horizontal="center" vertical="center"/>
    </xf>
    <xf numFmtId="0" fontId="17" fillId="0" borderId="23" xfId="2" applyFont="1" applyBorder="1" applyAlignment="1">
      <alignment horizontal="center" vertical="center"/>
    </xf>
    <xf numFmtId="0" fontId="17" fillId="0" borderId="22" xfId="2" applyFont="1" applyBorder="1" applyAlignment="1">
      <alignment horizontal="center" vertical="center" shrinkToFit="1"/>
    </xf>
    <xf numFmtId="0" fontId="17" fillId="0" borderId="23" xfId="2" applyFont="1" applyBorder="1" applyAlignment="1">
      <alignment horizontal="center" vertical="center" shrinkToFit="1"/>
    </xf>
    <xf numFmtId="0" fontId="17" fillId="0" borderId="24" xfId="2" applyFont="1" applyBorder="1" applyAlignment="1">
      <alignment horizontal="center" vertical="center" shrinkToFit="1"/>
    </xf>
    <xf numFmtId="0" fontId="22" fillId="0" borderId="18" xfId="2" applyFont="1" applyBorder="1" applyAlignment="1">
      <alignment vertical="top"/>
    </xf>
    <xf numFmtId="0" fontId="22" fillId="0" borderId="20" xfId="2" applyFont="1" applyBorder="1" applyAlignment="1">
      <alignment vertical="top"/>
    </xf>
    <xf numFmtId="0" fontId="65" fillId="0" borderId="20" xfId="2" applyFont="1" applyBorder="1" applyAlignment="1">
      <alignment horizontal="left" vertical="top"/>
    </xf>
    <xf numFmtId="0" fontId="22" fillId="0" borderId="19" xfId="2" applyFont="1" applyBorder="1" applyAlignment="1">
      <alignment vertical="top"/>
    </xf>
    <xf numFmtId="187" fontId="17" fillId="0" borderId="23" xfId="351" applyNumberFormat="1" applyFont="1" applyFill="1" applyBorder="1" applyAlignment="1" applyProtection="1">
      <alignment horizontal="right" vertical="center"/>
    </xf>
    <xf numFmtId="44" fontId="17" fillId="0" borderId="23" xfId="351" applyFont="1" applyFill="1" applyBorder="1" applyAlignment="1" applyProtection="1">
      <alignment horizontal="right" vertical="center"/>
    </xf>
    <xf numFmtId="44" fontId="17" fillId="0" borderId="24" xfId="351" applyFont="1" applyFill="1" applyBorder="1" applyAlignment="1" applyProtection="1">
      <alignment horizontal="right" vertical="center"/>
    </xf>
    <xf numFmtId="0" fontId="22" fillId="0" borderId="14" xfId="2" applyFont="1" applyBorder="1" applyAlignment="1">
      <alignment horizontal="left" vertical="top"/>
    </xf>
    <xf numFmtId="0" fontId="22" fillId="0" borderId="21" xfId="2" applyFont="1" applyBorder="1" applyAlignment="1">
      <alignment horizontal="left" vertical="top"/>
    </xf>
    <xf numFmtId="180" fontId="22" fillId="0" borderId="18" xfId="2" applyNumberFormat="1" applyFont="1" applyBorder="1" applyAlignment="1">
      <alignment vertical="top"/>
    </xf>
    <xf numFmtId="180" fontId="22" fillId="0" borderId="19" xfId="2" applyNumberFormat="1" applyFont="1" applyBorder="1" applyAlignment="1">
      <alignment vertical="top"/>
    </xf>
    <xf numFmtId="180" fontId="22" fillId="0" borderId="19" xfId="2" applyNumberFormat="1" applyFont="1" applyBorder="1" applyAlignment="1">
      <alignment horizontal="left" vertical="top"/>
    </xf>
    <xf numFmtId="0" fontId="17" fillId="0" borderId="14" xfId="2" applyFont="1" applyBorder="1" applyAlignment="1">
      <alignment horizontal="center" vertical="center" wrapText="1"/>
    </xf>
    <xf numFmtId="0" fontId="17" fillId="0" borderId="21" xfId="2" applyFont="1" applyBorder="1" applyAlignment="1">
      <alignment horizontal="center" vertical="center" wrapText="1"/>
    </xf>
    <xf numFmtId="0" fontId="17" fillId="0" borderId="22" xfId="2" applyFont="1" applyBorder="1" applyAlignment="1">
      <alignment horizontal="center" vertical="center" wrapText="1"/>
    </xf>
    <xf numFmtId="0" fontId="17" fillId="0" borderId="24" xfId="2" applyFont="1" applyBorder="1" applyAlignment="1">
      <alignment horizontal="center" vertical="center" wrapText="1"/>
    </xf>
    <xf numFmtId="49" fontId="17" fillId="0" borderId="26" xfId="2" applyNumberFormat="1" applyFont="1" applyBorder="1" applyAlignment="1">
      <alignment horizontal="center" vertical="center"/>
    </xf>
    <xf numFmtId="49" fontId="17" fillId="0" borderId="27" xfId="2" applyNumberFormat="1" applyFont="1" applyBorder="1" applyAlignment="1">
      <alignment horizontal="center" vertical="center"/>
    </xf>
    <xf numFmtId="187" fontId="17" fillId="0" borderId="14" xfId="351" applyNumberFormat="1" applyFont="1" applyFill="1" applyBorder="1" applyAlignment="1" applyProtection="1">
      <alignment horizontal="center" vertical="center"/>
    </xf>
    <xf numFmtId="44" fontId="17" fillId="0" borderId="21" xfId="351" applyFont="1" applyFill="1" applyBorder="1" applyAlignment="1" applyProtection="1">
      <alignment horizontal="center" vertical="center"/>
    </xf>
    <xf numFmtId="44" fontId="17" fillId="0" borderId="14" xfId="351" applyFont="1" applyFill="1" applyBorder="1" applyAlignment="1" applyProtection="1">
      <alignment horizontal="center" vertical="center"/>
    </xf>
    <xf numFmtId="44" fontId="17" fillId="0" borderId="22" xfId="351" applyFont="1" applyFill="1" applyBorder="1" applyAlignment="1" applyProtection="1">
      <alignment horizontal="center" vertical="center"/>
    </xf>
    <xf numFmtId="44" fontId="17" fillId="0" borderId="24" xfId="351" applyFont="1" applyFill="1" applyBorder="1" applyAlignment="1" applyProtection="1">
      <alignment horizontal="center" vertical="center"/>
    </xf>
    <xf numFmtId="185" fontId="17" fillId="0" borderId="14" xfId="344" applyNumberFormat="1" applyFont="1" applyFill="1" applyBorder="1" applyAlignment="1">
      <alignment horizontal="center" vertical="center"/>
    </xf>
    <xf numFmtId="185" fontId="17" fillId="0" borderId="21" xfId="344" applyNumberFormat="1" applyFont="1" applyFill="1" applyBorder="1" applyAlignment="1">
      <alignment horizontal="center" vertical="center"/>
    </xf>
    <xf numFmtId="185" fontId="17" fillId="0" borderId="22" xfId="344" applyNumberFormat="1" applyFont="1" applyFill="1" applyBorder="1" applyAlignment="1">
      <alignment horizontal="center" vertical="center"/>
    </xf>
    <xf numFmtId="185" fontId="17" fillId="0" borderId="24" xfId="344" applyNumberFormat="1" applyFont="1" applyFill="1" applyBorder="1" applyAlignment="1">
      <alignment horizontal="center" vertical="center"/>
    </xf>
    <xf numFmtId="187" fontId="17" fillId="0" borderId="22" xfId="351" applyNumberFormat="1" applyFont="1" applyFill="1" applyBorder="1" applyAlignment="1" applyProtection="1">
      <alignment horizontal="right" vertical="center"/>
    </xf>
    <xf numFmtId="0" fontId="3" fillId="0" borderId="0" xfId="2" applyFont="1" applyAlignment="1">
      <alignment horizontal="center" vertical="center"/>
    </xf>
    <xf numFmtId="0" fontId="15" fillId="0" borderId="0" xfId="2" applyAlignment="1">
      <alignment horizontal="center" vertical="center"/>
    </xf>
    <xf numFmtId="180" fontId="15" fillId="0" borderId="0" xfId="2" applyNumberFormat="1" applyAlignment="1">
      <alignment horizontal="center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80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80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180" fontId="3" fillId="0" borderId="0" xfId="2" applyNumberFormat="1" applyFont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181" fontId="3" fillId="0" borderId="0" xfId="2" applyNumberFormat="1" applyFont="1" applyAlignment="1">
      <alignment horizontal="center" vertical="center"/>
    </xf>
    <xf numFmtId="181" fontId="15" fillId="0" borderId="0" xfId="2" applyNumberFormat="1" applyAlignment="1">
      <alignment horizontal="center" vertical="center"/>
    </xf>
    <xf numFmtId="44" fontId="17" fillId="0" borderId="22" xfId="351" applyFont="1" applyFill="1" applyBorder="1" applyAlignment="1" applyProtection="1">
      <alignment horizontal="right" vertical="center"/>
    </xf>
    <xf numFmtId="0" fontId="67" fillId="0" borderId="19" xfId="2" applyFont="1" applyBorder="1" applyAlignment="1">
      <alignment horizontal="center" vertical="center"/>
    </xf>
    <xf numFmtId="181" fontId="3" fillId="0" borderId="19" xfId="2" applyNumberFormat="1" applyFont="1" applyBorder="1" applyAlignment="1">
      <alignment horizontal="center" vertical="center"/>
    </xf>
    <xf numFmtId="0" fontId="67" fillId="0" borderId="23" xfId="2" applyFont="1" applyBorder="1" applyAlignment="1">
      <alignment horizontal="center" vertical="center"/>
    </xf>
    <xf numFmtId="181" fontId="3" fillId="0" borderId="23" xfId="2" applyNumberFormat="1" applyFont="1" applyBorder="1" applyAlignment="1">
      <alignment horizontal="center" vertical="center"/>
    </xf>
    <xf numFmtId="49" fontId="17" fillId="0" borderId="26" xfId="2" applyNumberFormat="1" applyFont="1" applyBorder="1" applyAlignment="1">
      <alignment horizontal="right" vertical="center"/>
    </xf>
    <xf numFmtId="49" fontId="17" fillId="0" borderId="27" xfId="2" applyNumberFormat="1" applyFont="1" applyBorder="1" applyAlignment="1">
      <alignment horizontal="right" vertical="center"/>
    </xf>
    <xf numFmtId="44" fontId="17" fillId="0" borderId="14" xfId="351" applyFont="1" applyFill="1" applyBorder="1" applyAlignment="1" applyProtection="1">
      <alignment horizontal="left" vertical="center"/>
    </xf>
    <xf numFmtId="44" fontId="17" fillId="0" borderId="21" xfId="351" applyFont="1" applyFill="1" applyBorder="1" applyAlignment="1" applyProtection="1">
      <alignment horizontal="left" vertical="center"/>
    </xf>
    <xf numFmtId="44" fontId="66" fillId="0" borderId="14" xfId="351" applyFont="1" applyFill="1" applyBorder="1" applyAlignment="1" applyProtection="1">
      <alignment horizontal="left" vertical="center"/>
    </xf>
    <xf numFmtId="44" fontId="17" fillId="0" borderId="22" xfId="351" applyFont="1" applyFill="1" applyBorder="1" applyAlignment="1" applyProtection="1">
      <alignment horizontal="left" vertical="center"/>
    </xf>
    <xf numFmtId="44" fontId="17" fillId="0" borderId="24" xfId="351" applyFont="1" applyFill="1" applyBorder="1" applyAlignment="1" applyProtection="1">
      <alignment horizontal="left" vertical="center"/>
    </xf>
    <xf numFmtId="185" fontId="15" fillId="0" borderId="14" xfId="344" applyNumberFormat="1" applyFont="1" applyFill="1" applyBorder="1" applyAlignment="1">
      <alignment horizontal="center" vertical="center"/>
    </xf>
    <xf numFmtId="185" fontId="15" fillId="0" borderId="21" xfId="344" applyNumberFormat="1" applyFont="1" applyFill="1" applyBorder="1" applyAlignment="1">
      <alignment horizontal="center" vertical="center"/>
    </xf>
    <xf numFmtId="185" fontId="15" fillId="0" borderId="22" xfId="344" applyNumberFormat="1" applyFont="1" applyFill="1" applyBorder="1" applyAlignment="1">
      <alignment horizontal="center" vertical="center"/>
    </xf>
    <xf numFmtId="185" fontId="15" fillId="0" borderId="24" xfId="344" applyNumberFormat="1" applyFont="1" applyFill="1" applyBorder="1" applyAlignment="1">
      <alignment horizontal="center" vertical="center"/>
    </xf>
    <xf numFmtId="181" fontId="22" fillId="0" borderId="18" xfId="2" applyNumberFormat="1" applyFont="1" applyBorder="1" applyAlignment="1">
      <alignment vertical="top"/>
    </xf>
    <xf numFmtId="181" fontId="22" fillId="0" borderId="19" xfId="2" applyNumberFormat="1" applyFont="1" applyBorder="1" applyAlignment="1">
      <alignment vertical="top"/>
    </xf>
    <xf numFmtId="181" fontId="22" fillId="0" borderId="18" xfId="2" applyNumberFormat="1" applyFont="1" applyBorder="1" applyAlignment="1">
      <alignment horizontal="left" vertical="top"/>
    </xf>
    <xf numFmtId="181" fontId="22" fillId="0" borderId="19" xfId="2" applyNumberFormat="1" applyFont="1" applyBorder="1" applyAlignment="1">
      <alignment horizontal="left" vertical="top"/>
    </xf>
    <xf numFmtId="44" fontId="17" fillId="0" borderId="23" xfId="351" applyFont="1" applyFill="1" applyBorder="1" applyAlignment="1" applyProtection="1">
      <alignment horizontal="left" vertical="center"/>
    </xf>
    <xf numFmtId="0" fontId="17" fillId="0" borderId="26" xfId="2" applyFont="1" applyBorder="1" applyAlignment="1">
      <alignment horizontal="center" vertical="center"/>
    </xf>
    <xf numFmtId="0" fontId="17" fillId="0" borderId="27" xfId="2" applyFont="1" applyBorder="1" applyAlignment="1">
      <alignment horizontal="center" vertical="center"/>
    </xf>
    <xf numFmtId="44" fontId="66" fillId="0" borderId="21" xfId="351" applyFont="1" applyFill="1" applyBorder="1" applyAlignment="1" applyProtection="1">
      <alignment horizontal="left" vertical="center"/>
    </xf>
    <xf numFmtId="0" fontId="15" fillId="0" borderId="22" xfId="2" applyBorder="1" applyAlignment="1">
      <alignment horizontal="center" vertical="center" shrinkToFit="1"/>
    </xf>
    <xf numFmtId="0" fontId="15" fillId="0" borderId="23" xfId="2" applyBorder="1" applyAlignment="1">
      <alignment horizontal="center" vertical="center" shrinkToFit="1"/>
    </xf>
    <xf numFmtId="0" fontId="15" fillId="0" borderId="24" xfId="2" applyBorder="1" applyAlignment="1">
      <alignment horizontal="center" vertical="center" shrinkToFit="1"/>
    </xf>
    <xf numFmtId="0" fontId="15" fillId="0" borderId="22" xfId="2" applyBorder="1" applyAlignment="1">
      <alignment horizontal="center" vertical="center"/>
    </xf>
    <xf numFmtId="0" fontId="15" fillId="0" borderId="24" xfId="2" applyBorder="1" applyAlignment="1">
      <alignment horizontal="center" vertical="center"/>
    </xf>
    <xf numFmtId="14" fontId="15" fillId="0" borderId="22" xfId="2" applyNumberFormat="1" applyBorder="1" applyAlignment="1">
      <alignment horizontal="center" vertical="center"/>
    </xf>
    <xf numFmtId="14" fontId="15" fillId="0" borderId="24" xfId="2" applyNumberFormat="1" applyBorder="1" applyAlignment="1">
      <alignment horizontal="center" vertical="center"/>
    </xf>
    <xf numFmtId="0" fontId="15" fillId="0" borderId="23" xfId="2" applyBorder="1" applyAlignment="1">
      <alignment horizontal="center" vertical="center"/>
    </xf>
    <xf numFmtId="0" fontId="22" fillId="0" borderId="18" xfId="2" applyFont="1" applyBorder="1" applyAlignment="1">
      <alignment horizontal="right" vertical="top"/>
    </xf>
    <xf numFmtId="0" fontId="22" fillId="0" borderId="20" xfId="2" applyFont="1" applyBorder="1" applyAlignment="1">
      <alignment horizontal="right" vertical="top"/>
    </xf>
    <xf numFmtId="0" fontId="17" fillId="0" borderId="22" xfId="2" applyFont="1" applyBorder="1" applyAlignment="1">
      <alignment horizontal="right" vertical="center"/>
    </xf>
    <xf numFmtId="0" fontId="17" fillId="0" borderId="24" xfId="2" applyFont="1" applyBorder="1" applyAlignment="1">
      <alignment horizontal="right" vertical="center"/>
    </xf>
    <xf numFmtId="44" fontId="17" fillId="0" borderId="22" xfId="351" applyFont="1" applyBorder="1" applyAlignment="1">
      <alignment horizontal="right" vertical="center"/>
    </xf>
    <xf numFmtId="44" fontId="17" fillId="0" borderId="23" xfId="351" applyFont="1" applyBorder="1" applyAlignment="1">
      <alignment horizontal="right" vertical="center"/>
    </xf>
    <xf numFmtId="44" fontId="17" fillId="0" borderId="24" xfId="351" applyFont="1" applyBorder="1" applyAlignment="1">
      <alignment horizontal="right" vertical="center"/>
    </xf>
    <xf numFmtId="180" fontId="17" fillId="0" borderId="14" xfId="5" applyNumberFormat="1" applyFont="1" applyFill="1" applyBorder="1" applyAlignment="1" applyProtection="1">
      <alignment horizontal="center" vertical="center"/>
    </xf>
    <xf numFmtId="180" fontId="17" fillId="0" borderId="21" xfId="5" applyNumberFormat="1" applyFont="1" applyFill="1" applyBorder="1" applyAlignment="1" applyProtection="1">
      <alignment horizontal="center" vertical="center"/>
    </xf>
    <xf numFmtId="180" fontId="17" fillId="0" borderId="22" xfId="5" applyNumberFormat="1" applyFont="1" applyFill="1" applyBorder="1" applyAlignment="1" applyProtection="1">
      <alignment horizontal="center" vertical="center"/>
    </xf>
    <xf numFmtId="180" fontId="17" fillId="0" borderId="24" xfId="5" applyNumberFormat="1" applyFont="1" applyFill="1" applyBorder="1" applyAlignment="1" applyProtection="1">
      <alignment horizontal="center" vertical="center"/>
    </xf>
    <xf numFmtId="0" fontId="22" fillId="0" borderId="56" xfId="2" applyFont="1" applyBorder="1" applyAlignment="1">
      <alignment horizontal="center" vertical="center" wrapText="1"/>
    </xf>
    <xf numFmtId="0" fontId="22" fillId="0" borderId="57" xfId="2" applyFont="1" applyBorder="1" applyAlignment="1">
      <alignment horizontal="center" vertical="center" wrapText="1"/>
    </xf>
    <xf numFmtId="0" fontId="15" fillId="0" borderId="22" xfId="40" applyBorder="1" applyAlignment="1">
      <alignment horizontal="center" vertical="center"/>
    </xf>
    <xf numFmtId="0" fontId="15" fillId="0" borderId="23" xfId="40" applyBorder="1" applyAlignment="1">
      <alignment horizontal="center" vertical="center"/>
    </xf>
    <xf numFmtId="0" fontId="15" fillId="0" borderId="24" xfId="40" applyBorder="1" applyAlignment="1">
      <alignment horizontal="center" vertical="center"/>
    </xf>
    <xf numFmtId="186" fontId="15" fillId="0" borderId="22" xfId="40" applyNumberFormat="1" applyBorder="1" applyAlignment="1">
      <alignment horizontal="center" vertical="center"/>
    </xf>
    <xf numFmtId="186" fontId="15" fillId="0" borderId="24" xfId="40" applyNumberFormat="1" applyBorder="1" applyAlignment="1">
      <alignment horizontal="center" vertical="center"/>
    </xf>
    <xf numFmtId="3" fontId="15" fillId="0" borderId="22" xfId="40" applyNumberFormat="1" applyBorder="1" applyAlignment="1">
      <alignment horizontal="center" vertical="center"/>
    </xf>
    <xf numFmtId="3" fontId="15" fillId="0" borderId="24" xfId="40" applyNumberFormat="1" applyBorder="1" applyAlignment="1">
      <alignment horizontal="center" vertical="center"/>
    </xf>
    <xf numFmtId="0" fontId="15" fillId="0" borderId="22" xfId="2" applyBorder="1" applyAlignment="1">
      <alignment horizontal="center"/>
    </xf>
    <xf numFmtId="0" fontId="15" fillId="0" borderId="24" xfId="2" applyBorder="1" applyAlignment="1">
      <alignment horizontal="center"/>
    </xf>
    <xf numFmtId="14" fontId="15" fillId="0" borderId="22" xfId="2" applyNumberFormat="1" applyBorder="1" applyAlignment="1">
      <alignment horizontal="center"/>
    </xf>
    <xf numFmtId="14" fontId="15" fillId="0" borderId="24" xfId="2" applyNumberFormat="1" applyBorder="1" applyAlignment="1">
      <alignment horizontal="center"/>
    </xf>
    <xf numFmtId="0" fontId="15" fillId="0" borderId="23" xfId="2" applyBorder="1" applyAlignment="1">
      <alignment horizontal="center"/>
    </xf>
    <xf numFmtId="0" fontId="22" fillId="0" borderId="0" xfId="2" applyFont="1" applyAlignment="1">
      <alignment vertical="top"/>
    </xf>
    <xf numFmtId="0" fontId="22" fillId="0" borderId="18" xfId="40" applyFont="1" applyBorder="1" applyAlignment="1">
      <alignment horizontal="left" vertical="top"/>
    </xf>
    <xf numFmtId="0" fontId="22" fillId="0" borderId="20" xfId="40" applyFont="1" applyBorder="1" applyAlignment="1">
      <alignment horizontal="left" vertical="top"/>
    </xf>
    <xf numFmtId="178" fontId="15" fillId="0" borderId="22" xfId="40" applyNumberFormat="1" applyBorder="1" applyAlignment="1">
      <alignment horizontal="center" vertical="center"/>
    </xf>
    <xf numFmtId="178" fontId="15" fillId="0" borderId="24" xfId="40" applyNumberFormat="1" applyBorder="1" applyAlignment="1">
      <alignment horizontal="center" vertical="center"/>
    </xf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6" xfId="41" quotePrefix="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9" fillId="0" borderId="12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10" fillId="0" borderId="6" xfId="41" applyFont="1" applyBorder="1"/>
    <xf numFmtId="0" fontId="10" fillId="0" borderId="7" xfId="41" applyFont="1" applyBorder="1"/>
    <xf numFmtId="0" fontId="10" fillId="0" borderId="8" xfId="41" applyFont="1" applyBorder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4" fillId="0" borderId="0" xfId="41" applyFont="1"/>
    <xf numFmtId="0" fontId="5" fillId="0" borderId="0" xfId="41" applyFont="1"/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23" fillId="0" borderId="11" xfId="41" applyFont="1" applyBorder="1" applyAlignment="1" applyProtection="1">
      <alignment horizontal="center" vertical="center" shrinkToFit="1"/>
      <protection locked="0"/>
    </xf>
    <xf numFmtId="0" fontId="23" fillId="0" borderId="13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6" fillId="0" borderId="4" xfId="41" applyFont="1" applyBorder="1"/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0" fontId="9" fillId="0" borderId="11" xfId="41" applyFont="1" applyBorder="1" applyAlignment="1" applyProtection="1">
      <alignment vertical="center"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/>
    <xf numFmtId="0" fontId="6" fillId="0" borderId="7" xfId="41" applyFont="1" applyBorder="1"/>
    <xf numFmtId="0" fontId="6" fillId="0" borderId="8" xfId="41" applyFont="1" applyBorder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/>
    <xf numFmtId="0" fontId="12" fillId="0" borderId="12" xfId="41" applyFont="1" applyBorder="1"/>
    <xf numFmtId="0" fontId="12" fillId="0" borderId="13" xfId="41" applyFont="1" applyBorder="1"/>
    <xf numFmtId="0" fontId="23" fillId="0" borderId="11" xfId="41" applyFont="1" applyBorder="1" applyAlignment="1">
      <alignment horizontal="center" vertical="center" shrinkToFit="1"/>
    </xf>
    <xf numFmtId="0" fontId="23" fillId="0" borderId="12" xfId="41" applyFont="1" applyBorder="1" applyAlignment="1">
      <alignment horizontal="center" vertical="center" shrinkToFit="1"/>
    </xf>
    <xf numFmtId="0" fontId="23" fillId="0" borderId="13" xfId="41" applyFont="1" applyBorder="1" applyAlignment="1">
      <alignment horizontal="center" vertical="center" shrinkToFit="1"/>
    </xf>
    <xf numFmtId="0" fontId="9" fillId="0" borderId="11" xfId="41" applyFont="1" applyBorder="1" applyAlignment="1">
      <alignment horizontal="center" vertical="center" shrinkToFit="1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14" fontId="24" fillId="18" borderId="3" xfId="0" applyNumberFormat="1" applyFont="1" applyFill="1" applyBorder="1" applyAlignment="1" applyProtection="1">
      <alignment horizontal="center"/>
      <protection locked="0"/>
    </xf>
    <xf numFmtId="14" fontId="24" fillId="18" borderId="4" xfId="0" applyNumberFormat="1" applyFont="1" applyFill="1" applyBorder="1" applyAlignment="1" applyProtection="1">
      <alignment horizontal="center"/>
      <protection locked="0"/>
    </xf>
    <xf numFmtId="14" fontId="24" fillId="18" borderId="5" xfId="0" applyNumberFormat="1" applyFont="1" applyFill="1" applyBorder="1" applyAlignment="1" applyProtection="1">
      <alignment horizontal="center"/>
      <protection locked="0"/>
    </xf>
    <xf numFmtId="0" fontId="0" fillId="18" borderId="4" xfId="0" applyFill="1" applyBorder="1" applyAlignment="1">
      <alignment horizontal="center"/>
    </xf>
    <xf numFmtId="0" fontId="2" fillId="18" borderId="3" xfId="0" applyFont="1" applyFill="1" applyBorder="1" applyAlignment="1" applyProtection="1">
      <alignment horizontal="left" shrinkToFit="1"/>
      <protection locked="0" hidden="1"/>
    </xf>
    <xf numFmtId="0" fontId="2" fillId="18" borderId="4" xfId="0" applyFont="1" applyFill="1" applyBorder="1" applyAlignment="1" applyProtection="1">
      <alignment horizontal="left" shrinkToFit="1"/>
      <protection locked="0" hidden="1"/>
    </xf>
    <xf numFmtId="0" fontId="2" fillId="18" borderId="5" xfId="0" applyFont="1" applyFill="1" applyBorder="1" applyAlignment="1" applyProtection="1">
      <alignment horizontal="left" shrinkToFit="1"/>
      <protection locked="0" hidden="1"/>
    </xf>
    <xf numFmtId="0" fontId="2" fillId="18" borderId="3" xfId="0" applyFont="1" applyFill="1" applyBorder="1" applyAlignment="1" applyProtection="1">
      <alignment horizontal="left" vertical="center"/>
      <protection locked="0" hidden="1"/>
    </xf>
    <xf numFmtId="0" fontId="2" fillId="18" borderId="5" xfId="0" applyFont="1" applyFill="1" applyBorder="1" applyAlignment="1" applyProtection="1">
      <alignment horizontal="left" vertical="center"/>
      <protection locked="0" hidden="1"/>
    </xf>
    <xf numFmtId="0" fontId="47" fillId="18" borderId="6" xfId="0" applyFont="1" applyFill="1" applyBorder="1" applyAlignment="1" applyProtection="1">
      <alignment horizontal="left" vertical="top" wrapText="1"/>
      <protection locked="0"/>
    </xf>
    <xf numFmtId="0" fontId="47" fillId="18" borderId="7" xfId="0" applyFont="1" applyFill="1" applyBorder="1" applyAlignment="1" applyProtection="1">
      <alignment horizontal="left" vertical="top" wrapText="1"/>
      <protection locked="0"/>
    </xf>
    <xf numFmtId="0" fontId="47" fillId="18" borderId="8" xfId="0" applyFont="1" applyFill="1" applyBorder="1" applyAlignment="1" applyProtection="1">
      <alignment horizontal="left" vertical="top" wrapText="1"/>
      <protection locked="0"/>
    </xf>
    <xf numFmtId="0" fontId="47" fillId="18" borderId="11" xfId="0" applyFont="1" applyFill="1" applyBorder="1" applyAlignment="1" applyProtection="1">
      <alignment horizontal="left" vertical="top" wrapText="1"/>
      <protection locked="0"/>
    </xf>
    <xf numFmtId="0" fontId="47" fillId="18" borderId="12" xfId="0" applyFont="1" applyFill="1" applyBorder="1" applyAlignment="1" applyProtection="1">
      <alignment horizontal="left" vertical="top" wrapText="1"/>
      <protection locked="0"/>
    </xf>
    <xf numFmtId="0" fontId="47" fillId="18" borderId="13" xfId="0" applyFont="1" applyFill="1" applyBorder="1" applyAlignment="1" applyProtection="1">
      <alignment horizontal="left" vertical="top" wrapText="1"/>
      <protection locked="0"/>
    </xf>
    <xf numFmtId="0" fontId="0" fillId="18" borderId="6" xfId="0" applyFill="1" applyBorder="1" applyAlignment="1" applyProtection="1">
      <alignment horizontal="left" vertical="top" wrapText="1"/>
      <protection locked="0" hidden="1"/>
    </xf>
    <xf numFmtId="0" fontId="0" fillId="18" borderId="7" xfId="0" applyFill="1" applyBorder="1" applyAlignment="1" applyProtection="1">
      <alignment horizontal="left" vertical="top" wrapText="1"/>
      <protection locked="0" hidden="1"/>
    </xf>
    <xf numFmtId="0" fontId="0" fillId="18" borderId="8" xfId="0" applyFill="1" applyBorder="1" applyAlignment="1" applyProtection="1">
      <alignment horizontal="left" vertical="top" wrapText="1"/>
      <protection locked="0" hidden="1"/>
    </xf>
    <xf numFmtId="0" fontId="0" fillId="18" borderId="9" xfId="0" applyFill="1" applyBorder="1" applyAlignment="1" applyProtection="1">
      <alignment horizontal="left" vertical="top" wrapText="1"/>
      <protection locked="0" hidden="1"/>
    </xf>
    <xf numFmtId="0" fontId="0" fillId="18" borderId="0" xfId="0" applyFill="1" applyAlignment="1" applyProtection="1">
      <alignment horizontal="left" vertical="top" wrapText="1"/>
      <protection locked="0" hidden="1"/>
    </xf>
    <xf numFmtId="0" fontId="0" fillId="18" borderId="10" xfId="0" applyFill="1" applyBorder="1" applyAlignment="1" applyProtection="1">
      <alignment horizontal="left" vertical="top" wrapText="1"/>
      <protection locked="0" hidden="1"/>
    </xf>
    <xf numFmtId="0" fontId="0" fillId="18" borderId="11" xfId="0" applyFill="1" applyBorder="1" applyAlignment="1" applyProtection="1">
      <alignment horizontal="left" vertical="top" wrapText="1"/>
      <protection locked="0" hidden="1"/>
    </xf>
    <xf numFmtId="0" fontId="0" fillId="18" borderId="12" xfId="0" applyFill="1" applyBorder="1" applyAlignment="1" applyProtection="1">
      <alignment horizontal="left" vertical="top" wrapText="1"/>
      <protection locked="0" hidden="1"/>
    </xf>
    <xf numFmtId="0" fontId="0" fillId="18" borderId="13" xfId="0" applyFill="1" applyBorder="1" applyAlignment="1" applyProtection="1">
      <alignment horizontal="left" vertical="top" wrapText="1"/>
      <protection locked="0" hidden="1"/>
    </xf>
    <xf numFmtId="0" fontId="2" fillId="18" borderId="3" xfId="0" applyFont="1" applyFill="1" applyBorder="1" applyAlignment="1" applyProtection="1">
      <alignment horizontal="left" vertical="center" shrinkToFit="1"/>
      <protection hidden="1"/>
    </xf>
    <xf numFmtId="0" fontId="2" fillId="18" borderId="4" xfId="0" applyFont="1" applyFill="1" applyBorder="1" applyAlignment="1" applyProtection="1">
      <alignment horizontal="left" vertical="center" shrinkToFit="1"/>
      <protection hidden="1"/>
    </xf>
    <xf numFmtId="0" fontId="2" fillId="18" borderId="5" xfId="0" applyFont="1" applyFill="1" applyBorder="1" applyAlignment="1" applyProtection="1">
      <alignment horizontal="left" vertical="center" shrinkToFit="1"/>
      <protection hidden="1"/>
    </xf>
    <xf numFmtId="0" fontId="2" fillId="18" borderId="9" xfId="0" applyFont="1" applyFill="1" applyBorder="1" applyAlignment="1" applyProtection="1">
      <alignment horizontal="left" vertical="center" shrinkToFit="1"/>
      <protection hidden="1"/>
    </xf>
    <xf numFmtId="0" fontId="2" fillId="18" borderId="10" xfId="0" applyFont="1" applyFill="1" applyBorder="1" applyAlignment="1" applyProtection="1">
      <alignment horizontal="left" vertical="center" shrinkToFit="1"/>
      <protection hidden="1"/>
    </xf>
    <xf numFmtId="0" fontId="2" fillId="18" borderId="11" xfId="0" applyFont="1" applyFill="1" applyBorder="1" applyAlignment="1" applyProtection="1">
      <alignment horizontal="left" vertical="center" shrinkToFit="1"/>
      <protection hidden="1"/>
    </xf>
    <xf numFmtId="0" fontId="2" fillId="18" borderId="12" xfId="0" applyFont="1" applyFill="1" applyBorder="1" applyAlignment="1" applyProtection="1">
      <alignment horizontal="left" vertical="center" shrinkToFit="1"/>
      <protection hidden="1"/>
    </xf>
    <xf numFmtId="0" fontId="2" fillId="18" borderId="13" xfId="0" applyFont="1" applyFill="1" applyBorder="1" applyAlignment="1" applyProtection="1">
      <alignment horizontal="left" vertical="center" shrinkToFit="1"/>
      <protection hidden="1"/>
    </xf>
    <xf numFmtId="0" fontId="2" fillId="18" borderId="6" xfId="0" applyFont="1" applyFill="1" applyBorder="1" applyAlignment="1" applyProtection="1">
      <alignment horizontal="left" vertical="center" shrinkToFit="1"/>
      <protection hidden="1"/>
    </xf>
    <xf numFmtId="0" fontId="2" fillId="18" borderId="7" xfId="0" applyFont="1" applyFill="1" applyBorder="1" applyAlignment="1" applyProtection="1">
      <alignment horizontal="left" vertical="center" shrinkToFit="1"/>
      <protection hidden="1"/>
    </xf>
    <xf numFmtId="0" fontId="2" fillId="18" borderId="8" xfId="0" applyFont="1" applyFill="1" applyBorder="1" applyAlignment="1" applyProtection="1">
      <alignment horizontal="left" vertical="center" shrinkToFit="1"/>
      <protection hidden="1"/>
    </xf>
    <xf numFmtId="0" fontId="2" fillId="18" borderId="9" xfId="0" applyFont="1" applyFill="1" applyBorder="1" applyAlignment="1" applyProtection="1">
      <alignment horizontal="left" vertical="center"/>
      <protection hidden="1"/>
    </xf>
    <xf numFmtId="0" fontId="2" fillId="18" borderId="0" xfId="0" applyFont="1" applyFill="1" applyAlignment="1" applyProtection="1">
      <alignment horizontal="left" vertical="center"/>
      <protection hidden="1"/>
    </xf>
    <xf numFmtId="0" fontId="2" fillId="18" borderId="10" xfId="0" applyFont="1" applyFill="1" applyBorder="1" applyAlignment="1" applyProtection="1">
      <alignment horizontal="left" vertical="center"/>
      <protection hidden="1"/>
    </xf>
    <xf numFmtId="0" fontId="2" fillId="18" borderId="11" xfId="0" applyFont="1" applyFill="1" applyBorder="1" applyAlignment="1" applyProtection="1">
      <alignment horizontal="left" vertical="center"/>
      <protection hidden="1"/>
    </xf>
    <xf numFmtId="0" fontId="2" fillId="18" borderId="12" xfId="0" applyFont="1" applyFill="1" applyBorder="1" applyAlignment="1" applyProtection="1">
      <alignment horizontal="left" vertical="center"/>
      <protection hidden="1"/>
    </xf>
    <xf numFmtId="0" fontId="2" fillId="18" borderId="13" xfId="0" applyFont="1" applyFill="1" applyBorder="1" applyAlignment="1" applyProtection="1">
      <alignment horizontal="left" vertical="center"/>
      <protection hidden="1"/>
    </xf>
    <xf numFmtId="0" fontId="2" fillId="18" borderId="6" xfId="0" applyFont="1" applyFill="1" applyBorder="1" applyAlignment="1" applyProtection="1">
      <alignment horizontal="left" vertical="top" wrapText="1"/>
      <protection hidden="1"/>
    </xf>
    <xf numFmtId="0" fontId="2" fillId="18" borderId="7" xfId="0" applyFont="1" applyFill="1" applyBorder="1" applyAlignment="1" applyProtection="1">
      <alignment horizontal="left" vertical="top" wrapText="1"/>
      <protection hidden="1"/>
    </xf>
    <xf numFmtId="0" fontId="2" fillId="18" borderId="8" xfId="0" applyFont="1" applyFill="1" applyBorder="1" applyAlignment="1" applyProtection="1">
      <alignment horizontal="left" vertical="top" wrapText="1"/>
      <protection hidden="1"/>
    </xf>
    <xf numFmtId="0" fontId="2" fillId="18" borderId="9" xfId="0" applyFont="1" applyFill="1" applyBorder="1" applyAlignment="1" applyProtection="1">
      <alignment horizontal="left" vertical="top" wrapText="1"/>
      <protection hidden="1"/>
    </xf>
    <xf numFmtId="0" fontId="2" fillId="18" borderId="0" xfId="0" applyFont="1" applyFill="1" applyAlignment="1" applyProtection="1">
      <alignment horizontal="left" vertical="top" wrapText="1"/>
      <protection hidden="1"/>
    </xf>
    <xf numFmtId="0" fontId="2" fillId="18" borderId="10" xfId="0" applyFont="1" applyFill="1" applyBorder="1" applyAlignment="1" applyProtection="1">
      <alignment horizontal="left" vertical="top" wrapText="1"/>
      <protection hidden="1"/>
    </xf>
    <xf numFmtId="0" fontId="2" fillId="18" borderId="11" xfId="0" applyFont="1" applyFill="1" applyBorder="1" applyAlignment="1" applyProtection="1">
      <alignment horizontal="left" vertical="top" wrapText="1"/>
      <protection hidden="1"/>
    </xf>
    <xf numFmtId="0" fontId="2" fillId="18" borderId="12" xfId="0" applyFont="1" applyFill="1" applyBorder="1" applyAlignment="1" applyProtection="1">
      <alignment horizontal="left" vertical="top" wrapText="1"/>
      <protection hidden="1"/>
    </xf>
    <xf numFmtId="0" fontId="2" fillId="18" borderId="13" xfId="0" applyFont="1" applyFill="1" applyBorder="1" applyAlignment="1" applyProtection="1">
      <alignment horizontal="left" vertical="top" wrapText="1"/>
      <protection hidden="1"/>
    </xf>
    <xf numFmtId="0" fontId="2" fillId="18" borderId="3" xfId="0" applyFont="1" applyFill="1" applyBorder="1" applyAlignment="1" applyProtection="1">
      <alignment horizontal="left" vertical="center"/>
      <protection hidden="1"/>
    </xf>
    <xf numFmtId="0" fontId="2" fillId="18" borderId="4" xfId="0" applyFont="1" applyFill="1" applyBorder="1" applyAlignment="1" applyProtection="1">
      <alignment horizontal="left" vertical="center"/>
      <protection hidden="1"/>
    </xf>
    <xf numFmtId="0" fontId="2" fillId="18" borderId="5" xfId="0" applyFont="1" applyFill="1" applyBorder="1" applyAlignment="1" applyProtection="1">
      <alignment horizontal="left" vertical="center"/>
      <protection hidden="1"/>
    </xf>
    <xf numFmtId="0" fontId="37" fillId="18" borderId="29" xfId="0" applyFont="1" applyFill="1" applyBorder="1" applyAlignment="1" applyProtection="1">
      <alignment horizontal="left" vertical="top" wrapText="1"/>
      <protection locked="0"/>
    </xf>
    <xf numFmtId="177" fontId="42" fillId="18" borderId="1" xfId="0" applyNumberFormat="1" applyFont="1" applyFill="1" applyBorder="1" applyAlignment="1">
      <alignment horizontal="center" vertical="center"/>
    </xf>
    <xf numFmtId="177" fontId="42" fillId="18" borderId="2" xfId="0" applyNumberFormat="1" applyFont="1" applyFill="1" applyBorder="1" applyAlignment="1">
      <alignment horizontal="center" vertical="center"/>
    </xf>
    <xf numFmtId="49" fontId="0" fillId="18" borderId="15" xfId="0" applyNumberFormat="1" applyFill="1" applyBorder="1" applyAlignment="1">
      <alignment horizontal="right" vertical="center" wrapText="1"/>
    </xf>
    <xf numFmtId="0" fontId="0" fillId="18" borderId="3" xfId="0" applyFill="1" applyBorder="1" applyAlignment="1" applyProtection="1">
      <alignment horizontal="center" vertical="center"/>
      <protection locked="0"/>
    </xf>
    <xf numFmtId="0" fontId="0" fillId="18" borderId="5" xfId="0" applyFill="1" applyBorder="1" applyAlignment="1" applyProtection="1">
      <alignment horizontal="center" vertical="center"/>
      <protection locked="0"/>
    </xf>
    <xf numFmtId="0" fontId="0" fillId="18" borderId="3" xfId="0" applyFill="1" applyBorder="1" applyAlignment="1" applyProtection="1">
      <alignment horizontal="left" vertical="center"/>
      <protection locked="0"/>
    </xf>
    <xf numFmtId="0" fontId="0" fillId="18" borderId="4" xfId="0" applyFill="1" applyBorder="1" applyAlignment="1" applyProtection="1">
      <alignment horizontal="left" vertical="center"/>
      <protection locked="0"/>
    </xf>
    <xf numFmtId="0" fontId="0" fillId="18" borderId="5" xfId="0" applyFill="1" applyBorder="1" applyAlignment="1" applyProtection="1">
      <alignment horizontal="left" vertical="center"/>
      <protection locked="0"/>
    </xf>
    <xf numFmtId="0" fontId="49" fillId="18" borderId="6" xfId="0" applyFont="1" applyFill="1" applyBorder="1" applyAlignment="1" applyProtection="1">
      <alignment horizontal="justify" vertical="top" wrapText="1"/>
      <protection locked="0"/>
    </xf>
    <xf numFmtId="0" fontId="49" fillId="18" borderId="7" xfId="0" applyFont="1" applyFill="1" applyBorder="1" applyAlignment="1" applyProtection="1">
      <alignment horizontal="justify" vertical="top" wrapText="1"/>
      <protection locked="0"/>
    </xf>
    <xf numFmtId="0" fontId="49" fillId="18" borderId="8" xfId="0" applyFont="1" applyFill="1" applyBorder="1" applyAlignment="1" applyProtection="1">
      <alignment horizontal="justify" vertical="top" wrapText="1"/>
      <protection locked="0"/>
    </xf>
    <xf numFmtId="0" fontId="49" fillId="18" borderId="11" xfId="0" applyFont="1" applyFill="1" applyBorder="1" applyAlignment="1" applyProtection="1">
      <alignment horizontal="justify" vertical="top" wrapText="1"/>
      <protection locked="0"/>
    </xf>
    <xf numFmtId="0" fontId="49" fillId="18" borderId="12" xfId="0" applyFont="1" applyFill="1" applyBorder="1" applyAlignment="1" applyProtection="1">
      <alignment horizontal="justify" vertical="top" wrapText="1"/>
      <protection locked="0"/>
    </xf>
    <xf numFmtId="0" fontId="49" fillId="18" borderId="13" xfId="0" applyFont="1" applyFill="1" applyBorder="1" applyAlignment="1" applyProtection="1">
      <alignment horizontal="justify" vertical="top" wrapText="1"/>
      <protection locked="0"/>
    </xf>
    <xf numFmtId="0" fontId="0" fillId="18" borderId="15" xfId="0" applyFill="1" applyBorder="1" applyAlignment="1">
      <alignment horizontal="center" vertical="center" wrapText="1"/>
    </xf>
    <xf numFmtId="0" fontId="0" fillId="18" borderId="15" xfId="0" applyFill="1" applyBorder="1" applyAlignment="1">
      <alignment horizontal="center" vertical="center"/>
    </xf>
    <xf numFmtId="0" fontId="2" fillId="18" borderId="0" xfId="0" applyFont="1" applyFill="1" applyBorder="1" applyAlignment="1" applyProtection="1">
      <alignment horizontal="left" vertical="center" shrinkToFit="1"/>
      <protection hidden="1"/>
    </xf>
    <xf numFmtId="0" fontId="0" fillId="0" borderId="14" xfId="0" applyFont="1" applyBorder="1"/>
    <xf numFmtId="0" fontId="0" fillId="18" borderId="14" xfId="0" applyFont="1" applyFill="1" applyBorder="1" applyAlignment="1">
      <alignment horizontal="left" vertical="center"/>
    </xf>
  </cellXfs>
  <cellStyles count="352">
    <cellStyle name="20% - Accent1 2" xfId="46" xr:uid="{00000000-0005-0000-0000-000000000000}"/>
    <cellStyle name="20% - Accent1 2 2" xfId="47" xr:uid="{00000000-0005-0000-0000-000001000000}"/>
    <cellStyle name="20% - Accent1 3" xfId="48" xr:uid="{00000000-0005-0000-0000-000002000000}"/>
    <cellStyle name="20% - Accent1 4" xfId="49" xr:uid="{00000000-0005-0000-0000-000003000000}"/>
    <cellStyle name="20% - Accent2 2" xfId="50" xr:uid="{00000000-0005-0000-0000-000004000000}"/>
    <cellStyle name="20% - Accent2 2 2" xfId="51" xr:uid="{00000000-0005-0000-0000-000005000000}"/>
    <cellStyle name="20% - Accent2 3" xfId="52" xr:uid="{00000000-0005-0000-0000-000006000000}"/>
    <cellStyle name="20% - Accent2 4" xfId="53" xr:uid="{00000000-0005-0000-0000-000007000000}"/>
    <cellStyle name="20% - Accent3 2" xfId="54" xr:uid="{00000000-0005-0000-0000-000008000000}"/>
    <cellStyle name="20% - Accent3 2 2" xfId="55" xr:uid="{00000000-0005-0000-0000-000009000000}"/>
    <cellStyle name="20% - Accent3 3" xfId="56" xr:uid="{00000000-0005-0000-0000-00000A000000}"/>
    <cellStyle name="20% - Accent3 4" xfId="57" xr:uid="{00000000-0005-0000-0000-00000B000000}"/>
    <cellStyle name="20% - Accent4 2" xfId="58" xr:uid="{00000000-0005-0000-0000-00000C000000}"/>
    <cellStyle name="20% - Accent4 2 2" xfId="59" xr:uid="{00000000-0005-0000-0000-00000D000000}"/>
    <cellStyle name="20% - Accent4 3" xfId="60" xr:uid="{00000000-0005-0000-0000-00000E000000}"/>
    <cellStyle name="20% - Accent4 4" xfId="61" xr:uid="{00000000-0005-0000-0000-00000F000000}"/>
    <cellStyle name="20% - Accent5 2" xfId="62" xr:uid="{00000000-0005-0000-0000-000010000000}"/>
    <cellStyle name="20% - Accent5 2 2" xfId="63" xr:uid="{00000000-0005-0000-0000-000011000000}"/>
    <cellStyle name="20% - Accent5 3" xfId="64" xr:uid="{00000000-0005-0000-0000-000012000000}"/>
    <cellStyle name="20% - Accent5 4" xfId="65" xr:uid="{00000000-0005-0000-0000-000013000000}"/>
    <cellStyle name="20% - Accent6 2" xfId="66" xr:uid="{00000000-0005-0000-0000-000014000000}"/>
    <cellStyle name="20% - Accent6 2 2" xfId="67" xr:uid="{00000000-0005-0000-0000-000015000000}"/>
    <cellStyle name="20% - Accent6 3" xfId="68" xr:uid="{00000000-0005-0000-0000-000016000000}"/>
    <cellStyle name="20% - Accent6 4" xfId="69" xr:uid="{00000000-0005-0000-0000-000017000000}"/>
    <cellStyle name="40% - Accent1 2" xfId="70" xr:uid="{00000000-0005-0000-0000-000018000000}"/>
    <cellStyle name="40% - Accent1 2 2" xfId="71" xr:uid="{00000000-0005-0000-0000-000019000000}"/>
    <cellStyle name="40% - Accent1 3" xfId="72" xr:uid="{00000000-0005-0000-0000-00001A000000}"/>
    <cellStyle name="40% - Accent1 4" xfId="73" xr:uid="{00000000-0005-0000-0000-00001B000000}"/>
    <cellStyle name="40% - Accent2 2" xfId="74" xr:uid="{00000000-0005-0000-0000-00001C000000}"/>
    <cellStyle name="40% - Accent2 2 2" xfId="75" xr:uid="{00000000-0005-0000-0000-00001D000000}"/>
    <cellStyle name="40% - Accent2 3" xfId="76" xr:uid="{00000000-0005-0000-0000-00001E000000}"/>
    <cellStyle name="40% - Accent2 4" xfId="77" xr:uid="{00000000-0005-0000-0000-00001F000000}"/>
    <cellStyle name="40% - Accent3 2" xfId="78" xr:uid="{00000000-0005-0000-0000-000020000000}"/>
    <cellStyle name="40% - Accent3 2 2" xfId="79" xr:uid="{00000000-0005-0000-0000-000021000000}"/>
    <cellStyle name="40% - Accent3 3" xfId="80" xr:uid="{00000000-0005-0000-0000-000022000000}"/>
    <cellStyle name="40% - Accent3 4" xfId="81" xr:uid="{00000000-0005-0000-0000-000023000000}"/>
    <cellStyle name="40% - Accent4 2" xfId="82" xr:uid="{00000000-0005-0000-0000-000024000000}"/>
    <cellStyle name="40% - Accent4 2 2" xfId="83" xr:uid="{00000000-0005-0000-0000-000025000000}"/>
    <cellStyle name="40% - Accent4 3" xfId="84" xr:uid="{00000000-0005-0000-0000-000026000000}"/>
    <cellStyle name="40% - Accent4 4" xfId="85" xr:uid="{00000000-0005-0000-0000-000027000000}"/>
    <cellStyle name="40% - Accent5 2" xfId="86" xr:uid="{00000000-0005-0000-0000-000028000000}"/>
    <cellStyle name="40% - Accent5 2 2" xfId="87" xr:uid="{00000000-0005-0000-0000-000029000000}"/>
    <cellStyle name="40% - Accent5 3" xfId="88" xr:uid="{00000000-0005-0000-0000-00002A000000}"/>
    <cellStyle name="40% - Accent5 4" xfId="89" xr:uid="{00000000-0005-0000-0000-00002B000000}"/>
    <cellStyle name="40% - Accent6 2" xfId="90" xr:uid="{00000000-0005-0000-0000-00002C000000}"/>
    <cellStyle name="40% - Accent6 2 2" xfId="91" xr:uid="{00000000-0005-0000-0000-00002D000000}"/>
    <cellStyle name="40% - Accent6 3" xfId="92" xr:uid="{00000000-0005-0000-0000-00002E000000}"/>
    <cellStyle name="40% - Accent6 4" xfId="93" xr:uid="{00000000-0005-0000-0000-00002F000000}"/>
    <cellStyle name="autoPopulatedData" xfId="94" xr:uid="{00000000-0005-0000-0000-000030000000}"/>
    <cellStyle name="Bad 2" xfId="95" xr:uid="{00000000-0005-0000-0000-000031000000}"/>
    <cellStyle name="Bad 2 2" xfId="96" xr:uid="{00000000-0005-0000-0000-000032000000}"/>
    <cellStyle name="Bad 3" xfId="97" xr:uid="{00000000-0005-0000-0000-000033000000}"/>
    <cellStyle name="Bad 4" xfId="98" xr:uid="{00000000-0005-0000-0000-000034000000}"/>
    <cellStyle name="Bad 4 2" xfId="99" xr:uid="{00000000-0005-0000-0000-000035000000}"/>
    <cellStyle name="Bad1" xfId="100" xr:uid="{00000000-0005-0000-0000-000036000000}"/>
    <cellStyle name="Bad1 2" xfId="101" xr:uid="{00000000-0005-0000-0000-000037000000}"/>
    <cellStyle name="Comma 10" xfId="102" xr:uid="{00000000-0005-0000-0000-000038000000}"/>
    <cellStyle name="Comma 10 2" xfId="103" xr:uid="{00000000-0005-0000-0000-000039000000}"/>
    <cellStyle name="Comma 10 2 2" xfId="104" xr:uid="{00000000-0005-0000-0000-00003A000000}"/>
    <cellStyle name="Comma 10 3" xfId="105" xr:uid="{00000000-0005-0000-0000-00003B000000}"/>
    <cellStyle name="Comma 11" xfId="106" xr:uid="{00000000-0005-0000-0000-00003C000000}"/>
    <cellStyle name="Comma 11 2" xfId="107" xr:uid="{00000000-0005-0000-0000-00003D000000}"/>
    <cellStyle name="Comma 12" xfId="108" xr:uid="{00000000-0005-0000-0000-00003E000000}"/>
    <cellStyle name="Comma 12 2" xfId="109" xr:uid="{00000000-0005-0000-0000-00003F000000}"/>
    <cellStyle name="Comma 2" xfId="7" xr:uid="{00000000-0005-0000-0000-000040000000}"/>
    <cellStyle name="Comma 2 2" xfId="110" xr:uid="{00000000-0005-0000-0000-000041000000}"/>
    <cellStyle name="Comma 2 2 2" xfId="111" xr:uid="{00000000-0005-0000-0000-000042000000}"/>
    <cellStyle name="Comma 2 3" xfId="112" xr:uid="{00000000-0005-0000-0000-000043000000}"/>
    <cellStyle name="Comma 3" xfId="8" xr:uid="{00000000-0005-0000-0000-000044000000}"/>
    <cellStyle name="Comma 3 2" xfId="113" xr:uid="{00000000-0005-0000-0000-000045000000}"/>
    <cellStyle name="Comma 3 2 2" xfId="114" xr:uid="{00000000-0005-0000-0000-000046000000}"/>
    <cellStyle name="Comma 3 3" xfId="115" xr:uid="{00000000-0005-0000-0000-000047000000}"/>
    <cellStyle name="Comma 4" xfId="9" xr:uid="{00000000-0005-0000-0000-000048000000}"/>
    <cellStyle name="Comma 4 2" xfId="116" xr:uid="{00000000-0005-0000-0000-000049000000}"/>
    <cellStyle name="Comma 4 2 2" xfId="117" xr:uid="{00000000-0005-0000-0000-00004A000000}"/>
    <cellStyle name="Comma 4 3" xfId="118" xr:uid="{00000000-0005-0000-0000-00004B000000}"/>
    <cellStyle name="Comma 5" xfId="119" xr:uid="{00000000-0005-0000-0000-00004C000000}"/>
    <cellStyle name="Comma 5 2" xfId="120" xr:uid="{00000000-0005-0000-0000-00004D000000}"/>
    <cellStyle name="Comma 6" xfId="121" xr:uid="{00000000-0005-0000-0000-00004E000000}"/>
    <cellStyle name="Comma 6 2" xfId="122" xr:uid="{00000000-0005-0000-0000-00004F000000}"/>
    <cellStyle name="Comma 6 2 2" xfId="123" xr:uid="{00000000-0005-0000-0000-000050000000}"/>
    <cellStyle name="Comma 6 3" xfId="124" xr:uid="{00000000-0005-0000-0000-000051000000}"/>
    <cellStyle name="Comma 7" xfId="125" xr:uid="{00000000-0005-0000-0000-000052000000}"/>
    <cellStyle name="Comma 7 2" xfId="126" xr:uid="{00000000-0005-0000-0000-000053000000}"/>
    <cellStyle name="Comma 7 2 2" xfId="127" xr:uid="{00000000-0005-0000-0000-000054000000}"/>
    <cellStyle name="Comma 7 3" xfId="128" xr:uid="{00000000-0005-0000-0000-000055000000}"/>
    <cellStyle name="Comma 8" xfId="129" xr:uid="{00000000-0005-0000-0000-000056000000}"/>
    <cellStyle name="Comma 8 2" xfId="130" xr:uid="{00000000-0005-0000-0000-000057000000}"/>
    <cellStyle name="Comma 8 2 2" xfId="131" xr:uid="{00000000-0005-0000-0000-000058000000}"/>
    <cellStyle name="Comma 8 3" xfId="132" xr:uid="{00000000-0005-0000-0000-000059000000}"/>
    <cellStyle name="Comma 9" xfId="133" xr:uid="{00000000-0005-0000-0000-00005A000000}"/>
    <cellStyle name="Comma 9 2" xfId="134" xr:uid="{00000000-0005-0000-0000-00005B000000}"/>
    <cellStyle name="Comma 9 2 2" xfId="135" xr:uid="{00000000-0005-0000-0000-00005C000000}"/>
    <cellStyle name="Comma 9 3" xfId="136" xr:uid="{00000000-0005-0000-0000-00005D000000}"/>
    <cellStyle name="Completed" xfId="137" xr:uid="{00000000-0005-0000-0000-00005E000000}"/>
    <cellStyle name="Coppo" xfId="138" xr:uid="{00000000-0005-0000-0000-00005F000000}"/>
    <cellStyle name="Currency 2" xfId="10" xr:uid="{00000000-0005-0000-0000-000060000000}"/>
    <cellStyle name="Currency 2 2" xfId="139" xr:uid="{00000000-0005-0000-0000-000061000000}"/>
    <cellStyle name="Currency 2 2 2" xfId="140" xr:uid="{00000000-0005-0000-0000-000062000000}"/>
    <cellStyle name="Currency 2 3" xfId="141" xr:uid="{00000000-0005-0000-0000-000063000000}"/>
    <cellStyle name="Currency 3" xfId="142" xr:uid="{00000000-0005-0000-0000-000064000000}"/>
    <cellStyle name="Currency 3 2" xfId="143" xr:uid="{00000000-0005-0000-0000-000065000000}"/>
    <cellStyle name="Currency 3 2 2" xfId="144" xr:uid="{00000000-0005-0000-0000-000066000000}"/>
    <cellStyle name="Currency 3 3" xfId="145" xr:uid="{00000000-0005-0000-0000-000067000000}"/>
    <cellStyle name="Currency 4" xfId="146" xr:uid="{00000000-0005-0000-0000-000068000000}"/>
    <cellStyle name="Currency 4 2" xfId="147" xr:uid="{00000000-0005-0000-0000-000069000000}"/>
    <cellStyle name="Currency 4 2 2" xfId="148" xr:uid="{00000000-0005-0000-0000-00006A000000}"/>
    <cellStyle name="Currency 4 3" xfId="149" xr:uid="{00000000-0005-0000-0000-00006B000000}"/>
    <cellStyle name="Currency 5" xfId="150" xr:uid="{00000000-0005-0000-0000-00006C000000}"/>
    <cellStyle name="Currency 5 2" xfId="151" xr:uid="{00000000-0005-0000-0000-00006D000000}"/>
    <cellStyle name="Currency 6" xfId="152" xr:uid="{00000000-0005-0000-0000-00006E000000}"/>
    <cellStyle name="Euro" xfId="153" xr:uid="{00000000-0005-0000-0000-00006F000000}"/>
    <cellStyle name="Euro 2" xfId="154" xr:uid="{00000000-0005-0000-0000-000070000000}"/>
    <cellStyle name="Euro 3" xfId="155" xr:uid="{00000000-0005-0000-0000-000071000000}"/>
    <cellStyle name="Existing" xfId="156" xr:uid="{00000000-0005-0000-0000-000072000000}"/>
    <cellStyle name="Good 2" xfId="157" xr:uid="{00000000-0005-0000-0000-000073000000}"/>
    <cellStyle name="Good 3" xfId="158" xr:uid="{00000000-0005-0000-0000-000074000000}"/>
    <cellStyle name="Good 4" xfId="159" xr:uid="{00000000-0005-0000-0000-000075000000}"/>
    <cellStyle name="Komma 2" xfId="160" xr:uid="{00000000-0005-0000-0000-000076000000}"/>
    <cellStyle name="Komma 2 2" xfId="161" xr:uid="{00000000-0005-0000-0000-000077000000}"/>
    <cellStyle name="LineItemError" xfId="162" xr:uid="{00000000-0005-0000-0000-000078000000}"/>
    <cellStyle name="Migliaia" xfId="347" builtinId="3"/>
    <cellStyle name="Migliaia [0] 2" xfId="4" xr:uid="{00000000-0005-0000-0000-00007A000000}"/>
    <cellStyle name="Migliaia 10" xfId="11" xr:uid="{00000000-0005-0000-0000-00007B000000}"/>
    <cellStyle name="Migliaia 11" xfId="12" xr:uid="{00000000-0005-0000-0000-00007C000000}"/>
    <cellStyle name="Migliaia 12" xfId="13" xr:uid="{00000000-0005-0000-0000-00007D000000}"/>
    <cellStyle name="Migliaia 13" xfId="14" xr:uid="{00000000-0005-0000-0000-00007E000000}"/>
    <cellStyle name="Migliaia 14" xfId="15" xr:uid="{00000000-0005-0000-0000-00007F000000}"/>
    <cellStyle name="Migliaia 15" xfId="16" xr:uid="{00000000-0005-0000-0000-000080000000}"/>
    <cellStyle name="Migliaia 16" xfId="43" xr:uid="{00000000-0005-0000-0000-000081000000}"/>
    <cellStyle name="Migliaia 17" xfId="345" xr:uid="{00000000-0005-0000-0000-000082000000}"/>
    <cellStyle name="Migliaia 18" xfId="346" xr:uid="{00000000-0005-0000-0000-000083000000}"/>
    <cellStyle name="Migliaia 19" xfId="350" xr:uid="{00000000-0005-0000-0000-000084000000}"/>
    <cellStyle name="Migliaia 2" xfId="1" xr:uid="{00000000-0005-0000-0000-000085000000}"/>
    <cellStyle name="Migliaia 2 2" xfId="17" xr:uid="{00000000-0005-0000-0000-000086000000}"/>
    <cellStyle name="Migliaia 2 2 2" xfId="18" xr:uid="{00000000-0005-0000-0000-000087000000}"/>
    <cellStyle name="Migliaia 2 3" xfId="39" xr:uid="{00000000-0005-0000-0000-000088000000}"/>
    <cellStyle name="Migliaia 3" xfId="19" xr:uid="{00000000-0005-0000-0000-000089000000}"/>
    <cellStyle name="Migliaia 4" xfId="20" xr:uid="{00000000-0005-0000-0000-00008A000000}"/>
    <cellStyle name="Migliaia 4 2" xfId="21" xr:uid="{00000000-0005-0000-0000-00008B000000}"/>
    <cellStyle name="Migliaia 4 3" xfId="42" xr:uid="{00000000-0005-0000-0000-00008C000000}"/>
    <cellStyle name="Migliaia 5" xfId="22" xr:uid="{00000000-0005-0000-0000-00008D000000}"/>
    <cellStyle name="Migliaia 6" xfId="23" xr:uid="{00000000-0005-0000-0000-00008E000000}"/>
    <cellStyle name="Migliaia 6 2" xfId="24" xr:uid="{00000000-0005-0000-0000-00008F000000}"/>
    <cellStyle name="Migliaia 7" xfId="25" xr:uid="{00000000-0005-0000-0000-000090000000}"/>
    <cellStyle name="Migliaia 7 2" xfId="26" xr:uid="{00000000-0005-0000-0000-000091000000}"/>
    <cellStyle name="Migliaia 8" xfId="27" xr:uid="{00000000-0005-0000-0000-000092000000}"/>
    <cellStyle name="Migliaia 9" xfId="28" xr:uid="{00000000-0005-0000-0000-000093000000}"/>
    <cellStyle name="Neutral 2" xfId="163" xr:uid="{00000000-0005-0000-0000-000094000000}"/>
    <cellStyle name="Neutral 3" xfId="164" xr:uid="{00000000-0005-0000-0000-000095000000}"/>
    <cellStyle name="Neutral 4" xfId="165" xr:uid="{00000000-0005-0000-0000-000096000000}"/>
    <cellStyle name="Normal 10" xfId="166" xr:uid="{00000000-0005-0000-0000-000097000000}"/>
    <cellStyle name="Normal 10 2" xfId="167" xr:uid="{00000000-0005-0000-0000-000098000000}"/>
    <cellStyle name="Normal 10 2 2" xfId="168" xr:uid="{00000000-0005-0000-0000-000099000000}"/>
    <cellStyle name="Normal 10 2 3" xfId="169" xr:uid="{00000000-0005-0000-0000-00009A000000}"/>
    <cellStyle name="Normal 10 2 4" xfId="170" xr:uid="{00000000-0005-0000-0000-00009B000000}"/>
    <cellStyle name="Normal 10 2 4 2" xfId="171" xr:uid="{00000000-0005-0000-0000-00009C000000}"/>
    <cellStyle name="Normal 10 2 5" xfId="172" xr:uid="{00000000-0005-0000-0000-00009D000000}"/>
    <cellStyle name="Normal 10 3" xfId="173" xr:uid="{00000000-0005-0000-0000-00009E000000}"/>
    <cellStyle name="Normal 10 4" xfId="174" xr:uid="{00000000-0005-0000-0000-00009F000000}"/>
    <cellStyle name="Normal 11" xfId="175" xr:uid="{00000000-0005-0000-0000-0000A0000000}"/>
    <cellStyle name="Normal 11 2" xfId="176" xr:uid="{00000000-0005-0000-0000-0000A1000000}"/>
    <cellStyle name="Normal 11 3" xfId="177" xr:uid="{00000000-0005-0000-0000-0000A2000000}"/>
    <cellStyle name="Normal 12" xfId="178" xr:uid="{00000000-0005-0000-0000-0000A3000000}"/>
    <cellStyle name="Normal 12 2" xfId="179" xr:uid="{00000000-0005-0000-0000-0000A4000000}"/>
    <cellStyle name="Normal 12 3" xfId="180" xr:uid="{00000000-0005-0000-0000-0000A5000000}"/>
    <cellStyle name="Normal 12 3 2" xfId="181" xr:uid="{00000000-0005-0000-0000-0000A6000000}"/>
    <cellStyle name="Normal 13" xfId="182" xr:uid="{00000000-0005-0000-0000-0000A7000000}"/>
    <cellStyle name="Normal 13 2" xfId="183" xr:uid="{00000000-0005-0000-0000-0000A8000000}"/>
    <cellStyle name="Normal 13 3" xfId="184" xr:uid="{00000000-0005-0000-0000-0000A9000000}"/>
    <cellStyle name="Normal 14" xfId="185" xr:uid="{00000000-0005-0000-0000-0000AA000000}"/>
    <cellStyle name="Normal 14 2" xfId="186" xr:uid="{00000000-0005-0000-0000-0000AB000000}"/>
    <cellStyle name="Normal 15" xfId="187" xr:uid="{00000000-0005-0000-0000-0000AC000000}"/>
    <cellStyle name="Normal 15 2" xfId="188" xr:uid="{00000000-0005-0000-0000-0000AD000000}"/>
    <cellStyle name="Normal 15 3" xfId="189" xr:uid="{00000000-0005-0000-0000-0000AE000000}"/>
    <cellStyle name="Normal 15 3 2" xfId="190" xr:uid="{00000000-0005-0000-0000-0000AF000000}"/>
    <cellStyle name="Normal 16" xfId="191" xr:uid="{00000000-0005-0000-0000-0000B0000000}"/>
    <cellStyle name="Normal 16 2" xfId="192" xr:uid="{00000000-0005-0000-0000-0000B1000000}"/>
    <cellStyle name="Normal 17" xfId="193" xr:uid="{00000000-0005-0000-0000-0000B2000000}"/>
    <cellStyle name="Normal 17 2" xfId="194" xr:uid="{00000000-0005-0000-0000-0000B3000000}"/>
    <cellStyle name="Normal 17 2 2" xfId="195" xr:uid="{00000000-0005-0000-0000-0000B4000000}"/>
    <cellStyle name="Normal 17 2 3" xfId="196" xr:uid="{00000000-0005-0000-0000-0000B5000000}"/>
    <cellStyle name="Normal 17 3" xfId="197" xr:uid="{00000000-0005-0000-0000-0000B6000000}"/>
    <cellStyle name="Normal 17 4" xfId="198" xr:uid="{00000000-0005-0000-0000-0000B7000000}"/>
    <cellStyle name="Normal 18" xfId="199" xr:uid="{00000000-0005-0000-0000-0000B8000000}"/>
    <cellStyle name="Normal 18 2" xfId="200" xr:uid="{00000000-0005-0000-0000-0000B9000000}"/>
    <cellStyle name="Normal 18 3" xfId="201" xr:uid="{00000000-0005-0000-0000-0000BA000000}"/>
    <cellStyle name="Normal 18 4" xfId="202" xr:uid="{00000000-0005-0000-0000-0000BB000000}"/>
    <cellStyle name="Normal 19" xfId="203" xr:uid="{00000000-0005-0000-0000-0000BC000000}"/>
    <cellStyle name="Normal 19 2" xfId="204" xr:uid="{00000000-0005-0000-0000-0000BD000000}"/>
    <cellStyle name="Normal 19 3" xfId="205" xr:uid="{00000000-0005-0000-0000-0000BE000000}"/>
    <cellStyle name="Normal 19 4" xfId="206" xr:uid="{00000000-0005-0000-0000-0000BF000000}"/>
    <cellStyle name="Normal 19 5" xfId="207" xr:uid="{00000000-0005-0000-0000-0000C0000000}"/>
    <cellStyle name="Normal 19 5 2" xfId="208" xr:uid="{00000000-0005-0000-0000-0000C1000000}"/>
    <cellStyle name="Normal 19 5 2 2" xfId="209" xr:uid="{00000000-0005-0000-0000-0000C2000000}"/>
    <cellStyle name="Normal 19 5 3" xfId="210" xr:uid="{00000000-0005-0000-0000-0000C3000000}"/>
    <cellStyle name="Normal 19 6" xfId="211" xr:uid="{00000000-0005-0000-0000-0000C4000000}"/>
    <cellStyle name="Normal 19 7" xfId="212" xr:uid="{00000000-0005-0000-0000-0000C5000000}"/>
    <cellStyle name="Normal 19 7 2" xfId="213" xr:uid="{00000000-0005-0000-0000-0000C6000000}"/>
    <cellStyle name="Normal 2" xfId="214" xr:uid="{00000000-0005-0000-0000-0000C7000000}"/>
    <cellStyle name="Normal 2 2" xfId="215" xr:uid="{00000000-0005-0000-0000-0000C8000000}"/>
    <cellStyle name="Normal 2 2 2" xfId="216" xr:uid="{00000000-0005-0000-0000-0000C9000000}"/>
    <cellStyle name="Normal 2 2 2 2" xfId="217" xr:uid="{00000000-0005-0000-0000-0000CA000000}"/>
    <cellStyle name="Normal 2 2 2 3" xfId="218" xr:uid="{00000000-0005-0000-0000-0000CB000000}"/>
    <cellStyle name="Normal 2 2 3" xfId="219" xr:uid="{00000000-0005-0000-0000-0000CC000000}"/>
    <cellStyle name="Normal 2 2 4" xfId="220" xr:uid="{00000000-0005-0000-0000-0000CD000000}"/>
    <cellStyle name="Normal 2 2 5" xfId="221" xr:uid="{00000000-0005-0000-0000-0000CE000000}"/>
    <cellStyle name="Normal 2 3" xfId="222" xr:uid="{00000000-0005-0000-0000-0000CF000000}"/>
    <cellStyle name="Normal 2 3 2" xfId="223" xr:uid="{00000000-0005-0000-0000-0000D0000000}"/>
    <cellStyle name="Normal 2 3 3" xfId="224" xr:uid="{00000000-0005-0000-0000-0000D1000000}"/>
    <cellStyle name="Normal 2 4" xfId="225" xr:uid="{00000000-0005-0000-0000-0000D2000000}"/>
    <cellStyle name="Normal 2 5" xfId="226" xr:uid="{00000000-0005-0000-0000-0000D3000000}"/>
    <cellStyle name="Normal 2 6" xfId="227" xr:uid="{00000000-0005-0000-0000-0000D4000000}"/>
    <cellStyle name="Normal 2 7" xfId="228" xr:uid="{00000000-0005-0000-0000-0000D5000000}"/>
    <cellStyle name="Normal 20" xfId="229" xr:uid="{00000000-0005-0000-0000-0000D6000000}"/>
    <cellStyle name="Normal 20 2" xfId="230" xr:uid="{00000000-0005-0000-0000-0000D7000000}"/>
    <cellStyle name="Normal 20 3" xfId="231" xr:uid="{00000000-0005-0000-0000-0000D8000000}"/>
    <cellStyle name="Normal 21" xfId="232" xr:uid="{00000000-0005-0000-0000-0000D9000000}"/>
    <cellStyle name="Normal 21 2" xfId="233" xr:uid="{00000000-0005-0000-0000-0000DA000000}"/>
    <cellStyle name="Normal 21 3" xfId="234" xr:uid="{00000000-0005-0000-0000-0000DB000000}"/>
    <cellStyle name="Normal 22" xfId="235" xr:uid="{00000000-0005-0000-0000-0000DC000000}"/>
    <cellStyle name="Normal 22 2" xfId="236" xr:uid="{00000000-0005-0000-0000-0000DD000000}"/>
    <cellStyle name="Normal 23" xfId="237" xr:uid="{00000000-0005-0000-0000-0000DE000000}"/>
    <cellStyle name="Normal 23 2" xfId="238" xr:uid="{00000000-0005-0000-0000-0000DF000000}"/>
    <cellStyle name="Normal 23 3" xfId="239" xr:uid="{00000000-0005-0000-0000-0000E0000000}"/>
    <cellStyle name="Normal 24" xfId="240" xr:uid="{00000000-0005-0000-0000-0000E1000000}"/>
    <cellStyle name="Normal 24 2" xfId="241" xr:uid="{00000000-0005-0000-0000-0000E2000000}"/>
    <cellStyle name="Normal 25" xfId="242" xr:uid="{00000000-0005-0000-0000-0000E3000000}"/>
    <cellStyle name="Normal 25 2" xfId="243" xr:uid="{00000000-0005-0000-0000-0000E4000000}"/>
    <cellStyle name="Normal 25 3" xfId="244" xr:uid="{00000000-0005-0000-0000-0000E5000000}"/>
    <cellStyle name="Normal 25 3 2" xfId="245" xr:uid="{00000000-0005-0000-0000-0000E6000000}"/>
    <cellStyle name="Normal 25 3 2 2" xfId="246" xr:uid="{00000000-0005-0000-0000-0000E7000000}"/>
    <cellStyle name="Normal 25 3 3" xfId="247" xr:uid="{00000000-0005-0000-0000-0000E8000000}"/>
    <cellStyle name="Normal 25 4" xfId="248" xr:uid="{00000000-0005-0000-0000-0000E9000000}"/>
    <cellStyle name="Normal 25 4 2" xfId="249" xr:uid="{00000000-0005-0000-0000-0000EA000000}"/>
    <cellStyle name="Normal 26" xfId="250" xr:uid="{00000000-0005-0000-0000-0000EB000000}"/>
    <cellStyle name="Normal 26 2" xfId="251" xr:uid="{00000000-0005-0000-0000-0000EC000000}"/>
    <cellStyle name="Normal 27" xfId="252" xr:uid="{00000000-0005-0000-0000-0000ED000000}"/>
    <cellStyle name="Normal 27 2" xfId="253" xr:uid="{00000000-0005-0000-0000-0000EE000000}"/>
    <cellStyle name="Normal 28" xfId="254" xr:uid="{00000000-0005-0000-0000-0000EF000000}"/>
    <cellStyle name="Normal 29" xfId="255" xr:uid="{00000000-0005-0000-0000-0000F0000000}"/>
    <cellStyle name="Normal 3" xfId="29" xr:uid="{00000000-0005-0000-0000-0000F1000000}"/>
    <cellStyle name="Normal 3 2" xfId="256" xr:uid="{00000000-0005-0000-0000-0000F2000000}"/>
    <cellStyle name="Normal 3 2 2" xfId="257" xr:uid="{00000000-0005-0000-0000-0000F3000000}"/>
    <cellStyle name="Normal 3 2 3" xfId="258" xr:uid="{00000000-0005-0000-0000-0000F4000000}"/>
    <cellStyle name="Normal 3 3" xfId="259" xr:uid="{00000000-0005-0000-0000-0000F5000000}"/>
    <cellStyle name="Normal 3 4" xfId="260" xr:uid="{00000000-0005-0000-0000-0000F6000000}"/>
    <cellStyle name="Normal 3 5" xfId="261" xr:uid="{00000000-0005-0000-0000-0000F7000000}"/>
    <cellStyle name="Normal 3 6" xfId="262" xr:uid="{00000000-0005-0000-0000-0000F8000000}"/>
    <cellStyle name="Normal 30" xfId="263" xr:uid="{00000000-0005-0000-0000-0000F9000000}"/>
    <cellStyle name="Normal 30 2" xfId="264" xr:uid="{00000000-0005-0000-0000-0000FA000000}"/>
    <cellStyle name="Normal 4" xfId="265" xr:uid="{00000000-0005-0000-0000-0000FB000000}"/>
    <cellStyle name="Normal 4 2" xfId="266" xr:uid="{00000000-0005-0000-0000-0000FC000000}"/>
    <cellStyle name="Normal 4 2 2" xfId="267" xr:uid="{00000000-0005-0000-0000-0000FD000000}"/>
    <cellStyle name="Normal 4 2 3" xfId="268" xr:uid="{00000000-0005-0000-0000-0000FE000000}"/>
    <cellStyle name="Normal 4 3" xfId="269" xr:uid="{00000000-0005-0000-0000-0000FF000000}"/>
    <cellStyle name="Normal 4 4" xfId="270" xr:uid="{00000000-0005-0000-0000-000000010000}"/>
    <cellStyle name="Normal 5" xfId="271" xr:uid="{00000000-0005-0000-0000-000001010000}"/>
    <cellStyle name="Normal 5 2" xfId="272" xr:uid="{00000000-0005-0000-0000-000002010000}"/>
    <cellStyle name="Normal 5 2 2" xfId="273" xr:uid="{00000000-0005-0000-0000-000003010000}"/>
    <cellStyle name="Normal 5 2 3" xfId="274" xr:uid="{00000000-0005-0000-0000-000004010000}"/>
    <cellStyle name="Normal 5 3" xfId="275" xr:uid="{00000000-0005-0000-0000-000005010000}"/>
    <cellStyle name="Normal 5 4" xfId="276" xr:uid="{00000000-0005-0000-0000-000006010000}"/>
    <cellStyle name="Normal 6" xfId="277" xr:uid="{00000000-0005-0000-0000-000007010000}"/>
    <cellStyle name="Normal 6 2" xfId="278" xr:uid="{00000000-0005-0000-0000-000008010000}"/>
    <cellStyle name="Normal 6 2 2" xfId="279" xr:uid="{00000000-0005-0000-0000-000009010000}"/>
    <cellStyle name="Normal 6 2 3" xfId="280" xr:uid="{00000000-0005-0000-0000-00000A010000}"/>
    <cellStyle name="Normal 6 3" xfId="281" xr:uid="{00000000-0005-0000-0000-00000B010000}"/>
    <cellStyle name="Normal 6 4" xfId="282" xr:uid="{00000000-0005-0000-0000-00000C010000}"/>
    <cellStyle name="Normal 7" xfId="283" xr:uid="{00000000-0005-0000-0000-00000D010000}"/>
    <cellStyle name="Normal 7 2" xfId="284" xr:uid="{00000000-0005-0000-0000-00000E010000}"/>
    <cellStyle name="Normal 7 2 2" xfId="285" xr:uid="{00000000-0005-0000-0000-00000F010000}"/>
    <cellStyle name="Normal 7 2 3" xfId="286" xr:uid="{00000000-0005-0000-0000-000010010000}"/>
    <cellStyle name="Normal 7 3" xfId="287" xr:uid="{00000000-0005-0000-0000-000011010000}"/>
    <cellStyle name="Normal 7 4" xfId="288" xr:uid="{00000000-0005-0000-0000-000012010000}"/>
    <cellStyle name="Normal 8" xfId="289" xr:uid="{00000000-0005-0000-0000-000013010000}"/>
    <cellStyle name="Normal 8 2" xfId="290" xr:uid="{00000000-0005-0000-0000-000014010000}"/>
    <cellStyle name="Normal 8 2 2" xfId="291" xr:uid="{00000000-0005-0000-0000-000015010000}"/>
    <cellStyle name="Normal 8 2 3" xfId="292" xr:uid="{00000000-0005-0000-0000-000016010000}"/>
    <cellStyle name="Normal 8 3" xfId="293" xr:uid="{00000000-0005-0000-0000-000017010000}"/>
    <cellStyle name="Normal 8 4" xfId="294" xr:uid="{00000000-0005-0000-0000-000018010000}"/>
    <cellStyle name="Normal 9" xfId="295" xr:uid="{00000000-0005-0000-0000-000019010000}"/>
    <cellStyle name="Normal 9 2" xfId="296" xr:uid="{00000000-0005-0000-0000-00001A010000}"/>
    <cellStyle name="Normal 9 2 2" xfId="297" xr:uid="{00000000-0005-0000-0000-00001B010000}"/>
    <cellStyle name="Normal 9 2 2 2" xfId="298" xr:uid="{00000000-0005-0000-0000-00001C010000}"/>
    <cellStyle name="Normal 9 2 2 3" xfId="299" xr:uid="{00000000-0005-0000-0000-00001D010000}"/>
    <cellStyle name="Normal 9 2 2 4" xfId="300" xr:uid="{00000000-0005-0000-0000-00001E010000}"/>
    <cellStyle name="Normal 9 2 2 4 2" xfId="301" xr:uid="{00000000-0005-0000-0000-00001F010000}"/>
    <cellStyle name="Normal 9 2 2 5" xfId="302" xr:uid="{00000000-0005-0000-0000-000020010000}"/>
    <cellStyle name="Normal 9 2 3" xfId="303" xr:uid="{00000000-0005-0000-0000-000021010000}"/>
    <cellStyle name="Normal 9 2 4" xfId="304" xr:uid="{00000000-0005-0000-0000-000022010000}"/>
    <cellStyle name="Normal 9 3" xfId="305" xr:uid="{00000000-0005-0000-0000-000023010000}"/>
    <cellStyle name="Normal 9 4" xfId="306" xr:uid="{00000000-0005-0000-0000-000024010000}"/>
    <cellStyle name="Normal1" xfId="307" xr:uid="{00000000-0005-0000-0000-000025010000}"/>
    <cellStyle name="Normale" xfId="0" builtinId="0"/>
    <cellStyle name="Normale 2" xfId="2" xr:uid="{00000000-0005-0000-0000-000027010000}"/>
    <cellStyle name="Normale 3" xfId="30" xr:uid="{00000000-0005-0000-0000-000028010000}"/>
    <cellStyle name="Normale 3 2" xfId="31" xr:uid="{00000000-0005-0000-0000-000029010000}"/>
    <cellStyle name="Normale 3 3" xfId="40" xr:uid="{00000000-0005-0000-0000-00002A010000}"/>
    <cellStyle name="Normale 3 3 2" xfId="41" xr:uid="{00000000-0005-0000-0000-00002B010000}"/>
    <cellStyle name="Normale 4" xfId="6" xr:uid="{00000000-0005-0000-0000-00002C010000}"/>
    <cellStyle name="Normale 5" xfId="32" xr:uid="{00000000-0005-0000-0000-00002D010000}"/>
    <cellStyle name="Normale 6" xfId="44" xr:uid="{00000000-0005-0000-0000-00002E010000}"/>
    <cellStyle name="Normale 7" xfId="343" xr:uid="{00000000-0005-0000-0000-00002F010000}"/>
    <cellStyle name="Normale 8" xfId="348" xr:uid="{00000000-0005-0000-0000-000030010000}"/>
    <cellStyle name="Note 2" xfId="308" xr:uid="{00000000-0005-0000-0000-000031010000}"/>
    <cellStyle name="Note 2 2" xfId="309" xr:uid="{00000000-0005-0000-0000-000032010000}"/>
    <cellStyle name="Note 3" xfId="310" xr:uid="{00000000-0005-0000-0000-000033010000}"/>
    <cellStyle name="Note 4" xfId="311" xr:uid="{00000000-0005-0000-0000-000034010000}"/>
    <cellStyle name="notUpdatable" xfId="312" xr:uid="{00000000-0005-0000-0000-000035010000}"/>
    <cellStyle name="Optional" xfId="313" xr:uid="{00000000-0005-0000-0000-000036010000}"/>
    <cellStyle name="Optional 2" xfId="314" xr:uid="{00000000-0005-0000-0000-000037010000}"/>
    <cellStyle name="Optional2" xfId="315" xr:uid="{00000000-0005-0000-0000-000038010000}"/>
    <cellStyle name="Optional2 2" xfId="316" xr:uid="{00000000-0005-0000-0000-000039010000}"/>
    <cellStyle name="OptionalForCommit" xfId="317" xr:uid="{00000000-0005-0000-0000-00003A010000}"/>
    <cellStyle name="OverridingAllowed" xfId="318" xr:uid="{00000000-0005-0000-0000-00003B010000}"/>
    <cellStyle name="OverridingAllowed 2" xfId="319" xr:uid="{00000000-0005-0000-0000-00003C010000}"/>
    <cellStyle name="Percent 2" xfId="33" xr:uid="{00000000-0005-0000-0000-00003D010000}"/>
    <cellStyle name="Percent 2 2" xfId="320" xr:uid="{00000000-0005-0000-0000-00003E010000}"/>
    <cellStyle name="Percent 3" xfId="321" xr:uid="{00000000-0005-0000-0000-00003F010000}"/>
    <cellStyle name="Percent 3 2" xfId="322" xr:uid="{00000000-0005-0000-0000-000040010000}"/>
    <cellStyle name="Percent 4" xfId="323" xr:uid="{00000000-0005-0000-0000-000041010000}"/>
    <cellStyle name="Percent 4 2" xfId="324" xr:uid="{00000000-0005-0000-0000-000042010000}"/>
    <cellStyle name="Percent 5" xfId="325" xr:uid="{00000000-0005-0000-0000-000043010000}"/>
    <cellStyle name="Percent 5 2" xfId="326" xr:uid="{00000000-0005-0000-0000-000044010000}"/>
    <cellStyle name="Percent 6" xfId="327" xr:uid="{00000000-0005-0000-0000-000045010000}"/>
    <cellStyle name="Percent 6 2" xfId="328" xr:uid="{00000000-0005-0000-0000-000046010000}"/>
    <cellStyle name="Percent 7" xfId="329" xr:uid="{00000000-0005-0000-0000-000047010000}"/>
    <cellStyle name="Percent 8" xfId="330" xr:uid="{00000000-0005-0000-0000-000048010000}"/>
    <cellStyle name="Percentuale" xfId="344" builtinId="5"/>
    <cellStyle name="Percentuale 2" xfId="34" xr:uid="{00000000-0005-0000-0000-00004A010000}"/>
    <cellStyle name="Percentuale 2 2" xfId="35" xr:uid="{00000000-0005-0000-0000-00004B010000}"/>
    <cellStyle name="Percentuale 3" xfId="36" xr:uid="{00000000-0005-0000-0000-00004C010000}"/>
    <cellStyle name="Percentuale 4" xfId="45" xr:uid="{00000000-0005-0000-0000-00004D010000}"/>
    <cellStyle name="Required" xfId="331" xr:uid="{00000000-0005-0000-0000-00004E010000}"/>
    <cellStyle name="Required2" xfId="332" xr:uid="{00000000-0005-0000-0000-00004F010000}"/>
    <cellStyle name="Sample" xfId="333" xr:uid="{00000000-0005-0000-0000-000050010000}"/>
    <cellStyle name="SkipRequired" xfId="334" xr:uid="{00000000-0005-0000-0000-000051010000}"/>
    <cellStyle name="Standaard 2" xfId="335" xr:uid="{00000000-0005-0000-0000-000052010000}"/>
    <cellStyle name="Standard 4" xfId="336" xr:uid="{00000000-0005-0000-0000-000053010000}"/>
    <cellStyle name="StringOnly" xfId="337" xr:uid="{00000000-0005-0000-0000-000054010000}"/>
    <cellStyle name="Title 2" xfId="338" xr:uid="{00000000-0005-0000-0000-000055010000}"/>
    <cellStyle name="Valuta" xfId="351" builtinId="4"/>
    <cellStyle name="Valuta 2" xfId="3" xr:uid="{00000000-0005-0000-0000-000057010000}"/>
    <cellStyle name="Valuta 2 2" xfId="37" xr:uid="{00000000-0005-0000-0000-000058010000}"/>
    <cellStyle name="Valuta 2 3" xfId="38" xr:uid="{00000000-0005-0000-0000-000059010000}"/>
    <cellStyle name="Valuta 3" xfId="5" xr:uid="{00000000-0005-0000-0000-00005A010000}"/>
    <cellStyle name="Valuta 4" xfId="339" xr:uid="{00000000-0005-0000-0000-00005B010000}"/>
    <cellStyle name="Valuta 5" xfId="349" xr:uid="{00000000-0005-0000-0000-00005C010000}"/>
    <cellStyle name="Warnings" xfId="340" xr:uid="{00000000-0005-0000-0000-00005D010000}"/>
    <cellStyle name="Warnings 2" xfId="341" xr:uid="{00000000-0005-0000-0000-00005E010000}"/>
    <cellStyle name="Κανονικό 2" xfId="342" xr:uid="{00000000-0005-0000-0000-00005F010000}"/>
  </cellStyles>
  <dxfs count="183">
    <dxf>
      <font>
        <color theme="0"/>
      </font>
    </dxf>
    <dxf>
      <font>
        <b/>
        <i val="0"/>
        <color theme="8"/>
      </font>
      <fill>
        <patternFill patternType="solid">
          <fgColor auto="1"/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color theme="0"/>
      </font>
    </dxf>
    <dxf>
      <font>
        <color theme="0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color theme="5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/>
        <u/>
        <color rgb="FF00B05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ont>
        <b/>
        <i val="0"/>
        <color theme="0"/>
      </font>
      <fill>
        <patternFill>
          <bgColor theme="8"/>
        </patternFill>
      </fill>
    </dxf>
    <dxf>
      <font>
        <color theme="0"/>
      </font>
    </dxf>
    <dxf>
      <font>
        <sz val="8"/>
      </font>
      <numFmt numFmtId="169" formatCode="#,##0.00\ &quot;€&quot;"/>
      <alignment horizontal="center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border diagonalUp="0" diagonalDown="0">
        <left style="hair">
          <color indexed="64"/>
        </left>
        <right style="hair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relative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relativeIndent="0" justifyLastLine="0" shrinkToFit="0" readingOrder="0"/>
    </dxf>
    <dxf>
      <border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</dxf>
    <dxf>
      <numFmt numFmtId="188" formatCode="&quot;€&quot;#,##0.00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justifyLastLine="0" shrinkToFit="1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83" formatCode="0.000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relativeIndent="0" justifyLastLine="0" shrinkToFit="0" readingOrder="0"/>
    </dxf>
    <dxf>
      <numFmt numFmtId="169" formatCode="#,##0.00\ &quot;€&quot;"/>
      <alignment horizontal="center" vertical="center" textRotation="0" wrapText="0" relativeIndent="0" justifyLastLine="0" shrinkToFit="0" readingOrder="0"/>
    </dxf>
    <dxf>
      <numFmt numFmtId="169" formatCode="#,##0.00\ &quot;€&quot;"/>
      <alignment horizontal="center" vertical="center" textRotation="0" wrapText="0" relativeIndent="0" justifyLastLine="0" shrinkToFit="0" readingOrder="0"/>
    </dxf>
    <dxf>
      <numFmt numFmtId="169" formatCode="#,##0.00\ &quot;€&quot;"/>
      <alignment horizontal="center" vertical="center" textRotation="0" wrapText="0" relativeIndent="0" justifyLastLine="0" shrinkToFit="0" readingOrder="0"/>
    </dxf>
    <dxf>
      <numFmt numFmtId="169" formatCode="#,##0.00\ &quot;€&quot;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1" formatCode="0.0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9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right" vertical="center" textRotation="0" wrapText="0" relativeIndent="0" justifyLastLine="0" shrinkToFit="0" readingOrder="0"/>
    </dxf>
    <dxf>
      <numFmt numFmtId="169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</dxfs>
  <tableStyles count="0" defaultTableStyle="TableStyleMedium9" defaultPivotStyle="PivotStyleLight16"/>
  <colors>
    <mruColors>
      <color rgb="FF33CC33"/>
      <color rgb="FFDAA600"/>
      <color rgb="FFCC0099"/>
      <color rgb="FF660066"/>
      <color rgb="FF9900CC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Scroll" dx="25" fmlaLink="$B$3" max="1000" page="4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ppo1896shop.it/chi-siamo" TargetMode="External"/><Relationship Id="rId2" Type="http://schemas.openxmlformats.org/officeDocument/2006/relationships/image" Target="../media/image6.png"/><Relationship Id="rId1" Type="http://schemas.openxmlformats.org/officeDocument/2006/relationships/hyperlink" Target="https://bhpcfragrance.com/" TargetMode="Externa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31749</xdr:colOff>
      <xdr:row>0</xdr:row>
      <xdr:rowOff>41276</xdr:rowOff>
    </xdr:from>
    <xdr:to>
      <xdr:col>6</xdr:col>
      <xdr:colOff>476251</xdr:colOff>
      <xdr:row>6</xdr:row>
      <xdr:rowOff>128030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1749" y="41276"/>
          <a:ext cx="4927602" cy="11535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38097</xdr:colOff>
      <xdr:row>0</xdr:row>
      <xdr:rowOff>19051</xdr:rowOff>
    </xdr:from>
    <xdr:to>
      <xdr:col>6</xdr:col>
      <xdr:colOff>457200</xdr:colOff>
      <xdr:row>6</xdr:row>
      <xdr:rowOff>136687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097" y="19051"/>
          <a:ext cx="4959353" cy="10701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107947</xdr:colOff>
      <xdr:row>0</xdr:row>
      <xdr:rowOff>19051</xdr:rowOff>
    </xdr:from>
    <xdr:to>
      <xdr:col>5</xdr:col>
      <xdr:colOff>152400</xdr:colOff>
      <xdr:row>6</xdr:row>
      <xdr:rowOff>134779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7947" y="19051"/>
          <a:ext cx="4845053" cy="10936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22222</xdr:colOff>
      <xdr:row>0</xdr:row>
      <xdr:rowOff>19050</xdr:rowOff>
    </xdr:from>
    <xdr:to>
      <xdr:col>5</xdr:col>
      <xdr:colOff>215900</xdr:colOff>
      <xdr:row>6</xdr:row>
      <xdr:rowOff>133349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22" y="19050"/>
          <a:ext cx="5222878" cy="10985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41273</xdr:colOff>
      <xdr:row>0</xdr:row>
      <xdr:rowOff>19050</xdr:rowOff>
    </xdr:from>
    <xdr:to>
      <xdr:col>6</xdr:col>
      <xdr:colOff>400050</xdr:colOff>
      <xdr:row>6</xdr:row>
      <xdr:rowOff>140898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273" y="19050"/>
          <a:ext cx="4899027" cy="1106098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58</xdr:row>
      <xdr:rowOff>15875</xdr:rowOff>
    </xdr:from>
    <xdr:to>
      <xdr:col>10</xdr:col>
      <xdr:colOff>390525</xdr:colOff>
      <xdr:row>63</xdr:row>
      <xdr:rowOff>170462</xdr:rowOff>
    </xdr:to>
    <xdr:pic>
      <xdr:nvPicPr>
        <xdr:cNvPr id="4" name="Immagine 3" descr="Firma.JP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521325" y="10620375"/>
          <a:ext cx="1885950" cy="103723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34922</xdr:colOff>
      <xdr:row>0</xdr:row>
      <xdr:rowOff>19050</xdr:rowOff>
    </xdr:from>
    <xdr:to>
      <xdr:col>6</xdr:col>
      <xdr:colOff>406400</xdr:colOff>
      <xdr:row>6</xdr:row>
      <xdr:rowOff>138826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922" y="19050"/>
          <a:ext cx="4873628" cy="1104026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552450</xdr:colOff>
      <xdr:row>112</xdr:row>
      <xdr:rowOff>57686</xdr:rowOff>
    </xdr:from>
    <xdr:to>
      <xdr:col>10</xdr:col>
      <xdr:colOff>333375</xdr:colOff>
      <xdr:row>117</xdr:row>
      <xdr:rowOff>183698</xdr:rowOff>
    </xdr:to>
    <xdr:pic>
      <xdr:nvPicPr>
        <xdr:cNvPr id="7" name="Immagine 6" descr="Firma.JPG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53025" y="21184136"/>
          <a:ext cx="1828800" cy="104993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723900</xdr:colOff>
          <xdr:row>11</xdr:row>
          <xdr:rowOff>190500</xdr:rowOff>
        </xdr:from>
        <xdr:to>
          <xdr:col>4</xdr:col>
          <xdr:colOff>457200</xdr:colOff>
          <xdr:row>13</xdr:row>
          <xdr:rowOff>76200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730250</xdr:colOff>
          <xdr:row>22</xdr:row>
          <xdr:rowOff>114300</xdr:rowOff>
        </xdr:from>
        <xdr:to>
          <xdr:col>7</xdr:col>
          <xdr:colOff>971550</xdr:colOff>
          <xdr:row>24</xdr:row>
          <xdr:rowOff>31750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273050</xdr:colOff>
          <xdr:row>25</xdr:row>
          <xdr:rowOff>69850</xdr:rowOff>
        </xdr:from>
        <xdr:to>
          <xdr:col>5</xdr:col>
          <xdr:colOff>501650</xdr:colOff>
          <xdr:row>25</xdr:row>
          <xdr:rowOff>184150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863600</xdr:colOff>
          <xdr:row>25</xdr:row>
          <xdr:rowOff>57150</xdr:rowOff>
        </xdr:from>
        <xdr:to>
          <xdr:col>6</xdr:col>
          <xdr:colOff>1066800</xdr:colOff>
          <xdr:row>25</xdr:row>
          <xdr:rowOff>203200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889000</xdr:colOff>
          <xdr:row>25</xdr:row>
          <xdr:rowOff>44450</xdr:rowOff>
        </xdr:from>
        <xdr:to>
          <xdr:col>8</xdr:col>
          <xdr:colOff>12700</xdr:colOff>
          <xdr:row>25</xdr:row>
          <xdr:rowOff>228600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901700</xdr:colOff>
          <xdr:row>25</xdr:row>
          <xdr:rowOff>50800</xdr:rowOff>
        </xdr:from>
        <xdr:to>
          <xdr:col>8</xdr:col>
          <xdr:colOff>1149350</xdr:colOff>
          <xdr:row>25</xdr:row>
          <xdr:rowOff>196850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0</xdr:row>
      <xdr:rowOff>38100</xdr:rowOff>
    </xdr:from>
    <xdr:to>
      <xdr:col>22</xdr:col>
      <xdr:colOff>200025</xdr:colOff>
      <xdr:row>7</xdr:row>
      <xdr:rowOff>152400</xdr:rowOff>
    </xdr:to>
    <xdr:sp macro="" textlink="">
      <xdr:nvSpPr>
        <xdr:cNvPr id="102" name="rettangolo_filtri">
          <a:extLst>
            <a:ext uri="{FF2B5EF4-FFF2-40B4-BE49-F238E27FC236}">
              <a16:creationId xmlns:a16="http://schemas.microsoft.com/office/drawing/2014/main" id="{00000000-0008-0000-0F00-000066000000}"/>
            </a:ext>
          </a:extLst>
        </xdr:cNvPr>
        <xdr:cNvSpPr/>
      </xdr:nvSpPr>
      <xdr:spPr>
        <a:xfrm>
          <a:off x="13068300" y="38100"/>
          <a:ext cx="4591050" cy="11620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3</xdr:col>
      <xdr:colOff>147088</xdr:colOff>
      <xdr:row>15</xdr:row>
      <xdr:rowOff>184743</xdr:rowOff>
    </xdr:from>
    <xdr:to>
      <xdr:col>3</xdr:col>
      <xdr:colOff>1505989</xdr:colOff>
      <xdr:row>18</xdr:row>
      <xdr:rowOff>148358</xdr:rowOff>
    </xdr:to>
    <xdr:sp macro="[0]!showClientTab" textlink="">
      <xdr:nvSpPr>
        <xdr:cNvPr id="16" name="backArrow" hidden="1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397933" y="2589683"/>
          <a:ext cx="1351492" cy="541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oneCell">
    <xdr:from>
      <xdr:col>52</xdr:col>
      <xdr:colOff>44044</xdr:colOff>
      <xdr:row>8</xdr:row>
      <xdr:rowOff>12453</xdr:rowOff>
    </xdr:from>
    <xdr:to>
      <xdr:col>54</xdr:col>
      <xdr:colOff>140959</xdr:colOff>
      <xdr:row>16</xdr:row>
      <xdr:rowOff>454</xdr:rowOff>
    </xdr:to>
    <xdr:pic>
      <xdr:nvPicPr>
        <xdr:cNvPr id="32" name="bhpc_logo" descr="bhpc logo-Photoroom.png-Photoroom.png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089744" y="1492003"/>
          <a:ext cx="1401839" cy="1483426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0</xdr:row>
      <xdr:rowOff>1</xdr:rowOff>
    </xdr:from>
    <xdr:to>
      <xdr:col>4</xdr:col>
      <xdr:colOff>14655</xdr:colOff>
      <xdr:row>5</xdr:row>
      <xdr:rowOff>98030</xdr:rowOff>
    </xdr:to>
    <xdr:pic>
      <xdr:nvPicPr>
        <xdr:cNvPr id="36" name="logoCoppo" descr="logo coppo-Photoroom.png-Photoroom.png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" y="1"/>
          <a:ext cx="2017346" cy="660248"/>
        </a:xfrm>
        <a:prstGeom prst="rect">
          <a:avLst/>
        </a:prstGeom>
      </xdr:spPr>
    </xdr:pic>
    <xdr:clientData/>
  </xdr:twoCellAnchor>
  <xdr:twoCellAnchor editAs="oneCell">
    <xdr:from>
      <xdr:col>49</xdr:col>
      <xdr:colOff>27751</xdr:colOff>
      <xdr:row>32</xdr:row>
      <xdr:rowOff>145807</xdr:rowOff>
    </xdr:from>
    <xdr:to>
      <xdr:col>60</xdr:col>
      <xdr:colOff>2353731</xdr:colOff>
      <xdr:row>39</xdr:row>
      <xdr:rowOff>15517</xdr:rowOff>
    </xdr:to>
    <xdr:grpSp>
      <xdr:nvGrpSpPr>
        <xdr:cNvPr id="60" name="statusBar" hidden="1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GrpSpPr/>
      </xdr:nvGrpSpPr>
      <xdr:grpSpPr>
        <a:xfrm>
          <a:off x="36641851" y="5879857"/>
          <a:ext cx="10333330" cy="1203210"/>
          <a:chOff x="6605709" y="6356352"/>
          <a:chExt cx="10282202" cy="1192098"/>
        </a:xfrm>
      </xdr:grpSpPr>
      <xdr:sp macro="[0]!setStatus1" textlink="">
        <xdr:nvSpPr>
          <xdr:cNvPr id="41" name="confirmed" hidden="1">
            <a:extLst>
              <a:ext uri="{FF2B5EF4-FFF2-40B4-BE49-F238E27FC236}">
                <a16:creationId xmlns:a16="http://schemas.microsoft.com/office/drawing/2014/main" id="{00000000-0008-0000-0F00-000029000000}"/>
              </a:ext>
            </a:extLst>
          </xdr:cNvPr>
          <xdr:cNvSpPr/>
        </xdr:nvSpPr>
        <xdr:spPr>
          <a:xfrm>
            <a:off x="6605709" y="6356352"/>
            <a:ext cx="867175" cy="1192098"/>
          </a:xfrm>
          <a:prstGeom prst="homePlate">
            <a:avLst>
              <a:gd name="adj" fmla="val 28771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00" b="1"/>
              <a:t>Order </a:t>
            </a:r>
          </a:p>
          <a:p>
            <a:pPr algn="ctr"/>
            <a:r>
              <a:rPr lang="it-IT" sz="1000" b="1"/>
              <a:t>Confirmed</a:t>
            </a:r>
          </a:p>
        </xdr:txBody>
      </xdr:sp>
      <xdr:sp macro="[0]!setStatus2" textlink="">
        <xdr:nvSpPr>
          <xdr:cNvPr id="42" name="warehouseAvailability" hidden="1">
            <a:extLst>
              <a:ext uri="{FF2B5EF4-FFF2-40B4-BE49-F238E27FC236}">
                <a16:creationId xmlns:a16="http://schemas.microsoft.com/office/drawing/2014/main" id="{00000000-0008-0000-0F00-00002A000000}"/>
              </a:ext>
            </a:extLst>
          </xdr:cNvPr>
          <xdr:cNvSpPr/>
        </xdr:nvSpPr>
        <xdr:spPr>
          <a:xfrm>
            <a:off x="7249964" y="6356352"/>
            <a:ext cx="1260000" cy="1192098"/>
          </a:xfrm>
          <a:prstGeom prst="chevron">
            <a:avLst>
              <a:gd name="adj" fmla="val 20712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Products Available in Warehouse</a:t>
            </a:r>
          </a:p>
        </xdr:txBody>
      </xdr:sp>
      <xdr:sp macro="[0]!setStatusPayed" textlink="">
        <xdr:nvSpPr>
          <xdr:cNvPr id="52" name="payment" hidden="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9256509" y="6356352"/>
            <a:ext cx="1296000" cy="1192098"/>
          </a:xfrm>
          <a:prstGeom prst="chevron">
            <a:avLst>
              <a:gd name="adj" fmla="val 21378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Payment Received!</a:t>
            </a:r>
          </a:p>
        </xdr:txBody>
      </xdr:sp>
      <xdr:sp macro="[0]!setStatus3" textlink="">
        <xdr:nvSpPr>
          <xdr:cNvPr id="53" name="pallet" hidden="1">
            <a:extLst>
              <a:ext uri="{FF2B5EF4-FFF2-40B4-BE49-F238E27FC236}">
                <a16:creationId xmlns:a16="http://schemas.microsoft.com/office/drawing/2014/main" id="{00000000-0008-0000-0F00-000035000000}"/>
              </a:ext>
            </a:extLst>
          </xdr:cNvPr>
          <xdr:cNvSpPr/>
        </xdr:nvSpPr>
        <xdr:spPr>
          <a:xfrm>
            <a:off x="8289748" y="6356352"/>
            <a:ext cx="1188000" cy="1192098"/>
          </a:xfrm>
          <a:prstGeom prst="chevron">
            <a:avLst>
              <a:gd name="adj" fmla="val 20710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Pallet Ready</a:t>
            </a:r>
          </a:p>
        </xdr:txBody>
      </xdr:sp>
      <xdr:sp macro="[0]!setStatus4" textlink="">
        <xdr:nvSpPr>
          <xdr:cNvPr id="54" name="transport" hidden="1">
            <a:extLst>
              <a:ext uri="{FF2B5EF4-FFF2-40B4-BE49-F238E27FC236}">
                <a16:creationId xmlns:a16="http://schemas.microsoft.com/office/drawing/2014/main" id="{00000000-0008-0000-0F00-000036000000}"/>
              </a:ext>
            </a:extLst>
          </xdr:cNvPr>
          <xdr:cNvSpPr/>
        </xdr:nvSpPr>
        <xdr:spPr>
          <a:xfrm>
            <a:off x="10315353" y="6356352"/>
            <a:ext cx="1152000" cy="1192098"/>
          </a:xfrm>
          <a:prstGeom prst="chevron">
            <a:avLst>
              <a:gd name="adj" fmla="val 22044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Carrier Found</a:t>
            </a:r>
          </a:p>
        </xdr:txBody>
      </xdr:sp>
      <xdr:sp macro="[0]!setStatus5" textlink="">
        <xdr:nvSpPr>
          <xdr:cNvPr id="55" name="docs" hidden="1">
            <a:extLst>
              <a:ext uri="{FF2B5EF4-FFF2-40B4-BE49-F238E27FC236}">
                <a16:creationId xmlns:a16="http://schemas.microsoft.com/office/drawing/2014/main" id="{00000000-0008-0000-0F00-000037000000}"/>
              </a:ext>
            </a:extLst>
          </xdr:cNvPr>
          <xdr:cNvSpPr/>
        </xdr:nvSpPr>
        <xdr:spPr>
          <a:xfrm>
            <a:off x="11242425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Documents Ready</a:t>
            </a:r>
          </a:p>
        </xdr:txBody>
      </xdr:sp>
      <xdr:sp macro="[0]!setStatus6" textlink="">
        <xdr:nvSpPr>
          <xdr:cNvPr id="56" name="allReady" hidden="1">
            <a:extLst>
              <a:ext uri="{FF2B5EF4-FFF2-40B4-BE49-F238E27FC236}">
                <a16:creationId xmlns:a16="http://schemas.microsoft.com/office/drawing/2014/main" id="{00000000-0008-0000-0F00-000038000000}"/>
              </a:ext>
            </a:extLst>
          </xdr:cNvPr>
          <xdr:cNvSpPr/>
        </xdr:nvSpPr>
        <xdr:spPr>
          <a:xfrm>
            <a:off x="12271103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All</a:t>
            </a:r>
            <a:r>
              <a:rPr lang="it-IT" sz="1100" b="1" u="sng" baseline="0">
                <a:solidFill>
                  <a:srgbClr val="FFFF00"/>
                </a:solidFill>
              </a:rPr>
              <a:t> Ready!</a:t>
            </a:r>
            <a:endParaRPr lang="it-IT" sz="1100" b="1" u="sng">
              <a:solidFill>
                <a:srgbClr val="FFFF00"/>
              </a:solidFill>
            </a:endParaRPr>
          </a:p>
        </xdr:txBody>
      </xdr:sp>
      <xdr:sp macro="[0]!setStatus7" textlink="">
        <xdr:nvSpPr>
          <xdr:cNvPr id="57" name="shipped" hidden="1">
            <a:extLst>
              <a:ext uri="{FF2B5EF4-FFF2-40B4-BE49-F238E27FC236}">
                <a16:creationId xmlns:a16="http://schemas.microsoft.com/office/drawing/2014/main" id="{00000000-0008-0000-0F00-000039000000}"/>
              </a:ext>
            </a:extLst>
          </xdr:cNvPr>
          <xdr:cNvSpPr/>
        </xdr:nvSpPr>
        <xdr:spPr>
          <a:xfrm>
            <a:off x="13310894" y="6357146"/>
            <a:ext cx="1152000" cy="1190511"/>
          </a:xfrm>
          <a:prstGeom prst="chevron">
            <a:avLst>
              <a:gd name="adj" fmla="val 21373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Shipped</a:t>
            </a:r>
          </a:p>
        </xdr:txBody>
      </xdr:sp>
      <xdr:sp macro="[0]!setStatus8" textlink="">
        <xdr:nvSpPr>
          <xdr:cNvPr id="58" name="delivered" hidden="1">
            <a:extLst>
              <a:ext uri="{FF2B5EF4-FFF2-40B4-BE49-F238E27FC236}">
                <a16:creationId xmlns:a16="http://schemas.microsoft.com/office/drawing/2014/main" id="{00000000-0008-0000-0F00-00003A000000}"/>
              </a:ext>
            </a:extLst>
          </xdr:cNvPr>
          <xdr:cNvSpPr/>
        </xdr:nvSpPr>
        <xdr:spPr>
          <a:xfrm>
            <a:off x="14236544" y="6358401"/>
            <a:ext cx="1224000" cy="1190016"/>
          </a:xfrm>
          <a:prstGeom prst="chevron">
            <a:avLst>
              <a:gd name="adj" fmla="val 1974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Delivered</a:t>
            </a:r>
          </a:p>
        </xdr:txBody>
      </xdr:sp>
      <xdr:sp macro="[0]!setStatus9" textlink="">
        <xdr:nvSpPr>
          <xdr:cNvPr id="59" name="closed" hidden="1">
            <a:extLst>
              <a:ext uri="{FF2B5EF4-FFF2-40B4-BE49-F238E27FC236}">
                <a16:creationId xmlns:a16="http://schemas.microsoft.com/office/drawing/2014/main" id="{00000000-0008-0000-0F00-00003B000000}"/>
              </a:ext>
            </a:extLst>
          </xdr:cNvPr>
          <xdr:cNvSpPr/>
        </xdr:nvSpPr>
        <xdr:spPr>
          <a:xfrm>
            <a:off x="15235052" y="6356601"/>
            <a:ext cx="1652859" cy="1191600"/>
          </a:xfrm>
          <a:prstGeom prst="chevron">
            <a:avLst>
              <a:gd name="adj" fmla="val 2135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Closed</a:t>
            </a:r>
            <a:endParaRPr lang="it-IT" sz="900" b="1" u="sng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77</xdr:col>
      <xdr:colOff>244556</xdr:colOff>
      <xdr:row>4</xdr:row>
      <xdr:rowOff>63114</xdr:rowOff>
    </xdr:from>
    <xdr:to>
      <xdr:col>78</xdr:col>
      <xdr:colOff>2736006</xdr:colOff>
      <xdr:row>6</xdr:row>
      <xdr:rowOff>101364</xdr:rowOff>
    </xdr:to>
    <xdr:grpSp>
      <xdr:nvGrpSpPr>
        <xdr:cNvPr id="48" name="product_order_panel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GrpSpPr/>
      </xdr:nvGrpSpPr>
      <xdr:grpSpPr>
        <a:xfrm>
          <a:off x="66906856" y="564764"/>
          <a:ext cx="3272500" cy="324000"/>
          <a:chOff x="2467055" y="804331"/>
          <a:chExt cx="2947781" cy="322395"/>
        </a:xfrm>
      </xdr:grpSpPr>
      <xdr:sp macro="[0]!updateOrderContent" textlink="">
        <xdr:nvSpPr>
          <xdr:cNvPr id="39" name="updateOrderContent" hidden="1">
            <a:extLst>
              <a:ext uri="{FF2B5EF4-FFF2-40B4-BE49-F238E27FC236}">
                <a16:creationId xmlns:a16="http://schemas.microsoft.com/office/drawing/2014/main" id="{00000000-0008-0000-0F00-000027000000}"/>
              </a:ext>
            </a:extLst>
          </xdr:cNvPr>
          <xdr:cNvSpPr/>
        </xdr:nvSpPr>
        <xdr:spPr>
          <a:xfrm>
            <a:off x="2467055" y="804331"/>
            <a:ext cx="1440000" cy="32239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BASKET</a:t>
            </a:r>
          </a:p>
        </xdr:txBody>
      </xdr:sp>
      <xdr:sp macro="[0]!emptyOrderContent" textlink="">
        <xdr:nvSpPr>
          <xdr:cNvPr id="46" name="updateOrderContent">
            <a:extLst>
              <a:ext uri="{FF2B5EF4-FFF2-40B4-BE49-F238E27FC236}">
                <a16:creationId xmlns:a16="http://schemas.microsoft.com/office/drawing/2014/main" id="{00000000-0008-0000-0F00-00002E000000}"/>
              </a:ext>
            </a:extLst>
          </xdr:cNvPr>
          <xdr:cNvSpPr/>
        </xdr:nvSpPr>
        <xdr:spPr>
          <a:xfrm>
            <a:off x="3974836" y="804331"/>
            <a:ext cx="1440000" cy="32239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EMPTY BASKET</a:t>
            </a:r>
          </a:p>
        </xdr:txBody>
      </xdr:sp>
    </xdr:grpSp>
    <xdr:clientData/>
  </xdr:twoCellAnchor>
  <xdr:twoCellAnchor editAs="oneCell">
    <xdr:from>
      <xdr:col>5</xdr:col>
      <xdr:colOff>149305</xdr:colOff>
      <xdr:row>4</xdr:row>
      <xdr:rowOff>49738</xdr:rowOff>
    </xdr:from>
    <xdr:to>
      <xdr:col>10</xdr:col>
      <xdr:colOff>39756</xdr:colOff>
      <xdr:row>6</xdr:row>
      <xdr:rowOff>87988</xdr:rowOff>
    </xdr:to>
    <xdr:grpSp>
      <xdr:nvGrpSpPr>
        <xdr:cNvPr id="51" name="dashboard_order_control_panel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GrpSpPr/>
      </xdr:nvGrpSpPr>
      <xdr:grpSpPr>
        <a:xfrm>
          <a:off x="2403555" y="551388"/>
          <a:ext cx="3421051" cy="324000"/>
          <a:chOff x="2469942" y="846666"/>
          <a:chExt cx="2962355" cy="325155"/>
        </a:xfrm>
      </xdr:grpSpPr>
      <xdr:sp macro="[0]!neworderUsrFormLauncher" textlink="">
        <xdr:nvSpPr>
          <xdr:cNvPr id="35" name="newOrder">
            <a:extLst>
              <a:ext uri="{FF2B5EF4-FFF2-40B4-BE49-F238E27FC236}">
                <a16:creationId xmlns:a16="http://schemas.microsoft.com/office/drawing/2014/main" id="{00000000-0008-0000-0F00-000023000000}"/>
              </a:ext>
            </a:extLst>
          </xdr:cNvPr>
          <xdr:cNvSpPr/>
        </xdr:nvSpPr>
        <xdr:spPr>
          <a:xfrm>
            <a:off x="2469942" y="846666"/>
            <a:ext cx="1438846" cy="32515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FromClientTab" textlink="">
        <xdr:nvSpPr>
          <xdr:cNvPr id="40" name="deleteOrder">
            <a:extLst>
              <a:ext uri="{FF2B5EF4-FFF2-40B4-BE49-F238E27FC236}">
                <a16:creationId xmlns:a16="http://schemas.microsoft.com/office/drawing/2014/main" id="{00000000-0008-0000-0F00-000028000000}"/>
              </a:ext>
            </a:extLst>
          </xdr:cNvPr>
          <xdr:cNvSpPr/>
        </xdr:nvSpPr>
        <xdr:spPr>
          <a:xfrm>
            <a:off x="3993452" y="846666"/>
            <a:ext cx="1438845" cy="32515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</xdr:grpSp>
    <xdr:clientData/>
  </xdr:twoCellAnchor>
  <xdr:twoCellAnchor editAs="oneCell">
    <xdr:from>
      <xdr:col>107</xdr:col>
      <xdr:colOff>29633</xdr:colOff>
      <xdr:row>15</xdr:row>
      <xdr:rowOff>98287</xdr:rowOff>
    </xdr:from>
    <xdr:to>
      <xdr:col>108</xdr:col>
      <xdr:colOff>775921</xdr:colOff>
      <xdr:row>19</xdr:row>
      <xdr:rowOff>28822</xdr:rowOff>
    </xdr:to>
    <xdr:sp macro="" textlink="">
      <xdr:nvSpPr>
        <xdr:cNvPr id="70" name="printAllPdf" hidden="1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SpPr/>
      </xdr:nvSpPr>
      <xdr:spPr>
        <a:xfrm>
          <a:off x="215248" y="2916710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PDF</a:t>
          </a:r>
        </a:p>
      </xdr:txBody>
    </xdr:sp>
    <xdr:clientData/>
  </xdr:twoCellAnchor>
  <xdr:twoCellAnchor editAs="oneCell">
    <xdr:from>
      <xdr:col>107</xdr:col>
      <xdr:colOff>14979</xdr:colOff>
      <xdr:row>19</xdr:row>
      <xdr:rowOff>117826</xdr:rowOff>
    </xdr:from>
    <xdr:to>
      <xdr:col>108</xdr:col>
      <xdr:colOff>777142</xdr:colOff>
      <xdr:row>23</xdr:row>
      <xdr:rowOff>61060</xdr:rowOff>
    </xdr:to>
    <xdr:sp macro="" textlink="">
      <xdr:nvSpPr>
        <xdr:cNvPr id="71" name="printAll" hidden="1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SpPr/>
      </xdr:nvSpPr>
      <xdr:spPr>
        <a:xfrm>
          <a:off x="200594" y="3693364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PRINTER</a:t>
          </a:r>
        </a:p>
      </xdr:txBody>
    </xdr:sp>
    <xdr:clientData/>
  </xdr:twoCellAnchor>
  <xdr:twoCellAnchor editAs="absolute">
    <xdr:from>
      <xdr:col>3</xdr:col>
      <xdr:colOff>11293</xdr:colOff>
      <xdr:row>32</xdr:row>
      <xdr:rowOff>140025</xdr:rowOff>
    </xdr:from>
    <xdr:to>
      <xdr:col>4</xdr:col>
      <xdr:colOff>89462</xdr:colOff>
      <xdr:row>36</xdr:row>
      <xdr:rowOff>28656</xdr:rowOff>
    </xdr:to>
    <xdr:sp macro="" textlink="">
      <xdr:nvSpPr>
        <xdr:cNvPr id="49" name="shipIt" hidden="1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SpPr/>
      </xdr:nvSpPr>
      <xdr:spPr>
        <a:xfrm>
          <a:off x="228251" y="5683575"/>
          <a:ext cx="1897200" cy="625231"/>
        </a:xfrm>
        <a:prstGeom prst="roundRect">
          <a:avLst/>
        </a:prstGeom>
        <a:ln w="57150"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2000" b="1" u="none">
              <a:solidFill>
                <a:schemeClr val="bg1"/>
              </a:solidFill>
            </a:rPr>
            <a:t>SHIP IT !!</a:t>
          </a:r>
        </a:p>
      </xdr:txBody>
    </xdr:sp>
    <xdr:clientData/>
  </xdr:twoCellAnchor>
  <xdr:twoCellAnchor editAs="absolute">
    <xdr:from>
      <xdr:col>11</xdr:col>
      <xdr:colOff>652469</xdr:colOff>
      <xdr:row>0</xdr:row>
      <xdr:rowOff>73025</xdr:rowOff>
    </xdr:from>
    <xdr:to>
      <xdr:col>11</xdr:col>
      <xdr:colOff>1849760</xdr:colOff>
      <xdr:row>3</xdr:row>
      <xdr:rowOff>76200</xdr:rowOff>
    </xdr:to>
    <xdr:sp macro="" textlink="">
      <xdr:nvSpPr>
        <xdr:cNvPr id="15" name="docPressed" hidden="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6490236" y="73025"/>
          <a:ext cx="1298891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11</xdr:col>
      <xdr:colOff>1845932</xdr:colOff>
      <xdr:row>0</xdr:row>
      <xdr:rowOff>73025</xdr:rowOff>
    </xdr:from>
    <xdr:to>
      <xdr:col>13</xdr:col>
      <xdr:colOff>431457</xdr:colOff>
      <xdr:row>3</xdr:row>
      <xdr:rowOff>76200</xdr:rowOff>
    </xdr:to>
    <xdr:sp macro="" textlink="">
      <xdr:nvSpPr>
        <xdr:cNvPr id="28" name="contactPressed" hidden="1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7804349" y="73025"/>
          <a:ext cx="1388560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CONTACTS</a:t>
          </a:r>
        </a:p>
      </xdr:txBody>
    </xdr:sp>
    <xdr:clientData/>
  </xdr:twoCellAnchor>
  <xdr:twoCellAnchor editAs="absolute">
    <xdr:from>
      <xdr:col>5</xdr:col>
      <xdr:colOff>144489</xdr:colOff>
      <xdr:row>0</xdr:row>
      <xdr:rowOff>73025</xdr:rowOff>
    </xdr:from>
    <xdr:to>
      <xdr:col>15</xdr:col>
      <xdr:colOff>415362</xdr:colOff>
      <xdr:row>3</xdr:row>
      <xdr:rowOff>76200</xdr:rowOff>
    </xdr:to>
    <xdr:grpSp>
      <xdr:nvGrpSpPr>
        <xdr:cNvPr id="95" name="main_menu">
          <a:extLst>
            <a:ext uri="{FF2B5EF4-FFF2-40B4-BE49-F238E27FC236}">
              <a16:creationId xmlns:a16="http://schemas.microsoft.com/office/drawing/2014/main" id="{00000000-0008-0000-0F00-00005F000000}"/>
            </a:ext>
          </a:extLst>
        </xdr:cNvPr>
        <xdr:cNvGrpSpPr/>
      </xdr:nvGrpSpPr>
      <xdr:grpSpPr>
        <a:xfrm>
          <a:off x="2398739" y="73025"/>
          <a:ext cx="8817973" cy="403225"/>
          <a:chOff x="2399553" y="73025"/>
          <a:chExt cx="8700799" cy="390525"/>
        </a:xfrm>
      </xdr:grpSpPr>
      <xdr:sp macro="[0]!showClientTab" textlink="">
        <xdr:nvSpPr>
          <xdr:cNvPr id="6" name="client" hidden="1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600" b="1"/>
          </a:p>
        </xdr:txBody>
      </xdr:sp>
      <xdr:sp macro="" textlink="">
        <xdr:nvSpPr>
          <xdr:cNvPr id="13" name="clientPressed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200" b="1"/>
          </a:p>
        </xdr:txBody>
      </xdr:sp>
      <xdr:sp macro="[0]!showProdTab" textlink="">
        <xdr:nvSpPr>
          <xdr:cNvPr id="21" name="product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SpPr/>
        </xdr:nvSpPr>
        <xdr:spPr>
          <a:xfrm>
            <a:off x="4579531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" textlink="">
        <xdr:nvSpPr>
          <xdr:cNvPr id="22" name="productPressed" hidden="1">
            <a:extLst>
              <a:ext uri="{FF2B5EF4-FFF2-40B4-BE49-F238E27FC236}">
                <a16:creationId xmlns:a16="http://schemas.microsoft.com/office/drawing/2014/main" id="{00000000-0008-0000-0F00-000016000000}"/>
              </a:ext>
            </a:extLst>
          </xdr:cNvPr>
          <xdr:cNvSpPr/>
        </xdr:nvSpPr>
        <xdr:spPr>
          <a:xfrm>
            <a:off x="4589357" y="73025"/>
            <a:ext cx="2159998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[0]!showWarehouseTab" textlink="">
        <xdr:nvSpPr>
          <xdr:cNvPr id="30" name="warehouse">
            <a:extLst>
              <a:ext uri="{FF2B5EF4-FFF2-40B4-BE49-F238E27FC236}">
                <a16:creationId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6745633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WAREHOUSE</a:t>
            </a:r>
            <a:endParaRPr lang="it-IT" sz="1400" b="1"/>
          </a:p>
        </xdr:txBody>
      </xdr:sp>
      <xdr:sp macro="[0]!showAdminTab" textlink="">
        <xdr:nvSpPr>
          <xdr:cNvPr id="90" name="admin">
            <a:extLst>
              <a:ext uri="{FF2B5EF4-FFF2-40B4-BE49-F238E27FC236}">
                <a16:creationId xmlns:a16="http://schemas.microsoft.com/office/drawing/2014/main" id="{00000000-0008-0000-0F00-00005A000000}"/>
              </a:ext>
            </a:extLst>
          </xdr:cNvPr>
          <xdr:cNvSpPr/>
        </xdr:nvSpPr>
        <xdr:spPr>
          <a:xfrm>
            <a:off x="8930613" y="73025"/>
            <a:ext cx="2160026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ADMINISTRATION</a:t>
            </a:r>
          </a:p>
        </xdr:txBody>
      </xdr:sp>
      <xdr:sp macro="" textlink="">
        <xdr:nvSpPr>
          <xdr:cNvPr id="82" name="adminPressed" hidden="1">
            <a:extLst>
              <a:ext uri="{FF2B5EF4-FFF2-40B4-BE49-F238E27FC236}">
                <a16:creationId xmlns:a16="http://schemas.microsoft.com/office/drawing/2014/main" id="{00000000-0008-0000-0F00-000052000000}"/>
              </a:ext>
            </a:extLst>
          </xdr:cNvPr>
          <xdr:cNvSpPr/>
        </xdr:nvSpPr>
        <xdr:spPr>
          <a:xfrm>
            <a:off x="8940354" y="73025"/>
            <a:ext cx="2159998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ADMINISTRATION</a:t>
            </a:r>
          </a:p>
        </xdr:txBody>
      </xdr:sp>
      <xdr:sp macro="" textlink="">
        <xdr:nvSpPr>
          <xdr:cNvPr id="83" name="warehousePressed" hidden="1">
            <a:extLst>
              <a:ext uri="{FF2B5EF4-FFF2-40B4-BE49-F238E27FC236}">
                <a16:creationId xmlns:a16="http://schemas.microsoft.com/office/drawing/2014/main" id="{00000000-0008-0000-0F00-000053000000}"/>
              </a:ext>
            </a:extLst>
          </xdr:cNvPr>
          <xdr:cNvSpPr/>
        </xdr:nvSpPr>
        <xdr:spPr>
          <a:xfrm>
            <a:off x="6755456" y="73025"/>
            <a:ext cx="2159998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WAREHOSE</a:t>
            </a:r>
          </a:p>
        </xdr:txBody>
      </xdr:sp>
    </xdr:grpSp>
    <xdr:clientData/>
  </xdr:twoCellAnchor>
  <xdr:twoCellAnchor>
    <xdr:from>
      <xdr:col>3</xdr:col>
      <xdr:colOff>19050</xdr:colOff>
      <xdr:row>31</xdr:row>
      <xdr:rowOff>114304</xdr:rowOff>
    </xdr:from>
    <xdr:to>
      <xdr:col>3</xdr:col>
      <xdr:colOff>1780841</xdr:colOff>
      <xdr:row>35</xdr:row>
      <xdr:rowOff>31755</xdr:rowOff>
    </xdr:to>
    <xdr:sp macro="[0]!editUsrFormLauncher" textlink="">
      <xdr:nvSpPr>
        <xdr:cNvPr id="4" name="editClient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260350" y="5657854"/>
          <a:ext cx="1761791" cy="679451"/>
        </a:xfrm>
        <a:prstGeom prst="roundRect">
          <a:avLst/>
        </a:prstGeom>
        <a:solidFill>
          <a:srgbClr val="0070C0"/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  <a:r>
            <a:rPr lang="it-IT" sz="1600" b="1" baseline="0">
              <a:solidFill>
                <a:schemeClr val="bg1"/>
              </a:solidFill>
              <a:latin typeface="+mn-lt"/>
            </a:rPr>
            <a:t> ORDER'S</a:t>
          </a: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DETAILS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64" name="autoSyncOn">
          <a:extLst>
            <a:ext uri="{FF2B5EF4-FFF2-40B4-BE49-F238E27FC236}">
              <a16:creationId xmlns:a16="http://schemas.microsoft.com/office/drawing/2014/main" id="{00000000-0008-0000-0F00-000040000000}"/>
            </a:ext>
          </a:extLst>
        </xdr:cNvPr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START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18</xdr:col>
      <xdr:colOff>142527</xdr:colOff>
      <xdr:row>0</xdr:row>
      <xdr:rowOff>86784</xdr:rowOff>
    </xdr:from>
    <xdr:to>
      <xdr:col>19</xdr:col>
      <xdr:colOff>658602</xdr:colOff>
      <xdr:row>1</xdr:row>
      <xdr:rowOff>148284</xdr:rowOff>
    </xdr:to>
    <xdr:sp macro="[0]!noFilter" textlink="">
      <xdr:nvSpPr>
        <xdr:cNvPr id="66" name="clearFiltersBtn"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SpPr/>
      </xdr:nvSpPr>
      <xdr:spPr>
        <a:xfrm>
          <a:off x="13153677" y="86784"/>
          <a:ext cx="1440000" cy="252000"/>
        </a:xfrm>
        <a:prstGeom prst="roundRect">
          <a:avLst/>
        </a:prstGeom>
        <a:solidFill>
          <a:srgbClr val="C00000"/>
        </a:solidFill>
        <a:ln w="19050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200" b="1">
              <a:solidFill>
                <a:schemeClr val="bg1"/>
              </a:solidFill>
            </a:rPr>
            <a:t>CLEAR FILTERS</a:t>
          </a:r>
        </a:p>
      </xdr:txBody>
    </xdr:sp>
    <xdr:clientData/>
  </xdr:twoCellAnchor>
  <xdr:twoCellAnchor>
    <xdr:from>
      <xdr:col>42</xdr:col>
      <xdr:colOff>200106</xdr:colOff>
      <xdr:row>4</xdr:row>
      <xdr:rowOff>69465</xdr:rowOff>
    </xdr:from>
    <xdr:to>
      <xdr:col>52</xdr:col>
      <xdr:colOff>317500</xdr:colOff>
      <xdr:row>6</xdr:row>
      <xdr:rowOff>107715</xdr:rowOff>
    </xdr:to>
    <xdr:grpSp>
      <xdr:nvGrpSpPr>
        <xdr:cNvPr id="93" name="order_control_panel" hidden="1"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GrpSpPr/>
      </xdr:nvGrpSpPr>
      <xdr:grpSpPr>
        <a:xfrm>
          <a:off x="31765956" y="571115"/>
          <a:ext cx="8004094" cy="324000"/>
          <a:chOff x="2467056" y="847340"/>
          <a:chExt cx="7896144" cy="317652"/>
        </a:xfrm>
      </xdr:grpSpPr>
      <xdr:sp macro="[0]!neworderUsrFormLauncher" textlink="">
        <xdr:nvSpPr>
          <xdr:cNvPr id="18" name="new" hidden="1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SpPr/>
        </xdr:nvSpPr>
        <xdr:spPr>
          <a:xfrm>
            <a:off x="2467056" y="847340"/>
            <a:ext cx="1507904" cy="317652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saveOrder" textlink="">
        <xdr:nvSpPr>
          <xdr:cNvPr id="19" name="save" hidden="1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SpPr/>
        </xdr:nvSpPr>
        <xdr:spPr>
          <a:xfrm>
            <a:off x="4042625" y="847340"/>
            <a:ext cx="1507904" cy="317652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delOrder" textlink="">
        <xdr:nvSpPr>
          <xdr:cNvPr id="20" name="delete" hidden="1">
            <a:extLst>
              <a:ext uri="{FF2B5EF4-FFF2-40B4-BE49-F238E27FC236}">
                <a16:creationId xmlns:a16="http://schemas.microsoft.com/office/drawing/2014/main" id="{00000000-0008-0000-0F00-000014000000}"/>
              </a:ext>
            </a:extLst>
          </xdr:cNvPr>
          <xdr:cNvSpPr/>
        </xdr:nvSpPr>
        <xdr:spPr>
          <a:xfrm>
            <a:off x="5618194" y="847340"/>
            <a:ext cx="1507904" cy="317652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convertToEur" textlink="">
        <xdr:nvSpPr>
          <xdr:cNvPr id="89" name="convertEur" hidden="1">
            <a:extLst>
              <a:ext uri="{FF2B5EF4-FFF2-40B4-BE49-F238E27FC236}">
                <a16:creationId xmlns:a16="http://schemas.microsoft.com/office/drawing/2014/main" id="{00000000-0008-0000-0F00-000059000000}"/>
              </a:ext>
            </a:extLst>
          </xdr:cNvPr>
          <xdr:cNvSpPr/>
        </xdr:nvSpPr>
        <xdr:spPr>
          <a:xfrm>
            <a:off x="7193763" y="847340"/>
            <a:ext cx="1507922" cy="317652"/>
          </a:xfrm>
          <a:prstGeom prst="roundRect">
            <a:avLst/>
          </a:prstGeom>
          <a:solidFill>
            <a:srgbClr val="0070C0"/>
          </a:solidFill>
          <a:ln w="38100">
            <a:solidFill>
              <a:schemeClr val="accent5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CONVERT TO EUR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printUsrFormLauncherOrderTab" textlink="">
        <xdr:nvSpPr>
          <xdr:cNvPr id="84" name="printBtn" hidden="1">
            <a:extLst>
              <a:ext uri="{FF2B5EF4-FFF2-40B4-BE49-F238E27FC236}">
                <a16:creationId xmlns:a16="http://schemas.microsoft.com/office/drawing/2014/main" id="{00000000-0008-0000-0F00-000054000000}"/>
              </a:ext>
            </a:extLst>
          </xdr:cNvPr>
          <xdr:cNvSpPr/>
        </xdr:nvSpPr>
        <xdr:spPr>
          <a:xfrm>
            <a:off x="8769351" y="847340"/>
            <a:ext cx="1593849" cy="306868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115" name="autoSyncOff" hidden="1">
          <a:extLst>
            <a:ext uri="{FF2B5EF4-FFF2-40B4-BE49-F238E27FC236}">
              <a16:creationId xmlns:a16="http://schemas.microsoft.com/office/drawing/2014/main" id="{00000000-0008-0000-0F00-000073000000}"/>
            </a:ext>
          </a:extLst>
        </xdr:cNvPr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STOP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18</xdr:col>
      <xdr:colOff>133349</xdr:colOff>
      <xdr:row>0</xdr:row>
      <xdr:rowOff>57150</xdr:rowOff>
    </xdr:from>
    <xdr:to>
      <xdr:col>22</xdr:col>
      <xdr:colOff>114075</xdr:colOff>
      <xdr:row>7</xdr:row>
      <xdr:rowOff>104775</xdr:rowOff>
    </xdr:to>
    <xdr:grpSp>
      <xdr:nvGrpSpPr>
        <xdr:cNvPr id="100" name="filtri_rapidi">
          <a:extLst>
            <a:ext uri="{FF2B5EF4-FFF2-40B4-BE49-F238E27FC236}">
              <a16:creationId xmlns:a16="http://schemas.microsoft.com/office/drawing/2014/main" id="{00000000-0008-0000-0F00-000064000000}"/>
            </a:ext>
          </a:extLst>
        </xdr:cNvPr>
        <xdr:cNvGrpSpPr/>
      </xdr:nvGrpSpPr>
      <xdr:grpSpPr>
        <a:xfrm>
          <a:off x="13754099" y="57150"/>
          <a:ext cx="4635276" cy="1019175"/>
          <a:chOff x="13144499" y="95250"/>
          <a:chExt cx="4428901" cy="1095375"/>
        </a:xfrm>
      </xdr:grpSpPr>
      <xdr:sp macro="[0]!filtro1" textlink="">
        <xdr:nvSpPr>
          <xdr:cNvPr id="81" name="filtro4">
            <a:extLst>
              <a:ext uri="{FF2B5EF4-FFF2-40B4-BE49-F238E27FC236}">
                <a16:creationId xmlns:a16="http://schemas.microsoft.com/office/drawing/2014/main" id="{00000000-0008-0000-0F00-000051000000}"/>
              </a:ext>
            </a:extLst>
          </xdr:cNvPr>
          <xdr:cNvSpPr/>
        </xdr:nvSpPr>
        <xdr:spPr>
          <a:xfrm>
            <a:off x="13144500" y="409575"/>
            <a:ext cx="252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FATTURATO IN USCITA</a:t>
            </a:r>
          </a:p>
        </xdr:txBody>
      </xdr:sp>
      <xdr:sp macro="[0]!filtro4" textlink="">
        <xdr:nvSpPr>
          <xdr:cNvPr id="86" name="filtro3">
            <a:extLst>
              <a:ext uri="{FF2B5EF4-FFF2-40B4-BE49-F238E27FC236}">
                <a16:creationId xmlns:a16="http://schemas.microsoft.com/office/drawing/2014/main" id="{00000000-0008-0000-0F00-000056000000}"/>
              </a:ext>
            </a:extLst>
          </xdr:cNvPr>
          <xdr:cNvSpPr/>
        </xdr:nvSpPr>
        <xdr:spPr>
          <a:xfrm>
            <a:off x="15773400" y="409575"/>
            <a:ext cx="180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ORDINI IN PREPARAZIONE</a:t>
            </a:r>
          </a:p>
        </xdr:txBody>
      </xdr:sp>
      <xdr:sp macro="[0]!filtro5" textlink="">
        <xdr:nvSpPr>
          <xdr:cNvPr id="91" name="filtro2">
            <a:extLst>
              <a:ext uri="{FF2B5EF4-FFF2-40B4-BE49-F238E27FC236}">
                <a16:creationId xmlns:a16="http://schemas.microsoft.com/office/drawing/2014/main" id="{00000000-0008-0000-0F00-00005B000000}"/>
              </a:ext>
            </a:extLst>
          </xdr:cNvPr>
          <xdr:cNvSpPr/>
        </xdr:nvSpPr>
        <xdr:spPr>
          <a:xfrm>
            <a:off x="15763875" y="695325"/>
            <a:ext cx="180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ORDINI IN STAND-BY</a:t>
            </a:r>
          </a:p>
        </xdr:txBody>
      </xdr:sp>
      <xdr:sp macro="[0]!filtro2" textlink="">
        <xdr:nvSpPr>
          <xdr:cNvPr id="98" name="filtro1">
            <a:extLst>
              <a:ext uri="{FF2B5EF4-FFF2-40B4-BE49-F238E27FC236}">
                <a16:creationId xmlns:a16="http://schemas.microsoft.com/office/drawing/2014/main" id="{00000000-0008-0000-0F00-000062000000}"/>
              </a:ext>
            </a:extLst>
          </xdr:cNvPr>
          <xdr:cNvSpPr/>
        </xdr:nvSpPr>
        <xdr:spPr>
          <a:xfrm>
            <a:off x="13144500" y="685800"/>
            <a:ext cx="252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FATTURATO IN ENTRATA</a:t>
            </a:r>
          </a:p>
        </xdr:txBody>
      </xdr:sp>
      <xdr:sp macro="" textlink="">
        <xdr:nvSpPr>
          <xdr:cNvPr id="99" name="titolo">
            <a:extLst>
              <a:ext uri="{FF2B5EF4-FFF2-40B4-BE49-F238E27FC236}">
                <a16:creationId xmlns:a16="http://schemas.microsoft.com/office/drawing/2014/main" id="{00000000-0008-0000-0F00-000063000000}"/>
              </a:ext>
            </a:extLst>
          </xdr:cNvPr>
          <xdr:cNvSpPr txBox="1"/>
        </xdr:nvSpPr>
        <xdr:spPr>
          <a:xfrm>
            <a:off x="15982950" y="95250"/>
            <a:ext cx="1552575" cy="2880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r"/>
            <a:r>
              <a:rPr lang="it-IT" sz="1800" b="1" u="sng">
                <a:solidFill>
                  <a:srgbClr val="0070C0"/>
                </a:solidFill>
              </a:rPr>
              <a:t>FILTRI</a:t>
            </a:r>
            <a:r>
              <a:rPr lang="it-IT" sz="1800" b="1" u="sng" baseline="0">
                <a:solidFill>
                  <a:srgbClr val="0070C0"/>
                </a:solidFill>
              </a:rPr>
              <a:t> RAPIDI</a:t>
            </a:r>
            <a:endParaRPr lang="it-IT" sz="1800" b="1" u="sng">
              <a:solidFill>
                <a:srgbClr val="0070C0"/>
              </a:solidFill>
            </a:endParaRPr>
          </a:p>
        </xdr:txBody>
      </xdr:sp>
      <xdr:sp macro="[0]!filtro3" textlink="">
        <xdr:nvSpPr>
          <xdr:cNvPr id="101" name="filtro2">
            <a:extLst>
              <a:ext uri="{FF2B5EF4-FFF2-40B4-BE49-F238E27FC236}">
                <a16:creationId xmlns:a16="http://schemas.microsoft.com/office/drawing/2014/main" id="{00000000-0008-0000-0F00-000065000000}"/>
              </a:ext>
            </a:extLst>
          </xdr:cNvPr>
          <xdr:cNvSpPr/>
        </xdr:nvSpPr>
        <xdr:spPr>
          <a:xfrm>
            <a:off x="15763875" y="981075"/>
            <a:ext cx="180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CAMPIONATURE</a:t>
            </a:r>
          </a:p>
        </xdr:txBody>
      </xdr:sp>
      <xdr:sp macro="[0]!noYearFiler" textlink="">
        <xdr:nvSpPr>
          <xdr:cNvPr id="110" name="filtro2">
            <a:extLst>
              <a:ext uri="{FF2B5EF4-FFF2-40B4-BE49-F238E27FC236}">
                <a16:creationId xmlns:a16="http://schemas.microsoft.com/office/drawing/2014/main" id="{00000000-0008-0000-0F00-00006E000000}"/>
              </a:ext>
            </a:extLst>
          </xdr:cNvPr>
          <xdr:cNvSpPr/>
        </xdr:nvSpPr>
        <xdr:spPr>
          <a:xfrm>
            <a:off x="13144499" y="981075"/>
            <a:ext cx="859930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NO YEAR FILTER</a:t>
            </a:r>
          </a:p>
        </xdr:txBody>
      </xdr:sp>
      <xdr:sp macro="[0]!filtroAnnoPrecedente" textlink="$U$7">
        <xdr:nvSpPr>
          <xdr:cNvPr id="111" name="filtro2">
            <a:extLst>
              <a:ext uri="{FF2B5EF4-FFF2-40B4-BE49-F238E27FC236}">
                <a16:creationId xmlns:a16="http://schemas.microsoft.com/office/drawing/2014/main" id="{00000000-0008-0000-0F00-00006F000000}"/>
              </a:ext>
            </a:extLst>
          </xdr:cNvPr>
          <xdr:cNvSpPr/>
        </xdr:nvSpPr>
        <xdr:spPr>
          <a:xfrm>
            <a:off x="14042917" y="981075"/>
            <a:ext cx="792000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EDC0F9B5-F88F-43E7-B204-AD5F7756D9A8}" type="TxLink">
              <a:rPr lang="en-US" sz="8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2023</a:t>
            </a:fld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AnnoInCorso" textlink="$T$7">
        <xdr:nvSpPr>
          <xdr:cNvPr id="112" name="filtro2">
            <a:extLst>
              <a:ext uri="{FF2B5EF4-FFF2-40B4-BE49-F238E27FC236}">
                <a16:creationId xmlns:a16="http://schemas.microsoft.com/office/drawing/2014/main" id="{00000000-0008-0000-0F00-000070000000}"/>
              </a:ext>
            </a:extLst>
          </xdr:cNvPr>
          <xdr:cNvSpPr/>
        </xdr:nvSpPr>
        <xdr:spPr>
          <a:xfrm>
            <a:off x="14868525" y="981075"/>
            <a:ext cx="792000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350B91DB-165E-4D59-8702-4C8B978FBD98}" type="TxLink">
              <a:rPr lang="en-US" sz="8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2024</a:t>
            </a:fld>
            <a:endParaRPr lang="it-IT" sz="4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28575</xdr:colOff>
      <xdr:row>6</xdr:row>
      <xdr:rowOff>18029</xdr:rowOff>
    </xdr:to>
    <xdr:pic macro="[0]!reloadHome">
      <xdr:nvPicPr>
        <xdr:cNvPr id="103" name="logoCoppoListon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81225" cy="799079"/>
        </a:xfrm>
        <a:prstGeom prst="rect">
          <a:avLst/>
        </a:prstGeom>
      </xdr:spPr>
    </xdr:pic>
    <xdr:clientData/>
  </xdr:twoCellAnchor>
  <xdr:twoCellAnchor>
    <xdr:from>
      <xdr:col>132</xdr:col>
      <xdr:colOff>38100</xdr:colOff>
      <xdr:row>13</xdr:row>
      <xdr:rowOff>120650</xdr:rowOff>
    </xdr:from>
    <xdr:to>
      <xdr:col>132</xdr:col>
      <xdr:colOff>1765300</xdr:colOff>
      <xdr:row>14</xdr:row>
      <xdr:rowOff>152400</xdr:rowOff>
    </xdr:to>
    <xdr:sp macro="[0]!noFilterWarehouse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28600" y="2235200"/>
          <a:ext cx="1727200" cy="222250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/>
            <a:t>CLEAR FILTER</a:t>
          </a:r>
        </a:p>
      </xdr:txBody>
    </xdr:sp>
    <xdr:clientData/>
  </xdr:twoCellAnchor>
  <xdr:twoCellAnchor>
    <xdr:from>
      <xdr:col>681</xdr:col>
      <xdr:colOff>31750</xdr:colOff>
      <xdr:row>13</xdr:row>
      <xdr:rowOff>25400</xdr:rowOff>
    </xdr:from>
    <xdr:to>
      <xdr:col>684</xdr:col>
      <xdr:colOff>2950</xdr:colOff>
      <xdr:row>20</xdr:row>
      <xdr:rowOff>162149</xdr:rowOff>
    </xdr:to>
    <xdr:grpSp>
      <xdr:nvGrpSpPr>
        <xdr:cNvPr id="88" name="Gruppo 87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GrpSpPr/>
      </xdr:nvGrpSpPr>
      <xdr:grpSpPr>
        <a:xfrm>
          <a:off x="475672150" y="2139950"/>
          <a:ext cx="1895250" cy="1470249"/>
          <a:chOff x="3968750" y="4400550"/>
          <a:chExt cx="1800000" cy="1470249"/>
        </a:xfrm>
      </xdr:grpSpPr>
      <xdr:sp macro="[0]!showClientdB" textlink="">
        <xdr:nvSpPr>
          <xdr:cNvPr id="77" name="editClient">
            <a:extLst>
              <a:ext uri="{FF2B5EF4-FFF2-40B4-BE49-F238E27FC236}">
                <a16:creationId xmlns:a16="http://schemas.microsoft.com/office/drawing/2014/main" id="{00000000-0008-0000-0F00-00004D000000}"/>
              </a:ext>
            </a:extLst>
          </xdr:cNvPr>
          <xdr:cNvSpPr/>
        </xdr:nvSpPr>
        <xdr:spPr>
          <a:xfrm>
            <a:off x="3968750" y="4400550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CUSTOMER'S</a:t>
            </a:r>
            <a:r>
              <a:rPr lang="it-IT" sz="1100" b="1" baseline="0">
                <a:solidFill>
                  <a:schemeClr val="bg1"/>
                </a:solidFill>
              </a:rPr>
              <a:t> DATA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showOrderSheet" textlink="">
        <xdr:nvSpPr>
          <xdr:cNvPr id="78" name="showOrderSheet">
            <a:extLst>
              <a:ext uri="{FF2B5EF4-FFF2-40B4-BE49-F238E27FC236}">
                <a16:creationId xmlns:a16="http://schemas.microsoft.com/office/drawing/2014/main" id="{00000000-0008-0000-0F00-00004E000000}"/>
              </a:ext>
            </a:extLst>
          </xdr:cNvPr>
          <xdr:cNvSpPr/>
        </xdr:nvSpPr>
        <xdr:spPr>
          <a:xfrm>
            <a:off x="3968750" y="5170719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ORDER DATASET</a:t>
            </a:r>
          </a:p>
        </xdr:txBody>
      </xdr:sp>
      <xdr:sp macro="[0]!showSalesSheet" textlink="">
        <xdr:nvSpPr>
          <xdr:cNvPr id="79" name="showSalesSheet">
            <a:extLst>
              <a:ext uri="{FF2B5EF4-FFF2-40B4-BE49-F238E27FC236}">
                <a16:creationId xmlns:a16="http://schemas.microsoft.com/office/drawing/2014/main" id="{00000000-0008-0000-0F00-00004F000000}"/>
              </a:ext>
            </a:extLst>
          </xdr:cNvPr>
          <xdr:cNvSpPr/>
        </xdr:nvSpPr>
        <xdr:spPr>
          <a:xfrm>
            <a:off x="3968750" y="5555802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SALES DATASET</a:t>
            </a:r>
          </a:p>
        </xdr:txBody>
      </xdr:sp>
      <xdr:sp macro="[0]!showProductData" textlink="">
        <xdr:nvSpPr>
          <xdr:cNvPr id="80" name="editClient">
            <a:extLst>
              <a:ext uri="{FF2B5EF4-FFF2-40B4-BE49-F238E27FC236}">
                <a16:creationId xmlns:a16="http://schemas.microsoft.com/office/drawing/2014/main" id="{00000000-0008-0000-0F00-000050000000}"/>
              </a:ext>
            </a:extLst>
          </xdr:cNvPr>
          <xdr:cNvSpPr/>
        </xdr:nvSpPr>
        <xdr:spPr>
          <a:xfrm>
            <a:off x="3968750" y="4785635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BHPC PRODUCT DATA</a:t>
            </a:r>
          </a:p>
        </xdr:txBody>
      </xdr:sp>
    </xdr:grpSp>
    <xdr:clientData/>
  </xdr:twoCellAnchor>
  <xdr:twoCellAnchor>
    <xdr:from>
      <xdr:col>3</xdr:col>
      <xdr:colOff>20441</xdr:colOff>
      <xdr:row>35</xdr:row>
      <xdr:rowOff>95250</xdr:rowOff>
    </xdr:from>
    <xdr:to>
      <xdr:col>3</xdr:col>
      <xdr:colOff>1780841</xdr:colOff>
      <xdr:row>39</xdr:row>
      <xdr:rowOff>13650</xdr:rowOff>
    </xdr:to>
    <xdr:sp macro="[0]!printUsrFormLauncher" textlink="">
      <xdr:nvSpPr>
        <xdr:cNvPr id="94" name="deleteOrder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SpPr/>
      </xdr:nvSpPr>
      <xdr:spPr>
        <a:xfrm>
          <a:off x="261741" y="6400800"/>
          <a:ext cx="1760400" cy="6804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PRINT ORDER'S DOCS</a:t>
          </a:r>
        </a:p>
      </xdr:txBody>
    </xdr:sp>
    <xdr:clientData/>
  </xdr:twoCellAnchor>
  <xdr:twoCellAnchor>
    <xdr:from>
      <xdr:col>75</xdr:col>
      <xdr:colOff>0</xdr:colOff>
      <xdr:row>28</xdr:row>
      <xdr:rowOff>31750</xdr:rowOff>
    </xdr:from>
    <xdr:to>
      <xdr:col>75</xdr:col>
      <xdr:colOff>1761791</xdr:colOff>
      <xdr:row>31</xdr:row>
      <xdr:rowOff>139701</xdr:rowOff>
    </xdr:to>
    <xdr:sp macro="[0]!editUsrFormLauncher" textlink="">
      <xdr:nvSpPr>
        <xdr:cNvPr id="96" name="editClient">
          <a:extLst>
            <a:ext uri="{FF2B5EF4-FFF2-40B4-BE49-F238E27FC236}">
              <a16:creationId xmlns:a16="http://schemas.microsoft.com/office/drawing/2014/main" id="{00000000-0008-0000-0F00-000060000000}"/>
            </a:ext>
          </a:extLst>
        </xdr:cNvPr>
        <xdr:cNvSpPr/>
      </xdr:nvSpPr>
      <xdr:spPr>
        <a:xfrm>
          <a:off x="177800" y="5003800"/>
          <a:ext cx="1761791" cy="679451"/>
        </a:xfrm>
        <a:prstGeom prst="roundRect">
          <a:avLst/>
        </a:prstGeom>
        <a:solidFill>
          <a:srgbClr val="0070C0"/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  <a:r>
            <a:rPr lang="it-IT" sz="1600" b="1" baseline="0">
              <a:solidFill>
                <a:schemeClr val="bg1"/>
              </a:solidFill>
              <a:latin typeface="+mn-lt"/>
            </a:rPr>
            <a:t> ORDER'S</a:t>
          </a: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DETAILS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75</xdr:col>
      <xdr:colOff>1391</xdr:colOff>
      <xdr:row>32</xdr:row>
      <xdr:rowOff>12696</xdr:rowOff>
    </xdr:from>
    <xdr:to>
      <xdr:col>75</xdr:col>
      <xdr:colOff>1761791</xdr:colOff>
      <xdr:row>35</xdr:row>
      <xdr:rowOff>121596</xdr:rowOff>
    </xdr:to>
    <xdr:sp macro="[0]!printUsrFormLauncher" textlink="">
      <xdr:nvSpPr>
        <xdr:cNvPr id="97" name="deleteOrder">
          <a:extLst>
            <a:ext uri="{FF2B5EF4-FFF2-40B4-BE49-F238E27FC236}">
              <a16:creationId xmlns:a16="http://schemas.microsoft.com/office/drawing/2014/main" id="{00000000-0008-0000-0F00-000061000000}"/>
            </a:ext>
          </a:extLst>
        </xdr:cNvPr>
        <xdr:cNvSpPr/>
      </xdr:nvSpPr>
      <xdr:spPr>
        <a:xfrm>
          <a:off x="179191" y="5746746"/>
          <a:ext cx="1760400" cy="6804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PRINT ORDER'S DOCS</a:t>
          </a:r>
        </a:p>
      </xdr:txBody>
    </xdr:sp>
    <xdr:clientData/>
  </xdr:twoCellAnchor>
  <xdr:twoCellAnchor>
    <xdr:from>
      <xdr:col>3</xdr:col>
      <xdr:colOff>20441</xdr:colOff>
      <xdr:row>27</xdr:row>
      <xdr:rowOff>133354</xdr:rowOff>
    </xdr:from>
    <xdr:to>
      <xdr:col>3</xdr:col>
      <xdr:colOff>1782232</xdr:colOff>
      <xdr:row>31</xdr:row>
      <xdr:rowOff>50805</xdr:rowOff>
    </xdr:to>
    <xdr:sp macro="[0]!editCustomerUsrFormLauncher" textlink="">
      <xdr:nvSpPr>
        <xdr:cNvPr id="72" name="editClient">
          <a:extLst>
            <a:ext uri="{FF2B5EF4-FFF2-40B4-BE49-F238E27FC236}">
              <a16:creationId xmlns:a16="http://schemas.microsoft.com/office/drawing/2014/main" id="{00000000-0008-0000-0F00-000048000000}"/>
            </a:ext>
          </a:extLst>
        </xdr:cNvPr>
        <xdr:cNvSpPr/>
      </xdr:nvSpPr>
      <xdr:spPr>
        <a:xfrm>
          <a:off x="261741" y="4914904"/>
          <a:ext cx="1761791" cy="679451"/>
        </a:xfrm>
        <a:prstGeom prst="roundRect">
          <a:avLst/>
        </a:prstGeom>
        <a:solidFill>
          <a:srgbClr val="0070C0"/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</a:p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CUSTOMER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19050</xdr:colOff>
          <xdr:row>9</xdr:row>
          <xdr:rowOff>19050</xdr:rowOff>
        </xdr:from>
        <xdr:to>
          <xdr:col>23</xdr:col>
          <xdr:colOff>0</xdr:colOff>
          <xdr:row>59</xdr:row>
          <xdr:rowOff>177800</xdr:rowOff>
        </xdr:to>
        <xdr:sp macro="" textlink="">
          <xdr:nvSpPr>
            <xdr:cNvPr id="21539" name="barraScorrimentoOrdini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F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hpc_data" displayName="bhpc_data" ref="A1:AB167" totalsRowShown="0" headerRowDxfId="182" dataDxfId="181">
  <autoFilter ref="A1:AB167" xr:uid="{00000000-0009-0000-0100-000001000000}"/>
  <tableColumns count="28">
    <tableColumn id="1" xr3:uid="{00000000-0010-0000-0000-000001000000}" name="sku" dataDxfId="180"/>
    <tableColumn id="2" xr3:uid="{00000000-0010-0000-0000-000002000000}" name="category" dataDxfId="179"/>
    <tableColumn id="3" xr3:uid="{00000000-0010-0000-0000-000003000000}" name="nr_of_products" dataDxfId="178"/>
    <tableColumn id="4" xr3:uid="{00000000-0010-0000-0000-000004000000}" name="sex" dataDxfId="177"/>
    <tableColumn id="5" xr3:uid="{00000000-0010-0000-0000-000005000000}" name="ean" dataDxfId="176"/>
    <tableColumn id="6" xr3:uid="{00000000-0010-0000-0000-000006000000}" name="hs_code" dataDxfId="175"/>
    <tableColumn id="7" xr3:uid="{00000000-0010-0000-0000-000007000000}" name="description" dataDxfId="174"/>
    <tableColumn id="8" xr3:uid="{00000000-0010-0000-0000-000008000000}" name="unit" dataDxfId="173"/>
    <tableColumn id="9" xr3:uid="{00000000-0010-0000-0000-000009000000}" name="units_per_carton" dataDxfId="172"/>
    <tableColumn id="10" xr3:uid="{00000000-0010-0000-0000-00000A000000}" name="box_per_europallet" dataDxfId="171"/>
    <tableColumn id="13" xr3:uid="{00000000-0010-0000-0000-00000D000000}" name="box_per_pallet" dataDxfId="170" dataCellStyle="Normale 2"/>
    <tableColumn id="39" xr3:uid="{00000000-0010-0000-0000-000027000000}" name="layer_per_europallet" dataDxfId="169" dataCellStyle="Normale 2"/>
    <tableColumn id="12" xr3:uid="{00000000-0010-0000-0000-00000C000000}" name="layers_per_pallet" dataDxfId="168" dataCellStyle="Normale 2"/>
    <tableColumn id="38" xr3:uid="{00000000-0010-0000-0000-000026000000}" name="box_per_eurolayer" dataDxfId="167" dataCellStyle="Normale 2"/>
    <tableColumn id="11" xr3:uid="{00000000-0010-0000-0000-00000B000000}" name="box_per_layer" dataDxfId="166"/>
    <tableColumn id="14" xr3:uid="{00000000-0010-0000-0000-00000E000000}" name="lenght" dataDxfId="165"/>
    <tableColumn id="15" xr3:uid="{00000000-0010-0000-0000-00000F000000}" name="width" dataDxfId="164"/>
    <tableColumn id="16" xr3:uid="{00000000-0010-0000-0000-000010000000}" name="height" dataDxfId="163"/>
    <tableColumn id="17" xr3:uid="{00000000-0010-0000-0000-000011000000}" name="net_weight" dataDxfId="162"/>
    <tableColumn id="18" xr3:uid="{00000000-0010-0000-0000-000012000000}" name="gross_weight" dataDxfId="161"/>
    <tableColumn id="19" xr3:uid="{00000000-0010-0000-0000-000013000000}" name="size1" dataDxfId="160"/>
    <tableColumn id="20" xr3:uid="{00000000-0010-0000-0000-000014000000}" name="size2" dataDxfId="159"/>
    <tableColumn id="21" xr3:uid="{00000000-0010-0000-0000-000015000000}" name="size3" dataDxfId="158"/>
    <tableColumn id="22" xr3:uid="{00000000-0010-0000-0000-000016000000}" name="product1_weight" dataDxfId="157"/>
    <tableColumn id="23" xr3:uid="{00000000-0010-0000-0000-000017000000}" name="product2_weight" dataDxfId="156"/>
    <tableColumn id="24" xr3:uid="{00000000-0010-0000-0000-000018000000}" name="product3_weight" dataDxfId="155"/>
    <tableColumn id="25" xr3:uid="{00000000-0010-0000-0000-000019000000}" name="product4_weight" dataDxfId="154"/>
    <tableColumn id="26" xr3:uid="{00000000-0010-0000-0000-00001A000000}" name="country_of_origin" dataDxfId="15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giftsets_components" displayName="giftsets_components" ref="A1:G26" totalsRowShown="0" headerRowDxfId="152" dataDxfId="151">
  <autoFilter ref="A1:G26" xr:uid="{00000000-0009-0000-0100-000009000000}"/>
  <tableColumns count="7">
    <tableColumn id="1" xr3:uid="{00000000-0010-0000-0100-000001000000}" name="SKU" dataDxfId="150"/>
    <tableColumn id="2" xr3:uid="{00000000-0010-0000-0100-000002000000}" name="DESCRIPTION"/>
    <tableColumn id="3" xr3:uid="{00000000-0010-0000-0100-000003000000}" name="PERF" dataDxfId="149"/>
    <tableColumn id="4" xr3:uid="{00000000-0010-0000-0100-000004000000}" name="DEO" dataDxfId="148"/>
    <tableColumn id="5" xr3:uid="{00000000-0010-0000-0100-000005000000}" name="ROLL-ON" dataDxfId="147"/>
    <tableColumn id="6" xr3:uid="{00000000-0010-0000-0100-000006000000}" name="BOX" dataDxfId="146"/>
    <tableColumn id="7" xr3:uid="{00000000-0010-0000-0100-000007000000}" name="TRAY" dataDxfId="14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components" displayName="components" ref="A28:Z82" totalsRowShown="0" headerRowDxfId="144" dataDxfId="143">
  <autoFilter ref="A28:Z82" xr:uid="{00000000-0009-0000-0100-00000A000000}"/>
  <tableColumns count="26">
    <tableColumn id="1" xr3:uid="{00000000-0010-0000-0200-000001000000}" name="COMPONENTS" dataDxfId="142"/>
    <tableColumn id="2" xr3:uid="{00000000-0010-0000-0200-000002000000}" name="GS5004" dataDxfId="141"/>
    <tableColumn id="3" xr3:uid="{00000000-0010-0000-0200-000003000000}" name="GS5005" dataDxfId="140"/>
    <tableColumn id="4" xr3:uid="{00000000-0010-0000-0200-000004000000}" name="GS5006" dataDxfId="139"/>
    <tableColumn id="5" xr3:uid="{00000000-0010-0000-0200-000005000000}" name="GS5007" dataDxfId="138"/>
    <tableColumn id="6" xr3:uid="{00000000-0010-0000-0200-000006000000}" name="GS5008" dataDxfId="137"/>
    <tableColumn id="7" xr3:uid="{00000000-0010-0000-0200-000007000000}" name="GS5009" dataDxfId="136"/>
    <tableColumn id="8" xr3:uid="{00000000-0010-0000-0200-000008000000}" name="GS5010" dataDxfId="135"/>
    <tableColumn id="9" xr3:uid="{00000000-0010-0000-0200-000009000000}" name="GS5011" dataDxfId="134"/>
    <tableColumn id="10" xr3:uid="{00000000-0010-0000-0200-00000A000000}" name="GS5028" dataDxfId="133"/>
    <tableColumn id="11" xr3:uid="{00000000-0010-0000-0200-00000B000000}" name="GS5029" dataDxfId="132"/>
    <tableColumn id="12" xr3:uid="{00000000-0010-0000-0200-00000C000000}" name="GS5030" dataDxfId="131"/>
    <tableColumn id="13" xr3:uid="{00000000-0010-0000-0200-00000D000000}" name="GS5031" dataDxfId="130"/>
    <tableColumn id="14" xr3:uid="{00000000-0010-0000-0200-00000E000000}" name="GS5050" dataDxfId="129"/>
    <tableColumn id="15" xr3:uid="{00000000-0010-0000-0200-00000F000000}" name="GS5051" dataDxfId="128"/>
    <tableColumn id="16" xr3:uid="{00000000-0010-0000-0200-000010000000}" name="GS5052" dataDxfId="127"/>
    <tableColumn id="17" xr3:uid="{00000000-0010-0000-0200-000011000000}" name="GS5053" dataDxfId="126"/>
    <tableColumn id="18" xr3:uid="{00000000-0010-0000-0200-000012000000}" name="GS7020" dataDxfId="125"/>
    <tableColumn id="19" xr3:uid="{00000000-0010-0000-0200-000013000000}" name="GS7021" dataDxfId="124"/>
    <tableColumn id="20" xr3:uid="{00000000-0010-0000-0200-000014000000}" name="GS7022" dataDxfId="123"/>
    <tableColumn id="21" xr3:uid="{00000000-0010-0000-0200-000015000000}" name="GS7023" dataDxfId="122"/>
    <tableColumn id="22" xr3:uid="{00000000-0010-0000-0200-000016000000}" name="GS7024" dataDxfId="121"/>
    <tableColumn id="23" xr3:uid="{00000000-0010-0000-0200-000017000000}" name="GS7025" dataDxfId="120"/>
    <tableColumn id="24" xr3:uid="{00000000-0010-0000-0200-000018000000}" name="GS7026" dataDxfId="119"/>
    <tableColumn id="25" xr3:uid="{00000000-0010-0000-0200-000019000000}" name="GS7027" dataDxfId="118"/>
    <tableColumn id="26" xr3:uid="{00000000-0010-0000-0200-00001A000000}" name="GSTRO3" dataDxfId="11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clientData" displayName="clientData" ref="A1:T50" totalsRowShown="0" headerRowDxfId="116" dataDxfId="115">
  <autoFilter ref="A1:T50" xr:uid="{00000000-0009-0000-0100-000005000000}"/>
  <sortState xmlns:xlrd2="http://schemas.microsoft.com/office/spreadsheetml/2017/richdata2" ref="A2:T50">
    <sortCondition ref="A1:A50"/>
  </sortState>
  <tableColumns count="20">
    <tableColumn id="1" xr3:uid="{00000000-0010-0000-0300-000001000000}" name="cod_cliente" dataDxfId="114"/>
    <tableColumn id="2" xr3:uid="{00000000-0010-0000-0300-000002000000}" name="country" dataDxfId="113"/>
    <tableColumn id="3" xr3:uid="{00000000-0010-0000-0300-000003000000}" name="payment_account" dataDxfId="112"/>
    <tableColumn id="4" xr3:uid="{00000000-0010-0000-0300-000004000000}" name="company_name1"/>
    <tableColumn id="5" xr3:uid="{00000000-0010-0000-0300-000005000000}" name="company_name2"/>
    <tableColumn id="6" xr3:uid="{00000000-0010-0000-0300-000006000000}" name="logistic_address1"/>
    <tableColumn id="7" xr3:uid="{00000000-0010-0000-0300-000007000000}" name="logistic_address2"/>
    <tableColumn id="8" xr3:uid="{00000000-0010-0000-0300-000008000000}" name="logistic_address3" dataDxfId="111"/>
    <tableColumn id="18" xr3:uid="{00000000-0010-0000-0300-000012000000}" name="logistic_address4" dataDxfId="110"/>
    <tableColumn id="19" xr3:uid="{00000000-0010-0000-0300-000013000000}" name="place_of_discharge" dataDxfId="109"/>
    <tableColumn id="15" xr3:uid="{00000000-0010-0000-0300-00000F000000}" name="hq_address1" dataDxfId="108"/>
    <tableColumn id="16" xr3:uid="{00000000-0010-0000-0300-000010000000}" name="hq_address2" dataDxfId="107"/>
    <tableColumn id="17" xr3:uid="{00000000-0010-0000-0300-000011000000}" name="hq_address3" dataDxfId="106"/>
    <tableColumn id="9" xr3:uid="{00000000-0010-0000-0300-000009000000}" name="vat_no" dataDxfId="105"/>
    <tableColumn id="10" xr3:uid="{00000000-0010-0000-0300-00000A000000}" name="payment_method" dataDxfId="104"/>
    <tableColumn id="11" xr3:uid="{00000000-0010-0000-0300-00000B000000}" name="incoterms"/>
    <tableColumn id="12" xr3:uid="{00000000-0010-0000-0300-00000C000000}" name="currency" dataDxfId="103"/>
    <tableColumn id="13" xr3:uid="{00000000-0010-0000-0300-00000D000000}" name="vat_code" dataDxfId="102"/>
    <tableColumn id="14" xr3:uid="{00000000-0010-0000-0300-00000E000000}" name="legal_references" dataDxfId="101"/>
    <tableColumn id="20" xr3:uid="{00000000-0010-0000-0300-000014000000}" name="notes" dataDxfId="10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salesHistory" displayName="salesHistory" ref="A1:U504" totalsRowShown="0" headerRowDxfId="99" dataDxfId="98">
  <autoFilter ref="A1:U504" xr:uid="{00000000-0009-0000-0100-000004000000}"/>
  <sortState xmlns:xlrd2="http://schemas.microsoft.com/office/spreadsheetml/2017/richdata2" ref="A2:U504">
    <sortCondition descending="1" ref="A1:A504"/>
  </sortState>
  <tableColumns count="21">
    <tableColumn id="1" xr3:uid="{00000000-0010-0000-0400-000001000000}" name="order_no" dataDxfId="97"/>
    <tableColumn id="4" xr3:uid="{00000000-0010-0000-0400-000004000000}" name="sku" dataDxfId="96"/>
    <tableColumn id="7" xr3:uid="{00000000-0010-0000-0400-000007000000}" name="description" dataDxfId="95"/>
    <tableColumn id="5" xr3:uid="{00000000-0010-0000-0400-000005000000}" name="qty" dataDxfId="94"/>
    <tableColumn id="6" xr3:uid="{00000000-0010-0000-0400-000006000000}" name="price" dataDxfId="93"/>
    <tableColumn id="3" xr3:uid="{00000000-0010-0000-0400-000003000000}" name="disc_qty" dataDxfId="92"/>
    <tableColumn id="8" xr3:uid="{00000000-0010-0000-0400-000008000000}" name="disc_price" dataDxfId="91"/>
    <tableColumn id="11" xr3:uid="{00000000-0010-0000-0400-00000B000000}" name="foc_qty" dataDxfId="90"/>
    <tableColumn id="10" xr3:uid="{00000000-0010-0000-0400-00000A000000}" name="cts" dataDxfId="89"/>
    <tableColumn id="17" xr3:uid="{00000000-0010-0000-0400-000011000000}" name="cts_disc" dataDxfId="88"/>
    <tableColumn id="2" xr3:uid="{00000000-0010-0000-0400-000002000000}" name="cts_foc" dataDxfId="87"/>
    <tableColumn id="9" xr3:uid="{00000000-0010-0000-0400-000009000000}" name="net_weight" dataDxfId="86"/>
    <tableColumn id="12" xr3:uid="{00000000-0010-0000-0400-00000C000000}" name="gross_weight" dataDxfId="85"/>
    <tableColumn id="13" xr3:uid="{00000000-0010-0000-0400-00000D000000}" name="cbm" dataDxfId="84"/>
    <tableColumn id="14" xr3:uid="{00000000-0010-0000-0400-00000E000000}" name="category" dataDxfId="83"/>
    <tableColumn id="15" xr3:uid="{00000000-0010-0000-0400-00000F000000}" name="size" dataDxfId="82"/>
    <tableColumn id="16" xr3:uid="{00000000-0010-0000-0400-000010000000}" name="hs_code" dataDxfId="81"/>
    <tableColumn id="18" xr3:uid="{00000000-0010-0000-0400-000012000000}" name="cost_price" dataDxfId="80"/>
    <tableColumn id="20" xr3:uid="{00000000-0010-0000-0400-000014000000}" name="cost" dataDxfId="79"/>
    <tableColumn id="21" xr3:uid="{00000000-0010-0000-0400-000015000000}" name="tot_invoice" dataDxfId="78"/>
    <tableColumn id="19" xr3:uid="{00000000-0010-0000-0400-000013000000}" name="order_type" dataDxfId="7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orderHistory" displayName="orderHistory" ref="A1:AP61" totalsRowShown="0" headerRowDxfId="76">
  <autoFilter ref="A1:AP61" xr:uid="{00000000-0009-0000-0100-000003000000}"/>
  <sortState xmlns:xlrd2="http://schemas.microsoft.com/office/spreadsheetml/2017/richdata2" ref="A2:AP61">
    <sortCondition descending="1" ref="B1:B1048576"/>
  </sortState>
  <tableColumns count="42">
    <tableColumn id="1" xr3:uid="{00000000-0010-0000-0500-000001000000}" name="order_no" dataDxfId="75"/>
    <tableColumn id="2" xr3:uid="{00000000-0010-0000-0500-000002000000}" name="order_date" dataDxfId="74"/>
    <tableColumn id="3" xr3:uid="{00000000-0010-0000-0500-000003000000}" name="customer" dataDxfId="73"/>
    <tableColumn id="4" xr3:uid="{00000000-0010-0000-0500-000004000000}" name="currency" dataDxfId="72"/>
    <tableColumn id="5" xr3:uid="{00000000-0010-0000-0500-000005000000}" name="exchange_rate" dataDxfId="71"/>
    <tableColumn id="6" xr3:uid="{00000000-0010-0000-0500-000006000000}" name="carton_no" dataDxfId="70"/>
    <tableColumn id="7" xr3:uid="{00000000-0010-0000-0500-000007000000}" name="incoterms" dataDxfId="69"/>
    <tableColumn id="8" xr3:uid="{00000000-0010-0000-0500-000008000000}" name="pallet_type" dataDxfId="68"/>
    <tableColumn id="9" xr3:uid="{00000000-0010-0000-0500-000009000000}" name="pallet_no" dataDxfId="67"/>
    <tableColumn id="30" xr3:uid="{00000000-0010-0000-0500-00001E000000}" name="max_height" dataDxfId="66"/>
    <tableColumn id="31" xr3:uid="{00000000-0010-0000-0500-00001F000000}" name="port_of_loading" dataDxfId="65"/>
    <tableColumn id="24" xr3:uid="{00000000-0010-0000-0500-000018000000}" name="net_weight" dataDxfId="64"/>
    <tableColumn id="23" xr3:uid="{00000000-0010-0000-0500-000017000000}" name="gross_weight" dataDxfId="63"/>
    <tableColumn id="10" xr3:uid="{00000000-0010-0000-0500-00000A000000}" name="cbm" dataDxfId="62"/>
    <tableColumn id="11" xr3:uid="{00000000-0010-0000-0500-00000B000000}" name="carrier_name" dataDxfId="61"/>
    <tableColumn id="12" xr3:uid="{00000000-0010-0000-0500-00000C000000}" name="carrier_cost" dataDxfId="60"/>
    <tableColumn id="25" xr3:uid="{00000000-0010-0000-0500-000019000000}" name="on_bhpc_behalf" dataDxfId="59"/>
    <tableColumn id="13" xr3:uid="{00000000-0010-0000-0500-00000D000000}" name="status" dataDxfId="58"/>
    <tableColumn id="14" xr3:uid="{00000000-0010-0000-0500-00000E000000}" name="place_discharge" dataDxfId="57"/>
    <tableColumn id="15" xr3:uid="{00000000-0010-0000-0500-00000F000000}" name="invoice_no" dataDxfId="56"/>
    <tableColumn id="16" xr3:uid="{00000000-0010-0000-0500-000010000000}" name="invoice_date" dataDxfId="55"/>
    <tableColumn id="37" xr3:uid="{00000000-0010-0000-0500-000025000000}" name="order_type" dataDxfId="54"/>
    <tableColumn id="17" xr3:uid="{00000000-0010-0000-0500-000011000000}" name="payment_type" dataDxfId="53"/>
    <tableColumn id="18" xr3:uid="{00000000-0010-0000-0500-000012000000}" name="payment_date" dataDxfId="52"/>
    <tableColumn id="19" xr3:uid="{00000000-0010-0000-0500-000013000000}" name="payed" dataDxfId="51"/>
    <tableColumn id="20" xr3:uid="{00000000-0010-0000-0500-000014000000}" name="cost_of_goods" dataDxfId="50"/>
    <tableColumn id="21" xr3:uid="{00000000-0010-0000-0500-000015000000}" name="inv_amount" dataDxfId="49"/>
    <tableColumn id="22" xr3:uid="{00000000-0010-0000-0500-000016000000}" name="profit" dataDxfId="48"/>
    <tableColumn id="26" xr3:uid="{00000000-0010-0000-0500-00001A000000}" name="labor_hours" dataDxfId="47"/>
    <tableColumn id="27" xr3:uid="{00000000-0010-0000-0500-00001B000000}" name="labor_cost" dataDxfId="46"/>
    <tableColumn id="28" xr3:uid="{00000000-0010-0000-0500-00001C000000}" name="labor_cost_desc" dataDxfId="45"/>
    <tableColumn id="29" xr3:uid="{00000000-0010-0000-0500-00001D000000}" name="foc_value" dataDxfId="44"/>
    <tableColumn id="32" xr3:uid="{00000000-0010-0000-0500-000020000000}" name="other_cost_per_hour" dataDxfId="43"/>
    <tableColumn id="33" xr3:uid="{00000000-0010-0000-0500-000021000000}" name="other_cost_desc" dataDxfId="42"/>
    <tableColumn id="34" xr3:uid="{00000000-0010-0000-0500-000022000000}" name="order_notes" dataDxfId="17"/>
    <tableColumn id="35" xr3:uid="{00000000-0010-0000-0500-000023000000}" name="shipping_method" dataDxfId="41"/>
    <tableColumn id="36" xr3:uid="{00000000-0010-0000-0500-000024000000}" name="accountable" dataDxfId="40"/>
    <tableColumn id="38" xr3:uid="{00000000-0010-0000-0500-000026000000}" name="vessel_name" dataDxfId="39"/>
    <tableColumn id="39" xr3:uid="{00000000-0010-0000-0500-000027000000}" name="container_no" dataDxfId="38"/>
    <tableColumn id="40" xr3:uid="{00000000-0010-0000-0500-000028000000}" name="container_type" dataDxfId="37"/>
    <tableColumn id="41" xr3:uid="{00000000-0010-0000-0500-000029000000}" name="seal_no" dataDxfId="36"/>
    <tableColumn id="42" xr3:uid="{00000000-0010-0000-0500-00002A000000}" name="pickup_date" dataDxfId="35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inventory" displayName="inventory" ref="A1:E112" totalsRowShown="0" headerRowDxfId="34">
  <autoFilter ref="A1:E112" xr:uid="{00000000-0009-0000-0100-000007000000}"/>
  <tableColumns count="5">
    <tableColumn id="1" xr3:uid="{00000000-0010-0000-0600-000001000000}" name="ARTICOLO" dataDxfId="33"/>
    <tableColumn id="2" xr3:uid="{00000000-0010-0000-0600-000002000000}" name="DESCRIZIONE"/>
    <tableColumn id="3" xr3:uid="{00000000-0010-0000-0600-000003000000}" name="U.M." dataDxfId="32"/>
    <tableColumn id="4" xr3:uid="{00000000-0010-0000-0600-000004000000}" name="ESISTENZA" dataDxfId="31"/>
    <tableColumn id="5" xr3:uid="{00000000-0010-0000-0600-000005000000}" name="COSTO UNITARIO" dataDxfId="30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carriers" displayName="carriers" ref="A1:I12" totalsRowShown="0" headerRowDxfId="29">
  <autoFilter ref="A1:I12" xr:uid="{00000000-0009-0000-0100-000008000000}"/>
  <tableColumns count="9">
    <tableColumn id="1" xr3:uid="{00000000-0010-0000-0700-000001000000}" name="CARRIER_CODE"/>
    <tableColumn id="7" xr3:uid="{00000000-0010-0000-0700-000007000000}" name="CARRIER_NAME"/>
    <tableColumn id="2" xr3:uid="{00000000-0010-0000-0700-000002000000}" name="ADDRESS LINE 1"/>
    <tableColumn id="3" xr3:uid="{00000000-0010-0000-0700-000003000000}" name="ADDRESS LINE 2"/>
    <tableColumn id="4" xr3:uid="{00000000-0010-0000-0700-000004000000}" name="ADDRESS LINE 3"/>
    <tableColumn id="5" xr3:uid="{00000000-0010-0000-0700-000005000000}" name="ADDRESS LINE 4"/>
    <tableColumn id="6" xr3:uid="{00000000-0010-0000-0700-000006000000}" name="VAT NO" dataDxfId="28"/>
    <tableColumn id="8" xr3:uid="{00000000-0010-0000-0700-000008000000}" name="TEL" dataDxfId="27"/>
    <tableColumn id="9" xr3:uid="{00000000-0010-0000-0700-000009000000}" name="TEL2" dataDxfId="26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warehouse" displayName="warehouse" ref="EE9:EG250" totalsRowShown="0" headerRowDxfId="25" dataDxfId="23" headerRowBorderDxfId="24" tableBorderDxfId="22">
  <autoFilter ref="EE9:EG250" xr:uid="{00000000-0009-0000-0100-000002000000}"/>
  <tableColumns count="3">
    <tableColumn id="1" xr3:uid="{00000000-0010-0000-0800-000001000000}" name="SKU" dataDxfId="21">
      <calculatedColumnFormula array="1">IFERROR(IF($EC$9="",IF($EC$11="",IF($EC$13="",INDEX(bhpc_data[sku],SMALL(MATCH(ROW(bhpc_data[sku]),ROW(bhpc_data[sku])),ROWS($A$15:A15)+$B$3)),INDEX(bhpc_data[sku],SMALL(IF(ISNUMBER(MATCH(bhpc_data[size1],$EC$13,0)),MATCH(ROW(bhpc_data[sku]),ROW(bhpc_data[sku])),""),ROWS($A$15:A15)+$B$3))),IF($EC$13="",INDEX(bhpc_data[sku],SMALL(IF(ISNUMBER(MATCH(bhpc_data[sex],$EC$11,0)),MATCH(ROW(bhpc_data[sku]),ROW(bhpc_data[sku])),""),ROWS($A$15:A15)+$B$3)),INDEX(bhpc_data[sku],SMALL(IF(ISNUMBER(MATCH(bhpc_data[sex],$EC$11,0)*MATCH(bhpc_data[size1],$EC$13,0)),MATCH(ROW(bhpc_data[sku]),ROW(bhpc_data[sku])),""),ROWS($A$15:A15)+$B$3)))),IF($EC$11="",IF($EC$13="",INDEX(bhpc_data[sku],SMALL(IF(ISNUMBER(MATCH(bhpc_data[category],$EC$9,0)),MATCH(ROW(bhpc_data[sku]),ROW(bhpc_data[sku])),""),ROWS($A$15:A15)+$B$3)),INDEX(bhpc_data[sku],SMALL(IF(ISNUMBER(MATCH(bhpc_data[category],$EC$9,0)*MATCH(bhpc_data[size1],$EC$13,0)),MATCH(ROW(bhpc_data[sku]),ROW(bhpc_data[sku])),""),ROWS($A$15:A15)+$B$3))),IF($EC$13="",INDEX(bhpc_data[sku],SMALL(IF(ISNUMBER(MATCH(bhpc_data[category],$EC$9,0)*MATCH(bhpc_data[sex],$EC$11,0)),MATCH(ROW(bhpc_data[sku]),ROW(bhpc_data[sku])),""),ROWS($A$15:A15)+$B$3)),INDEX(bhpc_data[sku],SMALL(IF(ISNUMBER(MATCH(bhpc_data[category],$EC$9,0)*MATCH(bhpc_data[sex],$EC$11,0)*MATCH(bhpc_data[size1],$EC$13,0)),MATCH(ROW(bhpc_data[sku]),ROW(bhpc_data[sku])),""),ROWS($A$15:A15)+$B$3))))),"")</calculatedColumnFormula>
    </tableColumn>
    <tableColumn id="2" xr3:uid="{00000000-0010-0000-0800-000002000000}" name="Description" dataDxfId="20">
      <calculatedColumnFormula array="1">IFERROR(IF($EC$9="",IF($EC$11="",IF($EC$13="",INDEX(bhpc_data[description],SMALL(MATCH(ROW(bhpc_data[sku]),ROW(bhpc_data[sku])),ROWS($A$15:A15)+$B$3)),INDEX(bhpc_data[description],SMALL(IF(ISNUMBER(MATCH(bhpc_data[size1],$EC$13,0)),MATCH(ROW(bhpc_data[sku]),ROW(bhpc_data[sku])),""),ROWS($A$15:A15)+$B$3))),IF($EC$13="",INDEX(bhpc_data[description],SMALL(IF(ISNUMBER(MATCH(bhpc_data[sex],$EC$11,0)),MATCH(ROW(bhpc_data[sku]),ROW(bhpc_data[sku])),""),ROWS($A$15:A15)+$B$3)),INDEX(bhpc_data[description],SMALL(IF(ISNUMBER(MATCH(bhpc_data[sex],$EC$11,0)*MATCH(bhpc_data[size1],$EC$13,0)),MATCH(ROW(bhpc_data[sku]),ROW(bhpc_data[sku])),""),ROWS($A$15:A15)+$B$3)))),IF($EC$11="",IF($EC$13="",INDEX(bhpc_data[description],SMALL(IF(ISNUMBER(MATCH(bhpc_data[category],$EC$9,0)),MATCH(ROW(bhpc_data[sku]),ROW(bhpc_data[sku])),""),ROWS($A$15:A15)+$B$3)),INDEX(bhpc_data[description],SMALL(IF(ISNUMBER(MATCH(bhpc_data[category],$EC$9,0)*MATCH(bhpc_data[size1],$EC$13,0)),MATCH(ROW(bhpc_data[sku]),ROW(bhpc_data[sku])),""),ROWS($A$15:A15)+$B$3))),IF($EC$13="",INDEX(bhpc_data[description],SMALL(IF(ISNUMBER(MATCH(bhpc_data[category],$EC$9,0)*MATCH(bhpc_data[sex],$EC$11,0)),MATCH(ROW(bhpc_data[sku]),ROW(bhpc_data[sku])),""),ROWS($A$15:A15)+$B$3)),INDEX(bhpc_data[description],SMALL(IF(ISNUMBER(MATCH(bhpc_data[category],$EC$9,0)*MATCH(bhpc_data[sex],$EC$11,0)*MATCH(bhpc_data[size1],$EC$13,0)),MATCH(ROW(bhpc_data[sku]),ROW(bhpc_data[sku])),""),ROWS($A$15:A15)+$B$3))))),"")</calculatedColumnFormula>
    </tableColumn>
    <tableColumn id="3" xr3:uid="{00000000-0010-0000-0800-000003000000}" name="INITIAL STOCK" dataDxfId="19">
      <calculatedColumnFormula>IFERROR(IF(warehouse[[#This Row],[SKU]]="","",INDEX(inventory[ESISTENZA],MATCH(warehouse[[#This Row],[SKU]],inventory[ARTICOLO],0))),"")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production" displayName="production" ref="A1:H2" insertRow="1" totalsRowShown="0" headerRowDxfId="18">
  <autoFilter ref="A1:H2" xr:uid="{00000000-0009-0000-0100-000006000000}"/>
  <tableColumns count="8">
    <tableColumn id="1" xr3:uid="{00000000-0010-0000-0900-000001000000}" name="production_id"/>
    <tableColumn id="2" xr3:uid="{00000000-0010-0000-0900-000002000000}" name="description"/>
    <tableColumn id="3" xr3:uid="{00000000-0010-0000-0900-000003000000}" name="prod_destroyed1"/>
    <tableColumn id="4" xr3:uid="{00000000-0010-0000-0900-000004000000}" name="prod_destroyed2"/>
    <tableColumn id="5" xr3:uid="{00000000-0010-0000-0900-000005000000}" name="prod_destroyed3"/>
    <tableColumn id="6" xr3:uid="{00000000-0010-0000-0900-000006000000}" name="prod_destroyed4"/>
    <tableColumn id="7" xr3:uid="{00000000-0010-0000-0900-000007000000}" name="prod_destroyed5"/>
    <tableColumn id="8" xr3:uid="{00000000-0010-0000-0900-000008000000}" name="prod_buil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2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6"/>
  <dimension ref="A1:BK194"/>
  <sheetViews>
    <sheetView zoomScale="90" zoomScaleNormal="90" workbookViewId="0">
      <pane ySplit="1" topLeftCell="A134" activePane="bottomLeft" state="frozen"/>
      <selection activeCell="H25" sqref="H25"/>
      <selection pane="bottomLeft" activeCell="G62" sqref="G62"/>
    </sheetView>
  </sheetViews>
  <sheetFormatPr defaultColWidth="9.1796875" defaultRowHeight="14.5" x14ac:dyDescent="0.35"/>
  <cols>
    <col min="1" max="1" width="8.453125" style="61" bestFit="1" customWidth="1"/>
    <col min="2" max="2" width="13.7265625" style="61" bestFit="1" customWidth="1"/>
    <col min="3" max="3" width="16.453125" style="61" customWidth="1"/>
    <col min="4" max="4" width="8.453125" style="61" bestFit="1" customWidth="1"/>
    <col min="5" max="5" width="15.81640625" style="61" customWidth="1"/>
    <col min="6" max="6" width="19.7265625" style="375" bestFit="1" customWidth="1"/>
    <col min="7" max="7" width="67.26953125" style="57" bestFit="1" customWidth="1"/>
    <col min="8" max="8" width="8.7265625" style="58" bestFit="1" customWidth="1"/>
    <col min="9" max="9" width="18.1796875" style="61" customWidth="1"/>
    <col min="10" max="10" width="19.81640625" style="61" customWidth="1"/>
    <col min="11" max="11" width="17" style="61" customWidth="1"/>
    <col min="12" max="12" width="20.54296875" style="61" bestFit="1" customWidth="1"/>
    <col min="13" max="13" width="18.7265625" style="61" customWidth="1"/>
    <col min="14" max="14" width="21" style="61" bestFit="1" customWidth="1"/>
    <col min="15" max="15" width="16.1796875" style="61" customWidth="1"/>
    <col min="19" max="19" width="13" style="58" bestFit="1" customWidth="1"/>
    <col min="20" max="20" width="12.54296875" style="58" bestFit="1" customWidth="1"/>
    <col min="21" max="21" width="8.81640625" style="58" customWidth="1"/>
    <col min="22" max="22" width="13.1796875" style="58" customWidth="1"/>
    <col min="23" max="23" width="15" style="58" customWidth="1"/>
    <col min="24" max="26" width="18.1796875" style="58" bestFit="1" customWidth="1"/>
    <col min="27" max="27" width="17.81640625" style="58" customWidth="1"/>
    <col min="28" max="28" width="19.54296875" style="57" customWidth="1"/>
    <col min="29" max="29" width="12.453125" style="271" customWidth="1"/>
    <col min="30" max="30" width="21.54296875" style="58" customWidth="1"/>
    <col min="31" max="31" width="16.453125" style="58" customWidth="1"/>
    <col min="32" max="34" width="9.1796875" style="57"/>
    <col min="35" max="35" width="12.54296875" style="57" customWidth="1"/>
    <col min="36" max="62" width="9.1796875" style="57"/>
    <col min="64" max="16384" width="9.1796875" style="57"/>
  </cols>
  <sheetData>
    <row r="1" spans="1:63" s="62" customFormat="1" ht="28.5" customHeight="1" x14ac:dyDescent="0.35">
      <c r="A1" s="62" t="s">
        <v>0</v>
      </c>
      <c r="B1" s="62" t="s">
        <v>1</v>
      </c>
      <c r="C1" s="62" t="s">
        <v>2</v>
      </c>
      <c r="D1" s="62" t="s">
        <v>3</v>
      </c>
      <c r="E1" s="62" t="s">
        <v>4</v>
      </c>
      <c r="F1" s="384" t="s">
        <v>5</v>
      </c>
      <c r="G1" s="62" t="s">
        <v>6</v>
      </c>
      <c r="H1" s="62" t="s">
        <v>7</v>
      </c>
      <c r="I1" s="62" t="s">
        <v>8</v>
      </c>
      <c r="J1" s="62" t="s">
        <v>966</v>
      </c>
      <c r="K1" s="62" t="s">
        <v>9</v>
      </c>
      <c r="L1" s="62" t="s">
        <v>1168</v>
      </c>
      <c r="M1" s="62" t="s">
        <v>11</v>
      </c>
      <c r="N1" s="62" t="s">
        <v>1167</v>
      </c>
      <c r="O1" s="62" t="s">
        <v>10</v>
      </c>
      <c r="P1" s="62" t="s">
        <v>12</v>
      </c>
      <c r="Q1" s="62" t="s">
        <v>13</v>
      </c>
      <c r="R1" s="62" t="s">
        <v>14</v>
      </c>
      <c r="S1" s="62" t="s">
        <v>15</v>
      </c>
      <c r="T1" s="62" t="s">
        <v>16</v>
      </c>
      <c r="U1" s="62" t="s">
        <v>1169</v>
      </c>
      <c r="V1" s="62" t="s">
        <v>1170</v>
      </c>
      <c r="W1" s="62" t="s">
        <v>17</v>
      </c>
      <c r="X1" s="62" t="s">
        <v>18</v>
      </c>
      <c r="Y1" s="62" t="s">
        <v>19</v>
      </c>
      <c r="Z1" s="62" t="s">
        <v>20</v>
      </c>
      <c r="AA1" s="62" t="s">
        <v>21</v>
      </c>
      <c r="AB1" s="62" t="s">
        <v>22</v>
      </c>
      <c r="AD1" s="62" t="str">
        <f>IFERROR(bhpc_data[[#This Row],[net_weight]]*bhpc_data[[#This Row],[product1_weight]]/bhpc_data[[#This Row],[units_per_carton]]*#REF!,"")</f>
        <v/>
      </c>
    </row>
    <row r="2" spans="1:63" x14ac:dyDescent="0.35">
      <c r="A2" s="61" t="s">
        <v>80</v>
      </c>
      <c r="B2" s="61" t="s">
        <v>25</v>
      </c>
      <c r="C2" s="61">
        <v>2</v>
      </c>
      <c r="D2" s="61" t="s">
        <v>26</v>
      </c>
      <c r="E2" s="59">
        <v>6291107160993</v>
      </c>
      <c r="G2" s="57" t="s">
        <v>81</v>
      </c>
      <c r="H2" s="58" t="s">
        <v>28</v>
      </c>
      <c r="I2" s="61">
        <v>12</v>
      </c>
      <c r="J2" s="61">
        <v>48</v>
      </c>
      <c r="K2" s="270">
        <v>48</v>
      </c>
      <c r="M2" s="61">
        <v>6</v>
      </c>
      <c r="N2" s="270"/>
      <c r="O2" s="61">
        <v>8</v>
      </c>
      <c r="P2" s="58">
        <v>472</v>
      </c>
      <c r="Q2" s="58">
        <v>344</v>
      </c>
      <c r="R2" s="58">
        <v>201</v>
      </c>
      <c r="S2" s="58">
        <v>5.85</v>
      </c>
      <c r="T2" s="58">
        <v>6.6</v>
      </c>
      <c r="U2" s="58">
        <v>100</v>
      </c>
      <c r="V2" s="58">
        <v>175</v>
      </c>
      <c r="W2" s="58">
        <v>0</v>
      </c>
      <c r="X2" s="58">
        <v>0.55000000000000004</v>
      </c>
      <c r="Y2" s="58">
        <v>0.45</v>
      </c>
      <c r="Z2" s="58">
        <v>0</v>
      </c>
      <c r="AA2" s="58">
        <v>0</v>
      </c>
      <c r="AB2" s="58" t="s">
        <v>29</v>
      </c>
      <c r="AC2" s="57"/>
      <c r="AD2" s="57"/>
      <c r="AE2" s="57"/>
      <c r="BH2"/>
      <c r="BK2" s="57"/>
    </row>
    <row r="3" spans="1:63" x14ac:dyDescent="0.35">
      <c r="A3" s="61" t="s">
        <v>82</v>
      </c>
      <c r="B3" s="61" t="s">
        <v>25</v>
      </c>
      <c r="C3" s="61">
        <v>2</v>
      </c>
      <c r="D3" s="61" t="s">
        <v>26</v>
      </c>
      <c r="E3" s="59">
        <v>6291107161006</v>
      </c>
      <c r="G3" s="57" t="s">
        <v>83</v>
      </c>
      <c r="H3" s="58" t="s">
        <v>28</v>
      </c>
      <c r="I3" s="61">
        <v>12</v>
      </c>
      <c r="J3" s="61">
        <v>48</v>
      </c>
      <c r="K3" s="270">
        <v>48</v>
      </c>
      <c r="M3" s="61">
        <v>6</v>
      </c>
      <c r="N3" s="270"/>
      <c r="O3" s="61">
        <v>8</v>
      </c>
      <c r="P3" s="58">
        <v>472</v>
      </c>
      <c r="Q3" s="58">
        <v>344</v>
      </c>
      <c r="R3" s="58">
        <v>201</v>
      </c>
      <c r="S3" s="58">
        <v>5.85</v>
      </c>
      <c r="T3" s="58">
        <v>6.6</v>
      </c>
      <c r="U3" s="58">
        <v>100</v>
      </c>
      <c r="V3" s="58">
        <v>175</v>
      </c>
      <c r="W3" s="58">
        <v>0</v>
      </c>
      <c r="X3" s="58">
        <v>0.55000000000000004</v>
      </c>
      <c r="Y3" s="58">
        <v>0.45</v>
      </c>
      <c r="Z3" s="58">
        <v>0</v>
      </c>
      <c r="AA3" s="58">
        <v>0</v>
      </c>
      <c r="AB3" s="58" t="s">
        <v>29</v>
      </c>
      <c r="AC3" s="57"/>
      <c r="AD3" s="57"/>
      <c r="AE3" s="57"/>
      <c r="BH3"/>
      <c r="BK3" s="57"/>
    </row>
    <row r="4" spans="1:63" x14ac:dyDescent="0.35">
      <c r="A4" s="61" t="s">
        <v>84</v>
      </c>
      <c r="B4" s="61" t="s">
        <v>25</v>
      </c>
      <c r="C4" s="61">
        <v>2</v>
      </c>
      <c r="D4" s="61" t="s">
        <v>26</v>
      </c>
      <c r="E4" s="59">
        <v>6291107161013</v>
      </c>
      <c r="G4" s="57" t="s">
        <v>85</v>
      </c>
      <c r="H4" s="58" t="s">
        <v>28</v>
      </c>
      <c r="I4" s="61">
        <v>12</v>
      </c>
      <c r="J4" s="61">
        <v>48</v>
      </c>
      <c r="K4" s="270">
        <v>48</v>
      </c>
      <c r="M4" s="61">
        <v>6</v>
      </c>
      <c r="N4" s="270"/>
      <c r="O4" s="61">
        <v>8</v>
      </c>
      <c r="P4" s="58">
        <v>472</v>
      </c>
      <c r="Q4" s="58">
        <v>344</v>
      </c>
      <c r="R4" s="58">
        <v>201</v>
      </c>
      <c r="S4" s="58">
        <v>5.85</v>
      </c>
      <c r="T4" s="58">
        <v>6.6</v>
      </c>
      <c r="U4" s="58">
        <v>100</v>
      </c>
      <c r="V4" s="58">
        <v>175</v>
      </c>
      <c r="W4" s="58">
        <v>0</v>
      </c>
      <c r="X4" s="58">
        <v>0.55000000000000004</v>
      </c>
      <c r="Y4" s="58">
        <v>0.45</v>
      </c>
      <c r="Z4" s="58">
        <v>0</v>
      </c>
      <c r="AA4" s="58">
        <v>0</v>
      </c>
      <c r="AB4" s="58" t="s">
        <v>29</v>
      </c>
      <c r="AC4" s="57"/>
      <c r="AD4" s="57"/>
      <c r="AE4" s="57"/>
      <c r="BH4"/>
      <c r="BK4" s="57"/>
    </row>
    <row r="5" spans="1:63" x14ac:dyDescent="0.35">
      <c r="A5" s="61" t="s">
        <v>86</v>
      </c>
      <c r="B5" s="61" t="s">
        <v>25</v>
      </c>
      <c r="C5" s="61">
        <v>2</v>
      </c>
      <c r="D5" s="61" t="s">
        <v>26</v>
      </c>
      <c r="E5" s="59">
        <v>6291107161020</v>
      </c>
      <c r="G5" s="57" t="s">
        <v>87</v>
      </c>
      <c r="H5" s="58" t="s">
        <v>28</v>
      </c>
      <c r="I5" s="61">
        <v>12</v>
      </c>
      <c r="J5" s="61">
        <v>48</v>
      </c>
      <c r="K5" s="270">
        <v>48</v>
      </c>
      <c r="M5" s="61">
        <v>6</v>
      </c>
      <c r="N5" s="270"/>
      <c r="O5" s="61">
        <v>8</v>
      </c>
      <c r="P5" s="58">
        <v>472</v>
      </c>
      <c r="Q5" s="58">
        <v>344</v>
      </c>
      <c r="R5" s="58">
        <v>201</v>
      </c>
      <c r="S5" s="58">
        <v>5.85</v>
      </c>
      <c r="T5" s="58">
        <v>6.6</v>
      </c>
      <c r="U5" s="58">
        <v>100</v>
      </c>
      <c r="V5" s="58">
        <v>175</v>
      </c>
      <c r="W5" s="58">
        <v>0</v>
      </c>
      <c r="X5" s="58">
        <v>0.55000000000000004</v>
      </c>
      <c r="Y5" s="58">
        <v>0.45</v>
      </c>
      <c r="Z5" s="58">
        <v>0</v>
      </c>
      <c r="AA5" s="58">
        <v>0</v>
      </c>
      <c r="AB5" s="58" t="s">
        <v>29</v>
      </c>
      <c r="AC5" s="57"/>
      <c r="AD5" s="57"/>
      <c r="AE5" s="57"/>
      <c r="BH5"/>
      <c r="BK5" s="57"/>
    </row>
    <row r="6" spans="1:63" x14ac:dyDescent="0.35">
      <c r="A6" s="61" t="s">
        <v>24</v>
      </c>
      <c r="B6" s="61" t="s">
        <v>25</v>
      </c>
      <c r="C6" s="61">
        <v>2</v>
      </c>
      <c r="D6" s="61" t="s">
        <v>26</v>
      </c>
      <c r="E6" s="59">
        <v>6291107160993</v>
      </c>
      <c r="G6" s="57" t="s">
        <v>27</v>
      </c>
      <c r="H6" s="58" t="s">
        <v>28</v>
      </c>
      <c r="I6" s="61">
        <v>12</v>
      </c>
      <c r="J6" s="61">
        <v>42</v>
      </c>
      <c r="K6" s="270">
        <v>63</v>
      </c>
      <c r="M6" s="61">
        <v>7</v>
      </c>
      <c r="N6" s="270"/>
      <c r="O6" s="61">
        <v>6</v>
      </c>
      <c r="P6" s="58">
        <v>370</v>
      </c>
      <c r="Q6" s="58">
        <v>330</v>
      </c>
      <c r="R6" s="58">
        <v>230</v>
      </c>
      <c r="S6" s="58">
        <v>5.04</v>
      </c>
      <c r="T6" s="58">
        <v>5.79</v>
      </c>
      <c r="U6" s="58">
        <v>50</v>
      </c>
      <c r="V6" s="58">
        <v>175</v>
      </c>
      <c r="W6" s="58">
        <v>0</v>
      </c>
      <c r="X6" s="58">
        <v>0.55000000000000004</v>
      </c>
      <c r="Y6" s="58">
        <v>0.45</v>
      </c>
      <c r="Z6" s="58">
        <v>0</v>
      </c>
      <c r="AA6" s="58">
        <v>0</v>
      </c>
      <c r="AB6" s="58" t="s">
        <v>29</v>
      </c>
      <c r="AC6" s="57"/>
      <c r="AD6" s="57"/>
      <c r="AE6" s="57"/>
      <c r="BH6"/>
      <c r="BK6" s="57"/>
    </row>
    <row r="7" spans="1:63" x14ac:dyDescent="0.35">
      <c r="A7" s="61" t="s">
        <v>30</v>
      </c>
      <c r="B7" s="61" t="s">
        <v>25</v>
      </c>
      <c r="C7" s="61">
        <v>2</v>
      </c>
      <c r="D7" s="61" t="s">
        <v>26</v>
      </c>
      <c r="E7" s="59">
        <v>6291107161006</v>
      </c>
      <c r="G7" s="57" t="s">
        <v>31</v>
      </c>
      <c r="H7" s="58" t="s">
        <v>28</v>
      </c>
      <c r="I7" s="61">
        <v>12</v>
      </c>
      <c r="J7" s="61">
        <v>42</v>
      </c>
      <c r="K7" s="270">
        <v>63</v>
      </c>
      <c r="M7" s="61">
        <v>7</v>
      </c>
      <c r="N7" s="270"/>
      <c r="O7" s="61">
        <v>6</v>
      </c>
      <c r="P7" s="58">
        <v>370</v>
      </c>
      <c r="Q7" s="58">
        <v>330</v>
      </c>
      <c r="R7" s="58">
        <v>230</v>
      </c>
      <c r="S7" s="58">
        <v>5.04</v>
      </c>
      <c r="T7" s="58">
        <v>5.79</v>
      </c>
      <c r="U7" s="58">
        <v>50</v>
      </c>
      <c r="V7" s="58">
        <v>175</v>
      </c>
      <c r="W7" s="58">
        <v>0</v>
      </c>
      <c r="X7" s="58">
        <v>0.55000000000000004</v>
      </c>
      <c r="Y7" s="58">
        <v>0.45</v>
      </c>
      <c r="Z7" s="58">
        <v>0</v>
      </c>
      <c r="AA7" s="58">
        <v>0</v>
      </c>
      <c r="AB7" s="58" t="s">
        <v>29</v>
      </c>
      <c r="AC7" s="57"/>
      <c r="AD7" s="57"/>
      <c r="AE7" s="57"/>
      <c r="BH7"/>
      <c r="BK7" s="57"/>
    </row>
    <row r="8" spans="1:63" x14ac:dyDescent="0.35">
      <c r="A8" s="61" t="s">
        <v>32</v>
      </c>
      <c r="B8" s="61" t="s">
        <v>25</v>
      </c>
      <c r="C8" s="61">
        <v>2</v>
      </c>
      <c r="D8" s="61" t="s">
        <v>26</v>
      </c>
      <c r="E8" s="59">
        <v>6291107161013</v>
      </c>
      <c r="G8" s="57" t="s">
        <v>33</v>
      </c>
      <c r="H8" s="58" t="s">
        <v>28</v>
      </c>
      <c r="I8" s="61">
        <v>12</v>
      </c>
      <c r="J8" s="61">
        <v>42</v>
      </c>
      <c r="K8" s="270">
        <v>63</v>
      </c>
      <c r="M8" s="61">
        <v>7</v>
      </c>
      <c r="N8" s="270"/>
      <c r="O8" s="61">
        <v>6</v>
      </c>
      <c r="P8" s="58">
        <v>370</v>
      </c>
      <c r="Q8" s="58">
        <v>330</v>
      </c>
      <c r="R8" s="58">
        <v>230</v>
      </c>
      <c r="S8" s="58">
        <v>5.04</v>
      </c>
      <c r="T8" s="58">
        <v>5.79</v>
      </c>
      <c r="U8" s="58">
        <v>50</v>
      </c>
      <c r="V8" s="58">
        <v>175</v>
      </c>
      <c r="W8" s="58">
        <v>0</v>
      </c>
      <c r="X8" s="58">
        <v>0.55000000000000004</v>
      </c>
      <c r="Y8" s="58">
        <v>0.45</v>
      </c>
      <c r="Z8" s="58">
        <v>0</v>
      </c>
      <c r="AA8" s="58">
        <v>0</v>
      </c>
      <c r="AB8" s="58" t="s">
        <v>29</v>
      </c>
      <c r="AC8" s="57"/>
      <c r="AD8" s="57"/>
      <c r="AE8" s="57"/>
      <c r="BH8"/>
      <c r="BK8" s="57"/>
    </row>
    <row r="9" spans="1:63" x14ac:dyDescent="0.35">
      <c r="A9" s="61" t="s">
        <v>34</v>
      </c>
      <c r="B9" s="61" t="s">
        <v>25</v>
      </c>
      <c r="C9" s="61">
        <v>2</v>
      </c>
      <c r="D9" s="61" t="s">
        <v>26</v>
      </c>
      <c r="E9" s="59">
        <v>6291107161020</v>
      </c>
      <c r="G9" s="57" t="s">
        <v>35</v>
      </c>
      <c r="H9" s="58" t="s">
        <v>28</v>
      </c>
      <c r="I9" s="61">
        <v>12</v>
      </c>
      <c r="J9" s="61">
        <v>42</v>
      </c>
      <c r="K9" s="270">
        <v>63</v>
      </c>
      <c r="M9" s="61">
        <v>7</v>
      </c>
      <c r="N9" s="270"/>
      <c r="O9" s="61">
        <v>6</v>
      </c>
      <c r="P9" s="58">
        <v>370</v>
      </c>
      <c r="Q9" s="58">
        <v>330</v>
      </c>
      <c r="R9" s="58">
        <v>230</v>
      </c>
      <c r="S9" s="58">
        <v>5.04</v>
      </c>
      <c r="T9" s="58">
        <v>5.79</v>
      </c>
      <c r="U9" s="58">
        <v>50</v>
      </c>
      <c r="V9" s="58">
        <v>175</v>
      </c>
      <c r="W9" s="58">
        <v>0</v>
      </c>
      <c r="X9" s="58">
        <v>0.55000000000000004</v>
      </c>
      <c r="Y9" s="58">
        <v>0.45</v>
      </c>
      <c r="Z9" s="58">
        <v>0</v>
      </c>
      <c r="AA9" s="58">
        <v>0</v>
      </c>
      <c r="AB9" s="58" t="s">
        <v>29</v>
      </c>
      <c r="AC9" s="57"/>
      <c r="AD9" s="57"/>
      <c r="AE9" s="57"/>
      <c r="BH9"/>
      <c r="BK9" s="57"/>
    </row>
    <row r="10" spans="1:63" x14ac:dyDescent="0.35">
      <c r="A10" s="61" t="s">
        <v>36</v>
      </c>
      <c r="B10" s="61" t="s">
        <v>25</v>
      </c>
      <c r="C10" s="61">
        <v>2</v>
      </c>
      <c r="D10" s="61" t="s">
        <v>37</v>
      </c>
      <c r="E10" s="59">
        <v>6291107161037</v>
      </c>
      <c r="G10" s="57" t="s">
        <v>38</v>
      </c>
      <c r="H10" s="58" t="s">
        <v>28</v>
      </c>
      <c r="I10" s="61">
        <v>12</v>
      </c>
      <c r="J10" s="61">
        <v>42</v>
      </c>
      <c r="K10" s="270">
        <v>63</v>
      </c>
      <c r="M10" s="61">
        <v>7</v>
      </c>
      <c r="N10" s="270"/>
      <c r="O10" s="61">
        <v>6</v>
      </c>
      <c r="P10" s="58">
        <v>370</v>
      </c>
      <c r="Q10" s="58">
        <v>330</v>
      </c>
      <c r="R10" s="58">
        <v>230</v>
      </c>
      <c r="S10" s="58">
        <v>4.78</v>
      </c>
      <c r="T10" s="58">
        <v>5.25</v>
      </c>
      <c r="U10" s="58">
        <v>50</v>
      </c>
      <c r="V10" s="58">
        <v>150</v>
      </c>
      <c r="W10" s="58">
        <v>0</v>
      </c>
      <c r="X10" s="58">
        <v>0.55000000000000004</v>
      </c>
      <c r="Y10" s="58">
        <v>0.45</v>
      </c>
      <c r="Z10" s="58">
        <v>0</v>
      </c>
      <c r="AA10" s="58">
        <v>0</v>
      </c>
      <c r="AB10" s="58" t="s">
        <v>29</v>
      </c>
      <c r="AC10" s="57"/>
      <c r="AD10" s="57"/>
      <c r="AE10" s="57"/>
      <c r="BH10"/>
      <c r="BK10" s="57"/>
    </row>
    <row r="11" spans="1:63" x14ac:dyDescent="0.35">
      <c r="A11" s="61" t="s">
        <v>39</v>
      </c>
      <c r="B11" s="61" t="s">
        <v>25</v>
      </c>
      <c r="C11" s="61">
        <v>2</v>
      </c>
      <c r="D11" s="61" t="s">
        <v>37</v>
      </c>
      <c r="E11" s="59">
        <v>6291107161044</v>
      </c>
      <c r="G11" s="57" t="s">
        <v>40</v>
      </c>
      <c r="H11" s="58" t="s">
        <v>28</v>
      </c>
      <c r="I11" s="61">
        <v>12</v>
      </c>
      <c r="J11" s="61">
        <v>42</v>
      </c>
      <c r="K11" s="270">
        <v>63</v>
      </c>
      <c r="M11" s="61">
        <v>7</v>
      </c>
      <c r="N11" s="270"/>
      <c r="O11" s="61">
        <v>6</v>
      </c>
      <c r="P11" s="58">
        <v>370</v>
      </c>
      <c r="Q11" s="58">
        <v>330</v>
      </c>
      <c r="R11" s="58">
        <v>230</v>
      </c>
      <c r="S11" s="58">
        <v>4.78</v>
      </c>
      <c r="T11" s="58">
        <v>5.25</v>
      </c>
      <c r="U11" s="58">
        <v>50</v>
      </c>
      <c r="V11" s="58">
        <v>150</v>
      </c>
      <c r="W11" s="58">
        <v>0</v>
      </c>
      <c r="X11" s="58">
        <v>0.55000000000000004</v>
      </c>
      <c r="Y11" s="58">
        <v>0.45</v>
      </c>
      <c r="Z11" s="58">
        <v>0</v>
      </c>
      <c r="AA11" s="58">
        <v>0</v>
      </c>
      <c r="AB11" s="58" t="s">
        <v>29</v>
      </c>
      <c r="AC11" s="57"/>
      <c r="AD11" s="57"/>
      <c r="AE11" s="57"/>
      <c r="BH11"/>
      <c r="BK11" s="57"/>
    </row>
    <row r="12" spans="1:63" x14ac:dyDescent="0.35">
      <c r="A12" s="61" t="s">
        <v>41</v>
      </c>
      <c r="B12" s="61" t="s">
        <v>25</v>
      </c>
      <c r="C12" s="61">
        <v>2</v>
      </c>
      <c r="D12" s="61" t="s">
        <v>37</v>
      </c>
      <c r="E12" s="59">
        <v>6291107161051</v>
      </c>
      <c r="G12" s="57" t="s">
        <v>42</v>
      </c>
      <c r="H12" s="58" t="s">
        <v>28</v>
      </c>
      <c r="I12" s="61">
        <v>12</v>
      </c>
      <c r="J12" s="61">
        <v>42</v>
      </c>
      <c r="K12" s="270">
        <v>63</v>
      </c>
      <c r="M12" s="61">
        <v>7</v>
      </c>
      <c r="N12" s="270"/>
      <c r="O12" s="61">
        <v>6</v>
      </c>
      <c r="P12" s="58">
        <v>370</v>
      </c>
      <c r="Q12" s="58">
        <v>330</v>
      </c>
      <c r="R12" s="58">
        <v>230</v>
      </c>
      <c r="S12" s="58">
        <v>4.78</v>
      </c>
      <c r="T12" s="58">
        <v>5.25</v>
      </c>
      <c r="U12" s="58">
        <v>50</v>
      </c>
      <c r="V12" s="58">
        <v>150</v>
      </c>
      <c r="W12" s="58">
        <v>0</v>
      </c>
      <c r="X12" s="58">
        <v>0.55000000000000004</v>
      </c>
      <c r="Y12" s="58">
        <v>0.45</v>
      </c>
      <c r="Z12" s="58">
        <v>0</v>
      </c>
      <c r="AA12" s="58">
        <v>0</v>
      </c>
      <c r="AB12" s="58" t="s">
        <v>29</v>
      </c>
      <c r="AC12" s="57"/>
      <c r="AD12" s="57"/>
      <c r="AE12" s="57"/>
      <c r="BH12"/>
      <c r="BK12" s="57"/>
    </row>
    <row r="13" spans="1:63" x14ac:dyDescent="0.35">
      <c r="A13" s="61" t="s">
        <v>43</v>
      </c>
      <c r="B13" s="61" t="s">
        <v>25</v>
      </c>
      <c r="C13" s="61">
        <v>2</v>
      </c>
      <c r="D13" s="61" t="s">
        <v>37</v>
      </c>
      <c r="E13" s="59">
        <v>6291107161068</v>
      </c>
      <c r="G13" s="57" t="s">
        <v>44</v>
      </c>
      <c r="H13" s="58" t="s">
        <v>28</v>
      </c>
      <c r="I13" s="61">
        <v>12</v>
      </c>
      <c r="J13" s="61">
        <v>42</v>
      </c>
      <c r="K13" s="270">
        <v>63</v>
      </c>
      <c r="M13" s="61">
        <v>7</v>
      </c>
      <c r="N13" s="270"/>
      <c r="O13" s="61">
        <v>6</v>
      </c>
      <c r="P13" s="58">
        <v>370</v>
      </c>
      <c r="Q13" s="58">
        <v>330</v>
      </c>
      <c r="R13" s="58">
        <v>230</v>
      </c>
      <c r="S13" s="58">
        <v>4.78</v>
      </c>
      <c r="T13" s="58">
        <v>5.25</v>
      </c>
      <c r="U13" s="58">
        <v>50</v>
      </c>
      <c r="V13" s="58">
        <v>150</v>
      </c>
      <c r="W13" s="58">
        <v>0</v>
      </c>
      <c r="X13" s="58">
        <v>0.55000000000000004</v>
      </c>
      <c r="Y13" s="58">
        <v>0.45</v>
      </c>
      <c r="Z13" s="58">
        <v>0</v>
      </c>
      <c r="AA13" s="58">
        <v>0</v>
      </c>
      <c r="AB13" s="58" t="s">
        <v>29</v>
      </c>
      <c r="AC13" s="57"/>
      <c r="AD13" s="57"/>
      <c r="AE13" s="57"/>
      <c r="BH13"/>
      <c r="BK13" s="57"/>
    </row>
    <row r="14" spans="1:63" x14ac:dyDescent="0.35">
      <c r="A14" s="61" t="s">
        <v>88</v>
      </c>
      <c r="B14" s="61" t="s">
        <v>25</v>
      </c>
      <c r="C14" s="61">
        <v>2</v>
      </c>
      <c r="D14" s="61" t="s">
        <v>37</v>
      </c>
      <c r="E14" s="59">
        <v>6291107161037</v>
      </c>
      <c r="G14" s="57" t="s">
        <v>89</v>
      </c>
      <c r="H14" s="58" t="s">
        <v>28</v>
      </c>
      <c r="I14" s="61">
        <v>12</v>
      </c>
      <c r="J14" s="61">
        <v>48</v>
      </c>
      <c r="K14" s="270">
        <v>48</v>
      </c>
      <c r="M14" s="61">
        <v>6</v>
      </c>
      <c r="N14" s="270"/>
      <c r="O14" s="61">
        <v>8</v>
      </c>
      <c r="P14" s="58">
        <v>460</v>
      </c>
      <c r="Q14" s="58">
        <v>340</v>
      </c>
      <c r="R14" s="58">
        <v>205</v>
      </c>
      <c r="S14" s="58">
        <v>5.25</v>
      </c>
      <c r="T14" s="58">
        <v>6</v>
      </c>
      <c r="U14" s="58">
        <v>100</v>
      </c>
      <c r="V14" s="58">
        <v>150</v>
      </c>
      <c r="W14" s="58">
        <v>0</v>
      </c>
      <c r="X14" s="58">
        <v>0.55000000000000004</v>
      </c>
      <c r="Y14" s="58">
        <v>0.45</v>
      </c>
      <c r="Z14" s="58">
        <v>0</v>
      </c>
      <c r="AA14" s="58">
        <v>0</v>
      </c>
      <c r="AB14" s="58" t="s">
        <v>29</v>
      </c>
      <c r="AC14" s="57"/>
      <c r="AD14" s="57"/>
      <c r="AE14" s="57"/>
      <c r="BH14"/>
      <c r="BK14" s="57"/>
    </row>
    <row r="15" spans="1:63" x14ac:dyDescent="0.35">
      <c r="A15" s="61" t="s">
        <v>90</v>
      </c>
      <c r="B15" s="61" t="s">
        <v>25</v>
      </c>
      <c r="C15" s="61">
        <v>2</v>
      </c>
      <c r="D15" s="61" t="s">
        <v>37</v>
      </c>
      <c r="E15" s="59">
        <v>6291107161044</v>
      </c>
      <c r="G15" s="57" t="s">
        <v>91</v>
      </c>
      <c r="H15" s="58" t="s">
        <v>28</v>
      </c>
      <c r="I15" s="61">
        <v>12</v>
      </c>
      <c r="J15" s="61">
        <v>48</v>
      </c>
      <c r="K15" s="270">
        <v>48</v>
      </c>
      <c r="M15" s="61">
        <v>6</v>
      </c>
      <c r="N15" s="270"/>
      <c r="O15" s="61">
        <v>8</v>
      </c>
      <c r="P15" s="58">
        <v>460</v>
      </c>
      <c r="Q15" s="58">
        <v>340</v>
      </c>
      <c r="R15" s="58">
        <v>205</v>
      </c>
      <c r="S15" s="58">
        <v>5.25</v>
      </c>
      <c r="T15" s="58">
        <v>6</v>
      </c>
      <c r="U15" s="58">
        <v>100</v>
      </c>
      <c r="V15" s="58">
        <v>150</v>
      </c>
      <c r="W15" s="58">
        <v>0</v>
      </c>
      <c r="X15" s="58">
        <v>0.55000000000000004</v>
      </c>
      <c r="Y15" s="58">
        <v>0.45</v>
      </c>
      <c r="Z15" s="58">
        <v>0</v>
      </c>
      <c r="AA15" s="58">
        <v>0</v>
      </c>
      <c r="AB15" s="58" t="s">
        <v>29</v>
      </c>
      <c r="AC15" s="57"/>
      <c r="AD15" s="57"/>
      <c r="AE15" s="57"/>
      <c r="BH15"/>
      <c r="BK15" s="57"/>
    </row>
    <row r="16" spans="1:63" x14ac:dyDescent="0.35">
      <c r="A16" s="61" t="s">
        <v>92</v>
      </c>
      <c r="B16" s="61" t="s">
        <v>25</v>
      </c>
      <c r="C16" s="61">
        <v>2</v>
      </c>
      <c r="D16" s="61" t="s">
        <v>37</v>
      </c>
      <c r="E16" s="59">
        <v>6291107161051</v>
      </c>
      <c r="G16" s="57" t="s">
        <v>93</v>
      </c>
      <c r="H16" s="58" t="s">
        <v>28</v>
      </c>
      <c r="I16" s="61">
        <v>12</v>
      </c>
      <c r="J16" s="61">
        <v>48</v>
      </c>
      <c r="K16" s="270">
        <v>48</v>
      </c>
      <c r="M16" s="61">
        <v>6</v>
      </c>
      <c r="N16" s="270"/>
      <c r="O16" s="61">
        <v>8</v>
      </c>
      <c r="P16" s="58">
        <v>460</v>
      </c>
      <c r="Q16" s="58">
        <v>340</v>
      </c>
      <c r="R16" s="58">
        <v>205</v>
      </c>
      <c r="S16" s="58">
        <v>5.25</v>
      </c>
      <c r="T16" s="58">
        <v>6</v>
      </c>
      <c r="U16" s="58">
        <v>100</v>
      </c>
      <c r="V16" s="58">
        <v>150</v>
      </c>
      <c r="W16" s="58">
        <v>0</v>
      </c>
      <c r="X16" s="58">
        <v>0.55000000000000004</v>
      </c>
      <c r="Y16" s="58">
        <v>0.45</v>
      </c>
      <c r="Z16" s="58">
        <v>0</v>
      </c>
      <c r="AA16" s="58">
        <v>0</v>
      </c>
      <c r="AB16" s="58" t="s">
        <v>29</v>
      </c>
      <c r="AC16" s="57"/>
      <c r="AD16" s="57"/>
      <c r="AE16" s="57"/>
      <c r="BH16"/>
      <c r="BK16" s="57"/>
    </row>
    <row r="17" spans="1:63" x14ac:dyDescent="0.35">
      <c r="A17" s="61" t="s">
        <v>94</v>
      </c>
      <c r="B17" s="61" t="s">
        <v>25</v>
      </c>
      <c r="C17" s="61">
        <v>2</v>
      </c>
      <c r="D17" s="61" t="s">
        <v>37</v>
      </c>
      <c r="E17" s="59">
        <v>6291107161068</v>
      </c>
      <c r="G17" s="57" t="s">
        <v>95</v>
      </c>
      <c r="H17" s="58" t="s">
        <v>28</v>
      </c>
      <c r="I17" s="61">
        <v>12</v>
      </c>
      <c r="J17" s="61">
        <v>48</v>
      </c>
      <c r="K17" s="270">
        <v>48</v>
      </c>
      <c r="M17" s="61">
        <v>6</v>
      </c>
      <c r="N17" s="270"/>
      <c r="O17" s="61">
        <v>8</v>
      </c>
      <c r="P17" s="58">
        <v>460</v>
      </c>
      <c r="Q17" s="58">
        <v>340</v>
      </c>
      <c r="R17" s="58">
        <v>205</v>
      </c>
      <c r="S17" s="58">
        <v>5.25</v>
      </c>
      <c r="T17" s="58">
        <v>6</v>
      </c>
      <c r="U17" s="58">
        <v>100</v>
      </c>
      <c r="V17" s="58">
        <v>150</v>
      </c>
      <c r="W17" s="58">
        <v>0</v>
      </c>
      <c r="X17" s="58">
        <v>0.55000000000000004</v>
      </c>
      <c r="Y17" s="58">
        <v>0.45</v>
      </c>
      <c r="Z17" s="58">
        <v>0</v>
      </c>
      <c r="AA17" s="58">
        <v>0</v>
      </c>
      <c r="AB17" s="58" t="s">
        <v>29</v>
      </c>
      <c r="AC17" s="57"/>
      <c r="AD17" s="57"/>
      <c r="AE17" s="57"/>
      <c r="BH17"/>
      <c r="BK17" s="57"/>
    </row>
    <row r="18" spans="1:63" x14ac:dyDescent="0.35">
      <c r="A18" s="61" t="s">
        <v>45</v>
      </c>
      <c r="B18" s="61" t="s">
        <v>25</v>
      </c>
      <c r="C18" s="61">
        <v>3</v>
      </c>
      <c r="D18" s="61" t="s">
        <v>26</v>
      </c>
      <c r="E18" s="59"/>
      <c r="G18" s="57" t="s">
        <v>46</v>
      </c>
      <c r="H18" s="58" t="s">
        <v>28</v>
      </c>
      <c r="I18" s="61">
        <v>12</v>
      </c>
      <c r="J18" s="61">
        <v>48</v>
      </c>
      <c r="M18" s="61">
        <v>6</v>
      </c>
      <c r="O18" s="61">
        <v>8</v>
      </c>
      <c r="P18" s="58">
        <v>445</v>
      </c>
      <c r="Q18" s="58">
        <v>365</v>
      </c>
      <c r="R18" s="58">
        <v>240</v>
      </c>
      <c r="S18" s="58">
        <v>6.17</v>
      </c>
      <c r="T18" s="58">
        <v>6.77</v>
      </c>
      <c r="U18" s="58">
        <v>50</v>
      </c>
      <c r="V18" s="58">
        <v>175</v>
      </c>
      <c r="W18" s="58">
        <v>50</v>
      </c>
      <c r="X18" s="58">
        <v>0.55000000000000004</v>
      </c>
      <c r="Y18" s="58">
        <v>0.45</v>
      </c>
      <c r="Z18" s="58">
        <v>0</v>
      </c>
      <c r="AA18" s="58">
        <v>0</v>
      </c>
      <c r="AB18" s="58" t="s">
        <v>29</v>
      </c>
      <c r="AC18" s="57"/>
      <c r="AD18" s="57"/>
      <c r="AE18" s="57"/>
      <c r="BH18"/>
      <c r="BK18" s="57"/>
    </row>
    <row r="19" spans="1:63" x14ac:dyDescent="0.35">
      <c r="A19" s="61" t="s">
        <v>47</v>
      </c>
      <c r="B19" s="61" t="s">
        <v>25</v>
      </c>
      <c r="C19" s="61">
        <v>3</v>
      </c>
      <c r="D19" s="61" t="s">
        <v>26</v>
      </c>
      <c r="E19" s="59"/>
      <c r="G19" s="57" t="s">
        <v>48</v>
      </c>
      <c r="H19" s="58" t="s">
        <v>28</v>
      </c>
      <c r="I19" s="61">
        <v>12</v>
      </c>
      <c r="J19" s="61">
        <v>48</v>
      </c>
      <c r="M19" s="61">
        <v>6</v>
      </c>
      <c r="O19" s="61">
        <v>8</v>
      </c>
      <c r="P19" s="58">
        <v>445</v>
      </c>
      <c r="Q19" s="58">
        <v>365</v>
      </c>
      <c r="R19" s="58">
        <v>240</v>
      </c>
      <c r="S19" s="58">
        <v>6.17</v>
      </c>
      <c r="T19" s="58">
        <v>6.77</v>
      </c>
      <c r="U19" s="58">
        <v>50</v>
      </c>
      <c r="V19" s="58">
        <v>175</v>
      </c>
      <c r="W19" s="58">
        <v>50</v>
      </c>
      <c r="X19" s="58">
        <v>0.55000000000000004</v>
      </c>
      <c r="Y19" s="58">
        <v>0.45</v>
      </c>
      <c r="Z19" s="58">
        <v>0</v>
      </c>
      <c r="AA19" s="58">
        <v>0</v>
      </c>
      <c r="AB19" s="58" t="s">
        <v>29</v>
      </c>
      <c r="AC19" s="57"/>
      <c r="AD19" s="57"/>
      <c r="AE19" s="57"/>
      <c r="BH19"/>
      <c r="BK19" s="57"/>
    </row>
    <row r="20" spans="1:63" x14ac:dyDescent="0.35">
      <c r="A20" s="61" t="s">
        <v>49</v>
      </c>
      <c r="B20" s="61" t="s">
        <v>25</v>
      </c>
      <c r="C20" s="61">
        <v>3</v>
      </c>
      <c r="D20" s="61" t="s">
        <v>26</v>
      </c>
      <c r="E20" s="59"/>
      <c r="G20" s="57" t="s">
        <v>50</v>
      </c>
      <c r="H20" s="58" t="s">
        <v>28</v>
      </c>
      <c r="I20" s="61">
        <v>12</v>
      </c>
      <c r="J20" s="61">
        <v>48</v>
      </c>
      <c r="M20" s="61">
        <v>6</v>
      </c>
      <c r="O20" s="61">
        <v>8</v>
      </c>
      <c r="P20" s="58">
        <v>445</v>
      </c>
      <c r="Q20" s="58">
        <v>365</v>
      </c>
      <c r="R20" s="58">
        <v>240</v>
      </c>
      <c r="S20" s="58">
        <v>6.17</v>
      </c>
      <c r="T20" s="58">
        <v>6.77</v>
      </c>
      <c r="U20" s="58">
        <v>50</v>
      </c>
      <c r="V20" s="58">
        <v>175</v>
      </c>
      <c r="W20" s="58">
        <v>50</v>
      </c>
      <c r="X20" s="58">
        <v>0.55000000000000004</v>
      </c>
      <c r="Y20" s="58">
        <v>0.45</v>
      </c>
      <c r="Z20" s="58">
        <v>0</v>
      </c>
      <c r="AA20" s="58">
        <v>0</v>
      </c>
      <c r="AB20" s="58" t="s">
        <v>29</v>
      </c>
      <c r="AC20" s="57"/>
      <c r="AD20" s="57"/>
      <c r="AE20" s="57"/>
      <c r="BH20"/>
      <c r="BK20" s="57"/>
    </row>
    <row r="21" spans="1:63" x14ac:dyDescent="0.35">
      <c r="A21" s="61" t="s">
        <v>51</v>
      </c>
      <c r="B21" s="61" t="s">
        <v>25</v>
      </c>
      <c r="C21" s="61">
        <v>3</v>
      </c>
      <c r="D21" s="61" t="s">
        <v>26</v>
      </c>
      <c r="E21" s="59"/>
      <c r="G21" s="57" t="s">
        <v>52</v>
      </c>
      <c r="H21" s="58" t="s">
        <v>28</v>
      </c>
      <c r="I21" s="61">
        <v>12</v>
      </c>
      <c r="J21" s="61">
        <v>48</v>
      </c>
      <c r="M21" s="61">
        <v>6</v>
      </c>
      <c r="O21" s="61">
        <v>8</v>
      </c>
      <c r="P21" s="58">
        <v>445</v>
      </c>
      <c r="Q21" s="58">
        <v>365</v>
      </c>
      <c r="R21" s="58">
        <v>240</v>
      </c>
      <c r="S21" s="58">
        <v>6.17</v>
      </c>
      <c r="T21" s="58">
        <v>6.77</v>
      </c>
      <c r="U21" s="58">
        <v>50</v>
      </c>
      <c r="V21" s="58">
        <v>175</v>
      </c>
      <c r="W21" s="58">
        <v>50</v>
      </c>
      <c r="X21" s="58">
        <v>0.55000000000000004</v>
      </c>
      <c r="Y21" s="58">
        <v>0.45</v>
      </c>
      <c r="Z21" s="58">
        <v>0</v>
      </c>
      <c r="AA21" s="58">
        <v>0</v>
      </c>
      <c r="AB21" s="58" t="s">
        <v>29</v>
      </c>
      <c r="AC21" s="57"/>
      <c r="AD21" s="57"/>
      <c r="AE21" s="57"/>
      <c r="BH21"/>
      <c r="BK21" s="57"/>
    </row>
    <row r="22" spans="1:63" x14ac:dyDescent="0.35">
      <c r="A22" s="61" t="s">
        <v>53</v>
      </c>
      <c r="B22" s="61" t="s">
        <v>25</v>
      </c>
      <c r="C22" s="61">
        <v>3</v>
      </c>
      <c r="D22" s="61" t="s">
        <v>37</v>
      </c>
      <c r="E22" s="59"/>
      <c r="G22" s="57" t="s">
        <v>54</v>
      </c>
      <c r="H22" s="58" t="s">
        <v>28</v>
      </c>
      <c r="I22" s="61">
        <v>12</v>
      </c>
      <c r="J22" s="61">
        <v>48</v>
      </c>
      <c r="M22" s="61">
        <v>6</v>
      </c>
      <c r="O22" s="61">
        <v>8</v>
      </c>
      <c r="P22" s="58">
        <v>445</v>
      </c>
      <c r="Q22" s="58">
        <v>365</v>
      </c>
      <c r="R22" s="58">
        <v>240</v>
      </c>
      <c r="S22" s="58">
        <v>5.7</v>
      </c>
      <c r="T22" s="58">
        <v>6.3</v>
      </c>
      <c r="U22" s="58">
        <v>50</v>
      </c>
      <c r="V22" s="58">
        <v>150</v>
      </c>
      <c r="W22" s="58">
        <v>50</v>
      </c>
      <c r="X22" s="58">
        <v>0.55000000000000004</v>
      </c>
      <c r="Y22" s="58">
        <v>0.45</v>
      </c>
      <c r="Z22" s="58">
        <v>0</v>
      </c>
      <c r="AA22" s="58">
        <v>0</v>
      </c>
      <c r="AB22" s="58" t="s">
        <v>29</v>
      </c>
      <c r="AC22" s="57"/>
      <c r="AD22" s="57"/>
      <c r="AE22" s="57"/>
      <c r="BH22"/>
      <c r="BK22" s="57"/>
    </row>
    <row r="23" spans="1:63" x14ac:dyDescent="0.35">
      <c r="A23" s="61" t="s">
        <v>55</v>
      </c>
      <c r="B23" s="61" t="s">
        <v>25</v>
      </c>
      <c r="C23" s="61">
        <v>3</v>
      </c>
      <c r="D23" s="61" t="s">
        <v>37</v>
      </c>
      <c r="E23" s="59"/>
      <c r="G23" s="57" t="s">
        <v>56</v>
      </c>
      <c r="H23" s="58" t="s">
        <v>28</v>
      </c>
      <c r="I23" s="61">
        <v>12</v>
      </c>
      <c r="J23" s="61">
        <v>48</v>
      </c>
      <c r="M23" s="61">
        <v>6</v>
      </c>
      <c r="O23" s="61">
        <v>8</v>
      </c>
      <c r="P23" s="58">
        <v>445</v>
      </c>
      <c r="Q23" s="58">
        <v>365</v>
      </c>
      <c r="R23" s="58">
        <v>240</v>
      </c>
      <c r="S23" s="58">
        <v>5.7</v>
      </c>
      <c r="T23" s="58">
        <v>6.3</v>
      </c>
      <c r="U23" s="58">
        <v>50</v>
      </c>
      <c r="V23" s="58">
        <v>150</v>
      </c>
      <c r="W23" s="58">
        <v>50</v>
      </c>
      <c r="X23" s="58">
        <v>0.55000000000000004</v>
      </c>
      <c r="Y23" s="58">
        <v>0.45</v>
      </c>
      <c r="Z23" s="58">
        <v>0</v>
      </c>
      <c r="AA23" s="58">
        <v>0</v>
      </c>
      <c r="AB23" s="58" t="s">
        <v>29</v>
      </c>
      <c r="AC23" s="57"/>
      <c r="AD23" s="57"/>
      <c r="AE23" s="57"/>
      <c r="BH23"/>
      <c r="BK23" s="57"/>
    </row>
    <row r="24" spans="1:63" x14ac:dyDescent="0.35">
      <c r="A24" s="61" t="s">
        <v>57</v>
      </c>
      <c r="B24" s="61" t="s">
        <v>25</v>
      </c>
      <c r="C24" s="61">
        <v>3</v>
      </c>
      <c r="D24" s="61" t="s">
        <v>37</v>
      </c>
      <c r="E24" s="59"/>
      <c r="G24" s="57" t="s">
        <v>58</v>
      </c>
      <c r="H24" s="58" t="s">
        <v>28</v>
      </c>
      <c r="I24" s="61">
        <v>12</v>
      </c>
      <c r="J24" s="61">
        <v>48</v>
      </c>
      <c r="M24" s="61">
        <v>6</v>
      </c>
      <c r="O24" s="61">
        <v>8</v>
      </c>
      <c r="P24" s="58">
        <v>445</v>
      </c>
      <c r="Q24" s="58">
        <v>365</v>
      </c>
      <c r="R24" s="58">
        <v>240</v>
      </c>
      <c r="S24" s="58">
        <v>5.7</v>
      </c>
      <c r="T24" s="58">
        <v>6.3</v>
      </c>
      <c r="U24" s="58">
        <v>50</v>
      </c>
      <c r="V24" s="58">
        <v>150</v>
      </c>
      <c r="W24" s="58">
        <v>50</v>
      </c>
      <c r="X24" s="58">
        <v>0.55000000000000004</v>
      </c>
      <c r="Y24" s="58">
        <v>0.45</v>
      </c>
      <c r="Z24" s="58">
        <v>0</v>
      </c>
      <c r="AA24" s="58">
        <v>0</v>
      </c>
      <c r="AB24" s="58" t="s">
        <v>29</v>
      </c>
      <c r="AC24" s="57"/>
      <c r="AD24" s="57"/>
      <c r="AE24" s="57"/>
      <c r="BH24"/>
      <c r="BK24" s="57"/>
    </row>
    <row r="25" spans="1:63" x14ac:dyDescent="0.35">
      <c r="A25" s="61" t="s">
        <v>59</v>
      </c>
      <c r="B25" s="61" t="s">
        <v>25</v>
      </c>
      <c r="C25" s="61">
        <v>3</v>
      </c>
      <c r="D25" s="61" t="s">
        <v>37</v>
      </c>
      <c r="E25" s="59"/>
      <c r="G25" s="57" t="s">
        <v>60</v>
      </c>
      <c r="H25" s="58" t="s">
        <v>28</v>
      </c>
      <c r="I25" s="61">
        <v>12</v>
      </c>
      <c r="J25" s="61">
        <v>48</v>
      </c>
      <c r="M25" s="61">
        <v>6</v>
      </c>
      <c r="O25" s="61">
        <v>8</v>
      </c>
      <c r="P25" s="58">
        <v>445</v>
      </c>
      <c r="Q25" s="58">
        <v>365</v>
      </c>
      <c r="R25" s="58">
        <v>240</v>
      </c>
      <c r="S25" s="58">
        <v>5.7</v>
      </c>
      <c r="T25" s="58">
        <v>6.3</v>
      </c>
      <c r="U25" s="58">
        <v>50</v>
      </c>
      <c r="V25" s="58">
        <v>150</v>
      </c>
      <c r="W25" s="58">
        <v>50</v>
      </c>
      <c r="X25" s="58">
        <v>0.55000000000000004</v>
      </c>
      <c r="Y25" s="58">
        <v>0.45</v>
      </c>
      <c r="Z25" s="58">
        <v>0</v>
      </c>
      <c r="AA25" s="58">
        <v>0</v>
      </c>
      <c r="AB25" s="58" t="s">
        <v>29</v>
      </c>
      <c r="AC25" s="57"/>
      <c r="AD25" s="57"/>
      <c r="AE25" s="57"/>
      <c r="BH25"/>
      <c r="BK25" s="57"/>
    </row>
    <row r="26" spans="1:63" x14ac:dyDescent="0.35">
      <c r="A26" s="61" t="s">
        <v>198</v>
      </c>
      <c r="B26" s="61" t="s">
        <v>25</v>
      </c>
      <c r="C26" s="61">
        <v>2</v>
      </c>
      <c r="D26" s="61" t="s">
        <v>26</v>
      </c>
      <c r="E26" s="60">
        <v>6291107160733</v>
      </c>
      <c r="F26" s="375" t="s">
        <v>159</v>
      </c>
      <c r="G26" s="57" t="s">
        <v>199</v>
      </c>
      <c r="H26" s="58" t="s">
        <v>28</v>
      </c>
      <c r="P26" s="58"/>
      <c r="Q26" s="58"/>
      <c r="R26" s="58"/>
      <c r="AB26" s="58"/>
      <c r="AC26" s="57"/>
      <c r="AD26" s="57"/>
      <c r="AE26" s="57"/>
      <c r="BH26"/>
      <c r="BK26" s="57"/>
    </row>
    <row r="27" spans="1:63" x14ac:dyDescent="0.35">
      <c r="A27" s="61" t="s">
        <v>200</v>
      </c>
      <c r="B27" s="61" t="s">
        <v>25</v>
      </c>
      <c r="C27" s="61">
        <v>2</v>
      </c>
      <c r="D27" s="61" t="s">
        <v>26</v>
      </c>
      <c r="E27" s="60">
        <v>6291107160733</v>
      </c>
      <c r="F27" s="375" t="s">
        <v>159</v>
      </c>
      <c r="G27" s="57" t="s">
        <v>201</v>
      </c>
      <c r="H27" s="58" t="s">
        <v>28</v>
      </c>
      <c r="P27" s="58"/>
      <c r="Q27" s="58"/>
      <c r="R27" s="58"/>
      <c r="AB27" s="58"/>
      <c r="AC27" s="57"/>
      <c r="AD27" s="57"/>
      <c r="AE27" s="57"/>
      <c r="BH27"/>
      <c r="BK27" s="57"/>
    </row>
    <row r="28" spans="1:63" x14ac:dyDescent="0.35">
      <c r="A28" s="61" t="s">
        <v>202</v>
      </c>
      <c r="B28" s="61" t="s">
        <v>25</v>
      </c>
      <c r="C28" s="61">
        <v>2</v>
      </c>
      <c r="D28" s="61" t="s">
        <v>26</v>
      </c>
      <c r="E28" s="60">
        <v>6291107160733</v>
      </c>
      <c r="F28" s="375" t="s">
        <v>159</v>
      </c>
      <c r="G28" s="57" t="s">
        <v>203</v>
      </c>
      <c r="H28" s="58" t="s">
        <v>28</v>
      </c>
      <c r="P28" s="58"/>
      <c r="Q28" s="58"/>
      <c r="R28" s="58"/>
      <c r="AB28" s="58"/>
      <c r="AC28" s="57"/>
      <c r="AD28" s="57"/>
      <c r="AE28" s="57"/>
      <c r="BH28"/>
      <c r="BK28" s="57"/>
    </row>
    <row r="29" spans="1:63" x14ac:dyDescent="0.35">
      <c r="A29" s="61" t="s">
        <v>204</v>
      </c>
      <c r="B29" s="61" t="s">
        <v>25</v>
      </c>
      <c r="C29" s="61">
        <v>2</v>
      </c>
      <c r="D29" s="61" t="s">
        <v>26</v>
      </c>
      <c r="E29" s="60">
        <v>6291107160733</v>
      </c>
      <c r="F29" s="375" t="s">
        <v>159</v>
      </c>
      <c r="G29" s="57" t="s">
        <v>205</v>
      </c>
      <c r="H29" s="58" t="s">
        <v>28</v>
      </c>
      <c r="P29" s="58"/>
      <c r="Q29" s="58"/>
      <c r="R29" s="58"/>
      <c r="AB29" s="58"/>
      <c r="AC29" s="57"/>
      <c r="AD29" s="57"/>
      <c r="AE29" s="57"/>
      <c r="BH29"/>
      <c r="BK29" s="57"/>
    </row>
    <row r="30" spans="1:63" x14ac:dyDescent="0.35">
      <c r="A30" s="61" t="s">
        <v>206</v>
      </c>
      <c r="B30" s="61" t="s">
        <v>25</v>
      </c>
      <c r="C30" s="61">
        <v>2</v>
      </c>
      <c r="D30" s="61" t="s">
        <v>26</v>
      </c>
      <c r="E30" s="60">
        <v>6291107160733</v>
      </c>
      <c r="F30" s="375" t="s">
        <v>159</v>
      </c>
      <c r="G30" s="57" t="s">
        <v>207</v>
      </c>
      <c r="H30" s="58" t="s">
        <v>28</v>
      </c>
      <c r="P30" s="58"/>
      <c r="Q30" s="58"/>
      <c r="R30" s="58"/>
      <c r="AB30" s="58"/>
      <c r="AC30" s="57"/>
      <c r="AD30" s="57"/>
      <c r="AE30" s="57"/>
      <c r="BH30"/>
      <c r="BK30" s="57"/>
    </row>
    <row r="31" spans="1:63" x14ac:dyDescent="0.35">
      <c r="A31" s="61" t="s">
        <v>208</v>
      </c>
      <c r="B31" s="61" t="s">
        <v>25</v>
      </c>
      <c r="C31" s="61">
        <v>2</v>
      </c>
      <c r="D31" s="61" t="s">
        <v>26</v>
      </c>
      <c r="E31" s="60">
        <v>6291107160733</v>
      </c>
      <c r="F31" s="375" t="s">
        <v>159</v>
      </c>
      <c r="G31" s="57" t="s">
        <v>209</v>
      </c>
      <c r="H31" s="58" t="s">
        <v>28</v>
      </c>
      <c r="P31" s="58"/>
      <c r="Q31" s="58"/>
      <c r="R31" s="58"/>
      <c r="AB31" s="58"/>
      <c r="AC31" s="57"/>
      <c r="AD31" s="57"/>
      <c r="AE31" s="57"/>
      <c r="BH31"/>
      <c r="BK31" s="57"/>
    </row>
    <row r="32" spans="1:63" x14ac:dyDescent="0.35">
      <c r="A32" s="61" t="s">
        <v>96</v>
      </c>
      <c r="B32" s="61" t="s">
        <v>25</v>
      </c>
      <c r="C32" s="61">
        <v>2</v>
      </c>
      <c r="D32" s="61" t="s">
        <v>26</v>
      </c>
      <c r="E32" s="59"/>
      <c r="G32" s="57" t="s">
        <v>97</v>
      </c>
      <c r="H32" s="58" t="s">
        <v>28</v>
      </c>
      <c r="I32" s="61">
        <v>20</v>
      </c>
      <c r="J32" s="61">
        <v>18</v>
      </c>
      <c r="M32" s="61">
        <v>3</v>
      </c>
      <c r="O32" s="61">
        <v>6</v>
      </c>
      <c r="P32" s="58">
        <v>400</v>
      </c>
      <c r="Q32" s="58">
        <v>400</v>
      </c>
      <c r="R32" s="58">
        <v>460</v>
      </c>
      <c r="S32" s="58">
        <f>0.73*I32</f>
        <v>14.6</v>
      </c>
      <c r="T32" s="58">
        <v>20.5</v>
      </c>
      <c r="U32" s="58">
        <v>100</v>
      </c>
      <c r="V32" s="58">
        <v>300</v>
      </c>
      <c r="W32" s="58">
        <v>0</v>
      </c>
      <c r="X32" s="58">
        <v>0.6</v>
      </c>
      <c r="Y32" s="58">
        <v>0.4</v>
      </c>
      <c r="Z32" s="58">
        <v>0</v>
      </c>
      <c r="AA32" s="58">
        <v>0</v>
      </c>
      <c r="AB32" s="58" t="s">
        <v>29</v>
      </c>
      <c r="AC32" s="57"/>
      <c r="AD32" s="57"/>
      <c r="AE32" s="57"/>
      <c r="BH32"/>
      <c r="BK32" s="57"/>
    </row>
    <row r="33" spans="1:63" x14ac:dyDescent="0.35">
      <c r="A33" s="61" t="s">
        <v>210</v>
      </c>
      <c r="B33" s="61" t="s">
        <v>25</v>
      </c>
      <c r="C33" s="61">
        <v>2</v>
      </c>
      <c r="D33" s="61" t="s">
        <v>26</v>
      </c>
      <c r="E33" s="60">
        <v>6291107160740</v>
      </c>
      <c r="F33" s="375" t="s">
        <v>159</v>
      </c>
      <c r="G33" s="57" t="s">
        <v>211</v>
      </c>
      <c r="H33" s="58" t="s">
        <v>28</v>
      </c>
      <c r="P33" s="58"/>
      <c r="Q33" s="58"/>
      <c r="R33" s="58"/>
      <c r="AB33" s="58"/>
      <c r="AC33" s="57"/>
      <c r="AD33" s="57"/>
      <c r="AE33" s="57"/>
      <c r="BH33"/>
      <c r="BK33" s="57"/>
    </row>
    <row r="34" spans="1:63" x14ac:dyDescent="0.35">
      <c r="A34" s="61" t="s">
        <v>212</v>
      </c>
      <c r="B34" s="61" t="s">
        <v>25</v>
      </c>
      <c r="C34" s="61">
        <v>2</v>
      </c>
      <c r="D34" s="61" t="s">
        <v>26</v>
      </c>
      <c r="E34" s="60">
        <v>6291107160740</v>
      </c>
      <c r="F34" s="375" t="s">
        <v>159</v>
      </c>
      <c r="G34" s="57" t="s">
        <v>213</v>
      </c>
      <c r="H34" s="58" t="s">
        <v>28</v>
      </c>
      <c r="P34" s="58"/>
      <c r="Q34" s="58"/>
      <c r="R34" s="58"/>
      <c r="AB34" s="58"/>
      <c r="AC34" s="57"/>
      <c r="AD34" s="57"/>
      <c r="AE34" s="57"/>
      <c r="BH34"/>
      <c r="BK34" s="57"/>
    </row>
    <row r="35" spans="1:63" x14ac:dyDescent="0.35">
      <c r="A35" s="61" t="s">
        <v>214</v>
      </c>
      <c r="B35" s="61" t="s">
        <v>25</v>
      </c>
      <c r="C35" s="61">
        <v>2</v>
      </c>
      <c r="D35" s="61" t="s">
        <v>26</v>
      </c>
      <c r="E35" s="60">
        <v>6291107160740</v>
      </c>
      <c r="F35" s="375" t="s">
        <v>159</v>
      </c>
      <c r="G35" s="57" t="s">
        <v>215</v>
      </c>
      <c r="H35" s="58" t="s">
        <v>28</v>
      </c>
      <c r="P35" s="58"/>
      <c r="Q35" s="58"/>
      <c r="R35" s="58"/>
      <c r="AB35" s="58"/>
      <c r="AC35" s="57"/>
      <c r="AD35" s="57"/>
      <c r="AE35" s="57"/>
      <c r="BH35"/>
      <c r="BK35" s="57"/>
    </row>
    <row r="36" spans="1:63" x14ac:dyDescent="0.35">
      <c r="A36" s="61" t="s">
        <v>168</v>
      </c>
      <c r="B36" s="61" t="s">
        <v>158</v>
      </c>
      <c r="C36" s="61">
        <v>1</v>
      </c>
      <c r="D36" s="61" t="s">
        <v>26</v>
      </c>
      <c r="E36" s="59">
        <v>8718719850008</v>
      </c>
      <c r="F36" s="375" t="s">
        <v>159</v>
      </c>
      <c r="G36" s="57" t="s">
        <v>169</v>
      </c>
      <c r="H36" s="58" t="s">
        <v>161</v>
      </c>
      <c r="I36" s="61">
        <v>48</v>
      </c>
      <c r="J36" s="61">
        <v>36</v>
      </c>
      <c r="K36" s="61">
        <v>54</v>
      </c>
      <c r="M36" s="61">
        <v>9</v>
      </c>
      <c r="O36" s="61">
        <v>4</v>
      </c>
      <c r="P36" s="58">
        <v>485</v>
      </c>
      <c r="Q36" s="58">
        <v>360</v>
      </c>
      <c r="R36" s="58">
        <v>195</v>
      </c>
      <c r="S36" s="58">
        <v>7.48</v>
      </c>
      <c r="T36" s="58">
        <v>7.7</v>
      </c>
      <c r="U36" s="58">
        <v>175</v>
      </c>
      <c r="V36" s="58">
        <v>0</v>
      </c>
      <c r="W36" s="58">
        <v>0</v>
      </c>
      <c r="X36" s="58">
        <v>1</v>
      </c>
      <c r="Y36" s="58">
        <v>0</v>
      </c>
      <c r="Z36" s="58">
        <v>0</v>
      </c>
      <c r="AA36" s="58">
        <v>0</v>
      </c>
      <c r="AB36" s="58" t="s">
        <v>29</v>
      </c>
      <c r="AC36" s="57"/>
      <c r="AD36" s="57"/>
      <c r="AE36" s="57"/>
      <c r="BH36"/>
      <c r="BK36" s="57"/>
    </row>
    <row r="37" spans="1:63" x14ac:dyDescent="0.35">
      <c r="A37" s="61" t="s">
        <v>170</v>
      </c>
      <c r="B37" s="61" t="s">
        <v>158</v>
      </c>
      <c r="C37" s="61">
        <v>1</v>
      </c>
      <c r="D37" s="61" t="s">
        <v>26</v>
      </c>
      <c r="E37" s="59">
        <v>8718719850015</v>
      </c>
      <c r="F37" s="375" t="s">
        <v>159</v>
      </c>
      <c r="G37" s="57" t="s">
        <v>171</v>
      </c>
      <c r="H37" s="58" t="s">
        <v>161</v>
      </c>
      <c r="I37" s="61">
        <v>48</v>
      </c>
      <c r="J37" s="61">
        <v>36</v>
      </c>
      <c r="K37" s="61">
        <v>54</v>
      </c>
      <c r="M37" s="61">
        <v>9</v>
      </c>
      <c r="O37" s="61">
        <v>4</v>
      </c>
      <c r="P37" s="58">
        <v>485</v>
      </c>
      <c r="Q37" s="58">
        <v>360</v>
      </c>
      <c r="R37" s="58">
        <v>195</v>
      </c>
      <c r="S37" s="58">
        <v>7.48</v>
      </c>
      <c r="T37" s="58">
        <v>7.7</v>
      </c>
      <c r="U37" s="58">
        <v>175</v>
      </c>
      <c r="V37" s="58">
        <v>0</v>
      </c>
      <c r="W37" s="58">
        <v>0</v>
      </c>
      <c r="X37" s="58">
        <v>1</v>
      </c>
      <c r="Y37" s="58">
        <v>0</v>
      </c>
      <c r="Z37" s="58">
        <v>0</v>
      </c>
      <c r="AA37" s="58">
        <v>0</v>
      </c>
      <c r="AB37" s="58" t="s">
        <v>29</v>
      </c>
      <c r="AC37" s="57"/>
      <c r="AD37" s="57"/>
      <c r="AE37" s="57"/>
      <c r="BH37"/>
      <c r="BK37" s="57"/>
    </row>
    <row r="38" spans="1:63" x14ac:dyDescent="0.35">
      <c r="A38" s="61" t="s">
        <v>172</v>
      </c>
      <c r="B38" s="61" t="s">
        <v>158</v>
      </c>
      <c r="C38" s="61">
        <v>1</v>
      </c>
      <c r="D38" s="61" t="s">
        <v>26</v>
      </c>
      <c r="E38" s="59">
        <v>8718719850022</v>
      </c>
      <c r="F38" s="375" t="s">
        <v>159</v>
      </c>
      <c r="G38" s="57" t="s">
        <v>173</v>
      </c>
      <c r="H38" s="58" t="s">
        <v>161</v>
      </c>
      <c r="I38" s="61">
        <v>48</v>
      </c>
      <c r="J38" s="61">
        <v>36</v>
      </c>
      <c r="K38" s="61">
        <v>54</v>
      </c>
      <c r="M38" s="61">
        <v>9</v>
      </c>
      <c r="O38" s="61">
        <v>4</v>
      </c>
      <c r="P38" s="58">
        <v>485</v>
      </c>
      <c r="Q38" s="58">
        <v>360</v>
      </c>
      <c r="R38" s="58">
        <v>195</v>
      </c>
      <c r="S38" s="58">
        <v>7.48</v>
      </c>
      <c r="T38" s="58">
        <v>7.7</v>
      </c>
      <c r="U38" s="58">
        <v>175</v>
      </c>
      <c r="V38" s="58">
        <v>0</v>
      </c>
      <c r="W38" s="58">
        <v>0</v>
      </c>
      <c r="X38" s="58">
        <v>1</v>
      </c>
      <c r="Y38" s="58">
        <v>0</v>
      </c>
      <c r="Z38" s="58">
        <v>0</v>
      </c>
      <c r="AA38" s="58">
        <v>0</v>
      </c>
      <c r="AB38" s="58" t="s">
        <v>29</v>
      </c>
      <c r="AC38" s="57"/>
      <c r="AD38" s="57"/>
      <c r="AE38" s="57"/>
      <c r="BH38"/>
      <c r="BK38" s="57"/>
    </row>
    <row r="39" spans="1:63" x14ac:dyDescent="0.35">
      <c r="A39" s="61" t="s">
        <v>174</v>
      </c>
      <c r="B39" s="61" t="s">
        <v>158</v>
      </c>
      <c r="C39" s="61">
        <v>1</v>
      </c>
      <c r="D39" s="61" t="s">
        <v>26</v>
      </c>
      <c r="E39" s="59">
        <v>8718719850039</v>
      </c>
      <c r="F39" s="375" t="s">
        <v>159</v>
      </c>
      <c r="G39" s="57" t="s">
        <v>175</v>
      </c>
      <c r="H39" s="58" t="s">
        <v>161</v>
      </c>
      <c r="I39" s="61">
        <v>48</v>
      </c>
      <c r="J39" s="61">
        <v>36</v>
      </c>
      <c r="K39" s="61">
        <v>54</v>
      </c>
      <c r="M39" s="61">
        <v>9</v>
      </c>
      <c r="O39" s="61">
        <v>4</v>
      </c>
      <c r="P39" s="58">
        <v>485</v>
      </c>
      <c r="Q39" s="58">
        <v>360</v>
      </c>
      <c r="R39" s="58">
        <v>195</v>
      </c>
      <c r="S39" s="58">
        <v>7.48</v>
      </c>
      <c r="T39" s="58">
        <v>7.7</v>
      </c>
      <c r="U39" s="58">
        <v>175</v>
      </c>
      <c r="V39" s="58">
        <v>0</v>
      </c>
      <c r="W39" s="58">
        <v>0</v>
      </c>
      <c r="X39" s="58">
        <v>1</v>
      </c>
      <c r="Y39" s="58">
        <v>0</v>
      </c>
      <c r="Z39" s="58">
        <v>0</v>
      </c>
      <c r="AA39" s="58">
        <v>0</v>
      </c>
      <c r="AB39" s="58" t="s">
        <v>29</v>
      </c>
      <c r="AC39" s="57"/>
      <c r="AD39" s="57"/>
      <c r="AE39" s="57"/>
      <c r="BH39"/>
      <c r="BK39" s="57"/>
    </row>
    <row r="40" spans="1:63" x14ac:dyDescent="0.35">
      <c r="A40" s="61" t="s">
        <v>99</v>
      </c>
      <c r="B40" s="61" t="s">
        <v>1095</v>
      </c>
      <c r="C40" s="61">
        <v>1</v>
      </c>
      <c r="D40" s="61" t="s">
        <v>26</v>
      </c>
      <c r="E40" s="59">
        <v>8718719850046</v>
      </c>
      <c r="F40" s="375" t="s">
        <v>63</v>
      </c>
      <c r="G40" s="57" t="s">
        <v>100</v>
      </c>
      <c r="H40" s="58" t="s">
        <v>65</v>
      </c>
      <c r="I40" s="61">
        <v>24</v>
      </c>
      <c r="J40" s="61">
        <v>64</v>
      </c>
      <c r="K40" s="61">
        <v>64</v>
      </c>
      <c r="M40" s="61">
        <v>8</v>
      </c>
      <c r="O40" s="61">
        <v>8</v>
      </c>
      <c r="P40" s="58">
        <v>430</v>
      </c>
      <c r="Q40" s="58">
        <v>300</v>
      </c>
      <c r="R40" s="58">
        <v>174</v>
      </c>
      <c r="S40" s="58">
        <v>7.52</v>
      </c>
      <c r="T40" s="58">
        <v>8.23</v>
      </c>
      <c r="U40" s="58">
        <v>100</v>
      </c>
      <c r="V40" s="58">
        <v>0</v>
      </c>
      <c r="W40" s="58">
        <v>0</v>
      </c>
      <c r="X40" s="58">
        <v>1</v>
      </c>
      <c r="Y40" s="58">
        <v>0</v>
      </c>
      <c r="Z40" s="58">
        <v>0</v>
      </c>
      <c r="AA40" s="58">
        <v>0</v>
      </c>
      <c r="AB40" s="58" t="s">
        <v>29</v>
      </c>
      <c r="AC40" s="57"/>
      <c r="AD40" s="57"/>
      <c r="AE40" s="57"/>
      <c r="BH40"/>
      <c r="BK40" s="57"/>
    </row>
    <row r="41" spans="1:63" x14ac:dyDescent="0.35">
      <c r="A41" s="61" t="s">
        <v>101</v>
      </c>
      <c r="B41" s="61" t="s">
        <v>1095</v>
      </c>
      <c r="C41" s="61">
        <v>1</v>
      </c>
      <c r="D41" s="61" t="s">
        <v>26</v>
      </c>
      <c r="E41" s="59">
        <v>8718719850053</v>
      </c>
      <c r="F41" s="375" t="s">
        <v>63</v>
      </c>
      <c r="G41" s="57" t="s">
        <v>102</v>
      </c>
      <c r="H41" s="58" t="s">
        <v>65</v>
      </c>
      <c r="I41" s="61">
        <v>24</v>
      </c>
      <c r="J41" s="61">
        <v>64</v>
      </c>
      <c r="K41" s="61">
        <v>64</v>
      </c>
      <c r="M41" s="61">
        <v>8</v>
      </c>
      <c r="O41" s="61">
        <v>8</v>
      </c>
      <c r="P41" s="58">
        <v>430</v>
      </c>
      <c r="Q41" s="58">
        <v>300</v>
      </c>
      <c r="R41" s="58">
        <v>174</v>
      </c>
      <c r="S41" s="58">
        <v>7.52</v>
      </c>
      <c r="T41" s="58">
        <v>8.23</v>
      </c>
      <c r="U41" s="58">
        <v>100</v>
      </c>
      <c r="V41" s="58">
        <v>0</v>
      </c>
      <c r="W41" s="58">
        <v>0</v>
      </c>
      <c r="X41" s="58">
        <v>1</v>
      </c>
      <c r="Y41" s="58">
        <v>0</v>
      </c>
      <c r="Z41" s="58">
        <v>0</v>
      </c>
      <c r="AA41" s="58">
        <v>0</v>
      </c>
      <c r="AB41" s="58" t="s">
        <v>29</v>
      </c>
      <c r="AC41" s="57"/>
      <c r="AD41" s="57"/>
      <c r="AE41" s="57"/>
      <c r="BH41"/>
      <c r="BK41" s="57"/>
    </row>
    <row r="42" spans="1:63" x14ac:dyDescent="0.35">
      <c r="A42" s="61" t="s">
        <v>103</v>
      </c>
      <c r="B42" s="61" t="s">
        <v>1095</v>
      </c>
      <c r="C42" s="61">
        <v>1</v>
      </c>
      <c r="D42" s="61" t="s">
        <v>26</v>
      </c>
      <c r="E42" s="59">
        <v>8718719850060</v>
      </c>
      <c r="F42" s="375" t="s">
        <v>63</v>
      </c>
      <c r="G42" s="57" t="s">
        <v>104</v>
      </c>
      <c r="H42" s="58" t="s">
        <v>65</v>
      </c>
      <c r="I42" s="61">
        <v>24</v>
      </c>
      <c r="J42" s="61">
        <v>64</v>
      </c>
      <c r="K42" s="61">
        <v>64</v>
      </c>
      <c r="M42" s="61">
        <v>8</v>
      </c>
      <c r="O42" s="61">
        <v>8</v>
      </c>
      <c r="P42" s="58">
        <v>430</v>
      </c>
      <c r="Q42" s="58">
        <v>300</v>
      </c>
      <c r="R42" s="58">
        <v>174</v>
      </c>
      <c r="S42" s="58">
        <v>7.52</v>
      </c>
      <c r="T42" s="58">
        <v>8.23</v>
      </c>
      <c r="U42" s="58">
        <v>100</v>
      </c>
      <c r="V42" s="58">
        <v>0</v>
      </c>
      <c r="W42" s="58">
        <v>0</v>
      </c>
      <c r="X42" s="58">
        <v>1</v>
      </c>
      <c r="Y42" s="58">
        <v>0</v>
      </c>
      <c r="Z42" s="58">
        <v>0</v>
      </c>
      <c r="AA42" s="58">
        <v>0</v>
      </c>
      <c r="AB42" s="58" t="s">
        <v>29</v>
      </c>
      <c r="AC42" s="57"/>
      <c r="AD42" s="57"/>
      <c r="AE42" s="57"/>
      <c r="BH42"/>
      <c r="BK42" s="57"/>
    </row>
    <row r="43" spans="1:63" x14ac:dyDescent="0.35">
      <c r="A43" s="61" t="s">
        <v>105</v>
      </c>
      <c r="B43" s="61" t="s">
        <v>1095</v>
      </c>
      <c r="C43" s="61">
        <v>1</v>
      </c>
      <c r="D43" s="61" t="s">
        <v>26</v>
      </c>
      <c r="E43" s="59">
        <v>8718719850077</v>
      </c>
      <c r="F43" s="375" t="s">
        <v>63</v>
      </c>
      <c r="G43" s="57" t="s">
        <v>106</v>
      </c>
      <c r="H43" s="58" t="s">
        <v>65</v>
      </c>
      <c r="I43" s="61">
        <v>24</v>
      </c>
      <c r="J43" s="61">
        <v>64</v>
      </c>
      <c r="K43" s="61">
        <v>64</v>
      </c>
      <c r="M43" s="61">
        <v>8</v>
      </c>
      <c r="O43" s="61">
        <v>8</v>
      </c>
      <c r="P43" s="58">
        <v>430</v>
      </c>
      <c r="Q43" s="58">
        <v>300</v>
      </c>
      <c r="R43" s="58">
        <v>174</v>
      </c>
      <c r="S43" s="58">
        <v>7.52</v>
      </c>
      <c r="T43" s="58">
        <v>8.23</v>
      </c>
      <c r="U43" s="58">
        <v>100</v>
      </c>
      <c r="V43" s="58">
        <v>0</v>
      </c>
      <c r="W43" s="58">
        <v>0</v>
      </c>
      <c r="X43" s="58">
        <v>1</v>
      </c>
      <c r="Y43" s="58">
        <v>0</v>
      </c>
      <c r="Z43" s="58">
        <v>0</v>
      </c>
      <c r="AA43" s="58">
        <v>0</v>
      </c>
      <c r="AB43" s="58" t="s">
        <v>29</v>
      </c>
      <c r="AC43" s="57"/>
      <c r="AD43" s="57"/>
      <c r="AE43" s="57"/>
      <c r="BH43"/>
      <c r="BK43" s="57"/>
    </row>
    <row r="44" spans="1:63" x14ac:dyDescent="0.35">
      <c r="A44" s="61" t="s">
        <v>61</v>
      </c>
      <c r="B44" s="61" t="s">
        <v>1095</v>
      </c>
      <c r="C44" s="61">
        <v>1</v>
      </c>
      <c r="D44" s="61" t="s">
        <v>26</v>
      </c>
      <c r="E44" s="59">
        <v>8718719850084</v>
      </c>
      <c r="F44" s="375" t="s">
        <v>63</v>
      </c>
      <c r="G44" s="57" t="s">
        <v>64</v>
      </c>
      <c r="H44" s="58" t="s">
        <v>65</v>
      </c>
      <c r="I44" s="61">
        <v>24</v>
      </c>
      <c r="J44" s="61">
        <v>72</v>
      </c>
      <c r="K44" s="61">
        <v>88</v>
      </c>
      <c r="M44" s="61">
        <v>8</v>
      </c>
      <c r="O44" s="61">
        <v>9</v>
      </c>
      <c r="P44" s="58">
        <v>385</v>
      </c>
      <c r="Q44" s="58">
        <v>250</v>
      </c>
      <c r="R44" s="58">
        <v>150</v>
      </c>
      <c r="S44" s="58">
        <v>4.8</v>
      </c>
      <c r="T44" s="58">
        <v>5.2</v>
      </c>
      <c r="U44" s="58">
        <v>50</v>
      </c>
      <c r="V44" s="58">
        <v>0</v>
      </c>
      <c r="W44" s="58">
        <v>0</v>
      </c>
      <c r="X44" s="58">
        <v>1</v>
      </c>
      <c r="Y44" s="58">
        <v>0</v>
      </c>
      <c r="Z44" s="58">
        <v>0</v>
      </c>
      <c r="AA44" s="58">
        <v>0</v>
      </c>
      <c r="AB44" s="58" t="s">
        <v>29</v>
      </c>
      <c r="AC44" s="57"/>
      <c r="AD44" s="57"/>
      <c r="AE44" s="57"/>
      <c r="BH44"/>
      <c r="BK44" s="57"/>
    </row>
    <row r="45" spans="1:63" x14ac:dyDescent="0.35">
      <c r="A45" s="61" t="s">
        <v>66</v>
      </c>
      <c r="B45" s="61" t="s">
        <v>1095</v>
      </c>
      <c r="C45" s="61">
        <v>1</v>
      </c>
      <c r="D45" s="61" t="s">
        <v>26</v>
      </c>
      <c r="E45" s="59">
        <v>8718719850091</v>
      </c>
      <c r="F45" s="375" t="s">
        <v>63</v>
      </c>
      <c r="G45" s="57" t="s">
        <v>67</v>
      </c>
      <c r="H45" s="58" t="s">
        <v>65</v>
      </c>
      <c r="I45" s="61">
        <v>24</v>
      </c>
      <c r="J45" s="61">
        <v>72</v>
      </c>
      <c r="K45" s="61">
        <v>88</v>
      </c>
      <c r="M45" s="61">
        <v>8</v>
      </c>
      <c r="O45" s="61">
        <v>9</v>
      </c>
      <c r="P45" s="58">
        <v>385</v>
      </c>
      <c r="Q45" s="58">
        <v>250</v>
      </c>
      <c r="R45" s="58">
        <v>150</v>
      </c>
      <c r="S45" s="58">
        <v>4.8</v>
      </c>
      <c r="T45" s="58">
        <v>5.2</v>
      </c>
      <c r="U45" s="58">
        <v>50</v>
      </c>
      <c r="V45" s="58">
        <v>0</v>
      </c>
      <c r="W45" s="58">
        <v>0</v>
      </c>
      <c r="X45" s="58">
        <v>1</v>
      </c>
      <c r="Y45" s="58">
        <v>0</v>
      </c>
      <c r="Z45" s="58">
        <v>0</v>
      </c>
      <c r="AA45" s="58">
        <v>0</v>
      </c>
      <c r="AB45" s="58" t="s">
        <v>29</v>
      </c>
      <c r="AC45" s="57"/>
      <c r="AD45" s="57"/>
      <c r="AE45" s="57"/>
      <c r="BH45"/>
      <c r="BK45" s="57"/>
    </row>
    <row r="46" spans="1:63" x14ac:dyDescent="0.35">
      <c r="A46" s="61" t="s">
        <v>68</v>
      </c>
      <c r="B46" s="61" t="s">
        <v>1095</v>
      </c>
      <c r="C46" s="61">
        <v>1</v>
      </c>
      <c r="D46" s="61" t="s">
        <v>26</v>
      </c>
      <c r="E46" s="59">
        <v>8718719850107</v>
      </c>
      <c r="F46" s="375" t="s">
        <v>63</v>
      </c>
      <c r="G46" s="57" t="s">
        <v>69</v>
      </c>
      <c r="H46" s="58" t="s">
        <v>65</v>
      </c>
      <c r="I46" s="61">
        <v>24</v>
      </c>
      <c r="J46" s="61">
        <v>72</v>
      </c>
      <c r="K46" s="61">
        <v>88</v>
      </c>
      <c r="M46" s="61">
        <v>8</v>
      </c>
      <c r="O46" s="61">
        <v>9</v>
      </c>
      <c r="P46" s="58">
        <v>385</v>
      </c>
      <c r="Q46" s="58">
        <v>250</v>
      </c>
      <c r="R46" s="58">
        <v>150</v>
      </c>
      <c r="S46" s="58">
        <v>4.8</v>
      </c>
      <c r="T46" s="58">
        <v>5.2</v>
      </c>
      <c r="U46" s="58">
        <v>50</v>
      </c>
      <c r="V46" s="58">
        <v>0</v>
      </c>
      <c r="W46" s="58">
        <v>0</v>
      </c>
      <c r="X46" s="58">
        <v>1</v>
      </c>
      <c r="Y46" s="58">
        <v>0</v>
      </c>
      <c r="Z46" s="58">
        <v>0</v>
      </c>
      <c r="AA46" s="58">
        <v>0</v>
      </c>
      <c r="AB46" s="58" t="s">
        <v>29</v>
      </c>
      <c r="AC46" s="57"/>
      <c r="AD46" s="57"/>
      <c r="AE46" s="57"/>
      <c r="BH46"/>
      <c r="BK46" s="57"/>
    </row>
    <row r="47" spans="1:63" x14ac:dyDescent="0.35">
      <c r="A47" s="61" t="s">
        <v>70</v>
      </c>
      <c r="B47" s="61" t="s">
        <v>1095</v>
      </c>
      <c r="C47" s="61">
        <v>1</v>
      </c>
      <c r="D47" s="61" t="s">
        <v>26</v>
      </c>
      <c r="E47" s="59">
        <v>8718719850114</v>
      </c>
      <c r="F47" s="375" t="s">
        <v>63</v>
      </c>
      <c r="G47" s="57" t="s">
        <v>71</v>
      </c>
      <c r="H47" s="58" t="s">
        <v>65</v>
      </c>
      <c r="I47" s="61">
        <v>24</v>
      </c>
      <c r="J47" s="61">
        <v>72</v>
      </c>
      <c r="K47" s="61">
        <v>88</v>
      </c>
      <c r="M47" s="61">
        <v>8</v>
      </c>
      <c r="O47" s="61">
        <v>9</v>
      </c>
      <c r="P47" s="58">
        <v>385</v>
      </c>
      <c r="Q47" s="58">
        <v>250</v>
      </c>
      <c r="R47" s="58">
        <v>150</v>
      </c>
      <c r="S47" s="58">
        <v>4.8</v>
      </c>
      <c r="T47" s="58">
        <v>5.2</v>
      </c>
      <c r="U47" s="58">
        <v>50</v>
      </c>
      <c r="V47" s="58">
        <v>0</v>
      </c>
      <c r="W47" s="58">
        <v>0</v>
      </c>
      <c r="X47" s="58">
        <v>1</v>
      </c>
      <c r="Y47" s="58">
        <v>0</v>
      </c>
      <c r="Z47" s="58">
        <v>0</v>
      </c>
      <c r="AA47" s="58">
        <v>0</v>
      </c>
      <c r="AB47" s="58" t="s">
        <v>29</v>
      </c>
      <c r="AC47" s="57"/>
      <c r="AD47" s="57"/>
      <c r="AE47" s="57"/>
      <c r="BH47"/>
      <c r="BK47" s="57"/>
    </row>
    <row r="48" spans="1:63" x14ac:dyDescent="0.35">
      <c r="A48" s="61" t="s">
        <v>157</v>
      </c>
      <c r="B48" s="61" t="s">
        <v>158</v>
      </c>
      <c r="C48" s="61">
        <v>1</v>
      </c>
      <c r="D48" s="61" t="s">
        <v>37</v>
      </c>
      <c r="E48" s="59">
        <v>8718719850244</v>
      </c>
      <c r="F48" s="375" t="s">
        <v>159</v>
      </c>
      <c r="G48" s="57" t="s">
        <v>160</v>
      </c>
      <c r="H48" s="58" t="s">
        <v>161</v>
      </c>
      <c r="I48" s="61">
        <v>48</v>
      </c>
      <c r="J48" s="61">
        <v>48</v>
      </c>
      <c r="K48" s="61">
        <v>72</v>
      </c>
      <c r="M48" s="61">
        <v>8</v>
      </c>
      <c r="O48" s="61">
        <v>6</v>
      </c>
      <c r="P48" s="58">
        <v>400</v>
      </c>
      <c r="Q48" s="58">
        <v>320</v>
      </c>
      <c r="R48" s="58">
        <v>205</v>
      </c>
      <c r="S48" s="58">
        <v>6.2880000000000003</v>
      </c>
      <c r="T48" s="58">
        <v>7.0359999999999996</v>
      </c>
      <c r="U48" s="58">
        <v>150</v>
      </c>
      <c r="V48" s="58">
        <v>0</v>
      </c>
      <c r="W48" s="58">
        <v>0</v>
      </c>
      <c r="X48" s="58">
        <v>1</v>
      </c>
      <c r="Y48" s="58">
        <v>0</v>
      </c>
      <c r="Z48" s="58">
        <v>0</v>
      </c>
      <c r="AA48" s="58">
        <v>0</v>
      </c>
      <c r="AB48" s="58" t="s">
        <v>29</v>
      </c>
      <c r="AC48" s="57"/>
      <c r="AD48" s="57"/>
      <c r="AE48" s="57"/>
      <c r="BH48"/>
      <c r="BK48" s="57"/>
    </row>
    <row r="49" spans="1:63" x14ac:dyDescent="0.35">
      <c r="A49" s="61" t="s">
        <v>162</v>
      </c>
      <c r="B49" s="61" t="s">
        <v>158</v>
      </c>
      <c r="C49" s="61">
        <v>1</v>
      </c>
      <c r="D49" s="61" t="s">
        <v>37</v>
      </c>
      <c r="E49" s="59">
        <v>8718719850251</v>
      </c>
      <c r="F49" s="375" t="s">
        <v>159</v>
      </c>
      <c r="G49" s="57" t="s">
        <v>163</v>
      </c>
      <c r="H49" s="58" t="s">
        <v>161</v>
      </c>
      <c r="I49" s="61">
        <v>48</v>
      </c>
      <c r="J49" s="61">
        <v>48</v>
      </c>
      <c r="K49" s="61">
        <v>72</v>
      </c>
      <c r="M49" s="61">
        <v>8</v>
      </c>
      <c r="O49" s="61">
        <v>6</v>
      </c>
      <c r="P49" s="58">
        <v>400</v>
      </c>
      <c r="Q49" s="58">
        <v>320</v>
      </c>
      <c r="R49" s="58">
        <v>205</v>
      </c>
      <c r="S49" s="58">
        <v>6.2880000000000003</v>
      </c>
      <c r="T49" s="58">
        <v>7.0359999999999996</v>
      </c>
      <c r="U49" s="58">
        <v>150</v>
      </c>
      <c r="V49" s="58">
        <v>0</v>
      </c>
      <c r="W49" s="58">
        <v>0</v>
      </c>
      <c r="X49" s="58">
        <v>1</v>
      </c>
      <c r="Y49" s="58">
        <v>0</v>
      </c>
      <c r="Z49" s="58">
        <v>0</v>
      </c>
      <c r="AA49" s="58">
        <v>0</v>
      </c>
      <c r="AB49" s="58" t="s">
        <v>29</v>
      </c>
      <c r="AC49" s="57"/>
      <c r="AD49" s="57"/>
      <c r="AE49" s="57"/>
      <c r="BH49"/>
      <c r="BK49" s="57"/>
    </row>
    <row r="50" spans="1:63" x14ac:dyDescent="0.35">
      <c r="A50" s="61" t="s">
        <v>164</v>
      </c>
      <c r="B50" s="61" t="s">
        <v>158</v>
      </c>
      <c r="C50" s="61">
        <v>1</v>
      </c>
      <c r="D50" s="61" t="s">
        <v>37</v>
      </c>
      <c r="E50" s="59">
        <v>8718719850268</v>
      </c>
      <c r="F50" s="375" t="s">
        <v>159</v>
      </c>
      <c r="G50" s="57" t="s">
        <v>165</v>
      </c>
      <c r="H50" s="58" t="s">
        <v>161</v>
      </c>
      <c r="I50" s="61">
        <v>48</v>
      </c>
      <c r="J50" s="61">
        <v>48</v>
      </c>
      <c r="K50" s="61">
        <v>72</v>
      </c>
      <c r="M50" s="61">
        <v>8</v>
      </c>
      <c r="O50" s="61">
        <v>6</v>
      </c>
      <c r="P50" s="58">
        <v>400</v>
      </c>
      <c r="Q50" s="58">
        <v>320</v>
      </c>
      <c r="R50" s="58">
        <v>205</v>
      </c>
      <c r="S50" s="58">
        <v>6.2880000000000003</v>
      </c>
      <c r="T50" s="58">
        <v>7.0359999999999996</v>
      </c>
      <c r="U50" s="58">
        <v>150</v>
      </c>
      <c r="V50" s="58">
        <v>0</v>
      </c>
      <c r="W50" s="58">
        <v>0</v>
      </c>
      <c r="X50" s="58">
        <v>1</v>
      </c>
      <c r="Y50" s="58">
        <v>0</v>
      </c>
      <c r="Z50" s="58">
        <v>0</v>
      </c>
      <c r="AA50" s="58">
        <v>0</v>
      </c>
      <c r="AB50" s="58" t="s">
        <v>29</v>
      </c>
      <c r="AC50" s="57"/>
      <c r="AD50" s="57"/>
      <c r="AE50" s="57"/>
      <c r="BH50"/>
      <c r="BK50" s="57"/>
    </row>
    <row r="51" spans="1:63" x14ac:dyDescent="0.35">
      <c r="A51" s="61" t="s">
        <v>166</v>
      </c>
      <c r="B51" s="61" t="s">
        <v>158</v>
      </c>
      <c r="C51" s="61">
        <v>1</v>
      </c>
      <c r="D51" s="61" t="s">
        <v>37</v>
      </c>
      <c r="E51" s="59">
        <v>8718719850275</v>
      </c>
      <c r="F51" s="375" t="s">
        <v>159</v>
      </c>
      <c r="G51" s="57" t="s">
        <v>167</v>
      </c>
      <c r="H51" s="58" t="s">
        <v>161</v>
      </c>
      <c r="I51" s="61">
        <v>48</v>
      </c>
      <c r="J51" s="61">
        <v>48</v>
      </c>
      <c r="K51" s="61">
        <v>72</v>
      </c>
      <c r="M51" s="61">
        <v>8</v>
      </c>
      <c r="O51" s="61">
        <v>6</v>
      </c>
      <c r="P51" s="58">
        <v>400</v>
      </c>
      <c r="Q51" s="58">
        <v>320</v>
      </c>
      <c r="R51" s="58">
        <v>205</v>
      </c>
      <c r="S51" s="58">
        <v>6.2880000000000003</v>
      </c>
      <c r="T51" s="58">
        <v>7.0359999999999996</v>
      </c>
      <c r="U51" s="58">
        <v>150</v>
      </c>
      <c r="V51" s="58">
        <v>0</v>
      </c>
      <c r="W51" s="58">
        <v>0</v>
      </c>
      <c r="X51" s="58">
        <v>1</v>
      </c>
      <c r="Y51" s="58">
        <v>0</v>
      </c>
      <c r="Z51" s="58">
        <v>0</v>
      </c>
      <c r="AA51" s="58">
        <v>0</v>
      </c>
      <c r="AB51" s="58" t="s">
        <v>29</v>
      </c>
      <c r="AC51" s="57"/>
      <c r="AD51" s="57"/>
      <c r="AE51" s="57"/>
      <c r="BH51"/>
      <c r="BK51" s="57"/>
    </row>
    <row r="52" spans="1:63" x14ac:dyDescent="0.35">
      <c r="A52" s="61" t="s">
        <v>72</v>
      </c>
      <c r="B52" s="61" t="s">
        <v>1095</v>
      </c>
      <c r="C52" s="61">
        <v>1</v>
      </c>
      <c r="D52" s="61" t="s">
        <v>37</v>
      </c>
      <c r="E52" s="59">
        <v>8718719850282</v>
      </c>
      <c r="F52" s="375" t="s">
        <v>63</v>
      </c>
      <c r="G52" s="57" t="s">
        <v>73</v>
      </c>
      <c r="H52" s="58" t="s">
        <v>65</v>
      </c>
      <c r="I52" s="61">
        <v>24</v>
      </c>
      <c r="J52" s="61">
        <v>72</v>
      </c>
      <c r="K52" s="61">
        <v>88</v>
      </c>
      <c r="M52" s="61">
        <v>8</v>
      </c>
      <c r="O52" s="61">
        <v>9</v>
      </c>
      <c r="P52" s="58">
        <v>377</v>
      </c>
      <c r="Q52" s="58">
        <v>300</v>
      </c>
      <c r="R52" s="58">
        <v>163</v>
      </c>
      <c r="S52" s="58">
        <v>4.68</v>
      </c>
      <c r="T52" s="58">
        <v>5.08</v>
      </c>
      <c r="U52" s="58">
        <v>50</v>
      </c>
      <c r="V52" s="58">
        <v>0</v>
      </c>
      <c r="W52" s="58">
        <v>0</v>
      </c>
      <c r="X52" s="58">
        <v>1</v>
      </c>
      <c r="Y52" s="58">
        <v>0</v>
      </c>
      <c r="Z52" s="58">
        <v>0</v>
      </c>
      <c r="AA52" s="58">
        <v>0</v>
      </c>
      <c r="AB52" s="58" t="s">
        <v>29</v>
      </c>
      <c r="AC52" s="57"/>
      <c r="AD52" s="57"/>
      <c r="AE52" s="57"/>
      <c r="BH52"/>
      <c r="BK52" s="57"/>
    </row>
    <row r="53" spans="1:63" x14ac:dyDescent="0.35">
      <c r="A53" s="61" t="s">
        <v>74</v>
      </c>
      <c r="B53" s="61" t="s">
        <v>1095</v>
      </c>
      <c r="C53" s="61">
        <v>1</v>
      </c>
      <c r="D53" s="61" t="s">
        <v>37</v>
      </c>
      <c r="E53" s="59">
        <v>8718719850299</v>
      </c>
      <c r="F53" s="375" t="s">
        <v>63</v>
      </c>
      <c r="G53" s="57" t="s">
        <v>75</v>
      </c>
      <c r="H53" s="58" t="s">
        <v>65</v>
      </c>
      <c r="I53" s="61">
        <v>24</v>
      </c>
      <c r="J53" s="61">
        <v>72</v>
      </c>
      <c r="K53" s="61">
        <v>88</v>
      </c>
      <c r="M53" s="61">
        <v>8</v>
      </c>
      <c r="O53" s="61">
        <v>9</v>
      </c>
      <c r="P53" s="58">
        <v>377</v>
      </c>
      <c r="Q53" s="58">
        <v>300</v>
      </c>
      <c r="R53" s="58">
        <v>163</v>
      </c>
      <c r="S53" s="58">
        <v>4.68</v>
      </c>
      <c r="T53" s="58">
        <v>5.08</v>
      </c>
      <c r="U53" s="58">
        <v>50</v>
      </c>
      <c r="V53" s="58">
        <v>0</v>
      </c>
      <c r="W53" s="58">
        <v>0</v>
      </c>
      <c r="X53" s="58">
        <v>1</v>
      </c>
      <c r="Y53" s="58">
        <v>0</v>
      </c>
      <c r="Z53" s="58">
        <v>0</v>
      </c>
      <c r="AA53" s="58">
        <v>0</v>
      </c>
      <c r="AB53" s="58" t="s">
        <v>29</v>
      </c>
      <c r="AC53" s="57"/>
      <c r="AD53" s="57"/>
      <c r="AE53" s="57"/>
      <c r="BH53"/>
      <c r="BK53" s="57"/>
    </row>
    <row r="54" spans="1:63" x14ac:dyDescent="0.35">
      <c r="A54" s="61" t="s">
        <v>76</v>
      </c>
      <c r="B54" s="61" t="s">
        <v>1095</v>
      </c>
      <c r="C54" s="61">
        <v>1</v>
      </c>
      <c r="D54" s="61" t="s">
        <v>37</v>
      </c>
      <c r="E54" s="59">
        <v>8718719850305</v>
      </c>
      <c r="F54" s="375" t="s">
        <v>63</v>
      </c>
      <c r="G54" s="57" t="s">
        <v>77</v>
      </c>
      <c r="H54" s="58" t="s">
        <v>65</v>
      </c>
      <c r="I54" s="61">
        <v>24</v>
      </c>
      <c r="J54" s="61">
        <v>72</v>
      </c>
      <c r="K54" s="61">
        <v>88</v>
      </c>
      <c r="M54" s="61">
        <v>8</v>
      </c>
      <c r="O54" s="61">
        <v>9</v>
      </c>
      <c r="P54" s="58">
        <v>377</v>
      </c>
      <c r="Q54" s="58">
        <v>300</v>
      </c>
      <c r="R54" s="58">
        <v>163</v>
      </c>
      <c r="S54" s="58">
        <v>4.68</v>
      </c>
      <c r="T54" s="58">
        <v>5.08</v>
      </c>
      <c r="U54" s="58">
        <v>50</v>
      </c>
      <c r="V54" s="58">
        <v>0</v>
      </c>
      <c r="W54" s="58">
        <v>0</v>
      </c>
      <c r="X54" s="58">
        <v>1</v>
      </c>
      <c r="Y54" s="58">
        <v>0</v>
      </c>
      <c r="Z54" s="58">
        <v>0</v>
      </c>
      <c r="AA54" s="58">
        <v>0</v>
      </c>
      <c r="AB54" s="58" t="s">
        <v>29</v>
      </c>
      <c r="AC54" s="57"/>
      <c r="AD54" s="57"/>
      <c r="AE54" s="57"/>
      <c r="BH54"/>
      <c r="BK54" s="57"/>
    </row>
    <row r="55" spans="1:63" x14ac:dyDescent="0.35">
      <c r="A55" s="61" t="s">
        <v>78</v>
      </c>
      <c r="B55" s="61" t="s">
        <v>1095</v>
      </c>
      <c r="C55" s="61">
        <v>1</v>
      </c>
      <c r="D55" s="61" t="s">
        <v>37</v>
      </c>
      <c r="E55" s="59">
        <v>8718719850312</v>
      </c>
      <c r="F55" s="375" t="s">
        <v>63</v>
      </c>
      <c r="G55" s="57" t="s">
        <v>79</v>
      </c>
      <c r="H55" s="58" t="s">
        <v>65</v>
      </c>
      <c r="I55" s="61">
        <v>24</v>
      </c>
      <c r="J55" s="61">
        <v>72</v>
      </c>
      <c r="K55" s="61">
        <v>88</v>
      </c>
      <c r="M55" s="61">
        <v>8</v>
      </c>
      <c r="O55" s="61">
        <v>9</v>
      </c>
      <c r="P55" s="58">
        <v>377</v>
      </c>
      <c r="Q55" s="58">
        <v>300</v>
      </c>
      <c r="R55" s="58">
        <v>163</v>
      </c>
      <c r="S55" s="58">
        <v>4.68</v>
      </c>
      <c r="T55" s="58">
        <v>5.08</v>
      </c>
      <c r="U55" s="58">
        <v>50</v>
      </c>
      <c r="V55" s="58">
        <v>0</v>
      </c>
      <c r="W55" s="58">
        <v>0</v>
      </c>
      <c r="X55" s="58">
        <v>1</v>
      </c>
      <c r="Y55" s="58">
        <v>0</v>
      </c>
      <c r="Z55" s="58">
        <v>0</v>
      </c>
      <c r="AA55" s="58">
        <v>0</v>
      </c>
      <c r="AB55" s="58" t="s">
        <v>29</v>
      </c>
      <c r="AC55" s="57"/>
      <c r="AD55" s="57"/>
      <c r="AE55" s="57"/>
      <c r="BH55"/>
      <c r="BK55" s="57"/>
    </row>
    <row r="56" spans="1:63" x14ac:dyDescent="0.35">
      <c r="A56" s="61" t="s">
        <v>107</v>
      </c>
      <c r="B56" s="61" t="s">
        <v>1095</v>
      </c>
      <c r="C56" s="61">
        <v>1</v>
      </c>
      <c r="D56" s="61" t="s">
        <v>37</v>
      </c>
      <c r="E56" s="59">
        <v>6291107162713</v>
      </c>
      <c r="F56" s="375" t="s">
        <v>63</v>
      </c>
      <c r="G56" s="57" t="s">
        <v>108</v>
      </c>
      <c r="H56" s="58" t="s">
        <v>65</v>
      </c>
      <c r="I56" s="61">
        <v>24</v>
      </c>
      <c r="J56" s="61">
        <v>64</v>
      </c>
      <c r="K56" s="61">
        <v>64</v>
      </c>
      <c r="M56" s="61">
        <v>8</v>
      </c>
      <c r="O56" s="61">
        <v>8</v>
      </c>
      <c r="P56" s="58">
        <v>430</v>
      </c>
      <c r="Q56" s="58">
        <v>300</v>
      </c>
      <c r="R56" s="58">
        <v>195</v>
      </c>
      <c r="S56" s="58">
        <v>6.87</v>
      </c>
      <c r="T56" s="58">
        <v>7.56</v>
      </c>
      <c r="U56" s="58">
        <v>100</v>
      </c>
      <c r="V56" s="58">
        <v>0</v>
      </c>
      <c r="W56" s="58">
        <v>0</v>
      </c>
      <c r="X56" s="58">
        <v>1</v>
      </c>
      <c r="Y56" s="58">
        <v>0</v>
      </c>
      <c r="Z56" s="58">
        <v>0</v>
      </c>
      <c r="AA56" s="58">
        <v>0</v>
      </c>
      <c r="AB56" s="58" t="s">
        <v>29</v>
      </c>
      <c r="AC56" s="57"/>
      <c r="AD56" s="57"/>
      <c r="AE56" s="57"/>
      <c r="BH56"/>
      <c r="BK56" s="57"/>
    </row>
    <row r="57" spans="1:63" x14ac:dyDescent="0.35">
      <c r="A57" s="61" t="s">
        <v>109</v>
      </c>
      <c r="B57" s="61" t="s">
        <v>1095</v>
      </c>
      <c r="C57" s="61">
        <v>1</v>
      </c>
      <c r="D57" s="61" t="s">
        <v>37</v>
      </c>
      <c r="E57" s="59">
        <v>6291107162720</v>
      </c>
      <c r="F57" s="375" t="s">
        <v>63</v>
      </c>
      <c r="G57" s="57" t="s">
        <v>110</v>
      </c>
      <c r="H57" s="58" t="s">
        <v>65</v>
      </c>
      <c r="I57" s="61">
        <v>24</v>
      </c>
      <c r="J57" s="61">
        <v>64</v>
      </c>
      <c r="K57" s="61">
        <v>64</v>
      </c>
      <c r="M57" s="61">
        <v>8</v>
      </c>
      <c r="O57" s="61">
        <v>8</v>
      </c>
      <c r="P57" s="58">
        <v>430</v>
      </c>
      <c r="Q57" s="58">
        <v>300</v>
      </c>
      <c r="R57" s="58">
        <v>195</v>
      </c>
      <c r="S57" s="58">
        <v>6.87</v>
      </c>
      <c r="T57" s="58">
        <v>7.56</v>
      </c>
      <c r="U57" s="58">
        <v>100</v>
      </c>
      <c r="V57" s="58">
        <v>0</v>
      </c>
      <c r="W57" s="58">
        <v>0</v>
      </c>
      <c r="X57" s="58">
        <v>1</v>
      </c>
      <c r="Y57" s="58">
        <v>0</v>
      </c>
      <c r="Z57" s="58">
        <v>0</v>
      </c>
      <c r="AA57" s="58">
        <v>0</v>
      </c>
      <c r="AB57" s="58" t="s">
        <v>29</v>
      </c>
      <c r="AC57" s="57"/>
      <c r="AD57" s="57"/>
      <c r="AE57" s="57"/>
      <c r="BH57"/>
      <c r="BK57" s="57"/>
    </row>
    <row r="58" spans="1:63" x14ac:dyDescent="0.35">
      <c r="A58" s="61" t="s">
        <v>111</v>
      </c>
      <c r="B58" s="61" t="s">
        <v>1095</v>
      </c>
      <c r="C58" s="61">
        <v>1</v>
      </c>
      <c r="D58" s="61" t="s">
        <v>37</v>
      </c>
      <c r="E58" s="59">
        <v>6291107162737</v>
      </c>
      <c r="F58" s="375" t="s">
        <v>63</v>
      </c>
      <c r="G58" s="57" t="s">
        <v>112</v>
      </c>
      <c r="H58" s="58" t="s">
        <v>65</v>
      </c>
      <c r="I58" s="61">
        <v>24</v>
      </c>
      <c r="J58" s="61">
        <v>64</v>
      </c>
      <c r="K58" s="61">
        <v>64</v>
      </c>
      <c r="M58" s="61">
        <v>8</v>
      </c>
      <c r="O58" s="61">
        <v>8</v>
      </c>
      <c r="P58" s="58">
        <v>430</v>
      </c>
      <c r="Q58" s="58">
        <v>300</v>
      </c>
      <c r="R58" s="58">
        <v>195</v>
      </c>
      <c r="S58" s="58">
        <v>6.87</v>
      </c>
      <c r="T58" s="58">
        <v>7.56</v>
      </c>
      <c r="U58" s="58">
        <v>100</v>
      </c>
      <c r="V58" s="58">
        <v>0</v>
      </c>
      <c r="W58" s="58">
        <v>0</v>
      </c>
      <c r="X58" s="58">
        <v>1</v>
      </c>
      <c r="Y58" s="58">
        <v>0</v>
      </c>
      <c r="Z58" s="58">
        <v>0</v>
      </c>
      <c r="AA58" s="58">
        <v>0</v>
      </c>
      <c r="AB58" s="58" t="s">
        <v>29</v>
      </c>
      <c r="AC58" s="57"/>
      <c r="AD58" s="57"/>
      <c r="AE58" s="57"/>
      <c r="BH58"/>
      <c r="BK58" s="57"/>
    </row>
    <row r="59" spans="1:63" x14ac:dyDescent="0.35">
      <c r="A59" s="61" t="s">
        <v>113</v>
      </c>
      <c r="B59" s="61" t="s">
        <v>1095</v>
      </c>
      <c r="C59" s="61">
        <v>1</v>
      </c>
      <c r="D59" s="61" t="s">
        <v>37</v>
      </c>
      <c r="E59" s="59">
        <v>6291107162744</v>
      </c>
      <c r="F59" s="375" t="s">
        <v>63</v>
      </c>
      <c r="G59" s="57" t="s">
        <v>114</v>
      </c>
      <c r="H59" s="58" t="s">
        <v>65</v>
      </c>
      <c r="I59" s="61">
        <v>24</v>
      </c>
      <c r="J59" s="61">
        <v>64</v>
      </c>
      <c r="K59" s="61">
        <v>64</v>
      </c>
      <c r="M59" s="61">
        <v>8</v>
      </c>
      <c r="O59" s="61">
        <v>8</v>
      </c>
      <c r="P59" s="58">
        <v>430</v>
      </c>
      <c r="Q59" s="58">
        <v>300</v>
      </c>
      <c r="R59" s="58">
        <v>195</v>
      </c>
      <c r="S59" s="58">
        <v>6.87</v>
      </c>
      <c r="T59" s="58">
        <v>7.56</v>
      </c>
      <c r="U59" s="58">
        <v>100</v>
      </c>
      <c r="V59" s="58">
        <v>0</v>
      </c>
      <c r="W59" s="58">
        <v>0</v>
      </c>
      <c r="X59" s="58">
        <v>1</v>
      </c>
      <c r="Y59" s="58">
        <v>0</v>
      </c>
      <c r="Z59" s="58">
        <v>0</v>
      </c>
      <c r="AA59" s="58">
        <v>0</v>
      </c>
      <c r="AB59" s="58" t="s">
        <v>29</v>
      </c>
      <c r="AC59" s="57"/>
      <c r="AD59" s="57"/>
      <c r="AE59" s="57"/>
      <c r="BH59"/>
      <c r="BK59" s="57"/>
    </row>
    <row r="60" spans="1:63" x14ac:dyDescent="0.35">
      <c r="A60" s="61" t="s">
        <v>115</v>
      </c>
      <c r="B60" s="61" t="s">
        <v>116</v>
      </c>
      <c r="C60" s="61">
        <v>1</v>
      </c>
      <c r="D60" s="61" t="s">
        <v>26</v>
      </c>
      <c r="E60" s="59">
        <v>6291107160771</v>
      </c>
      <c r="F60" s="375" t="s">
        <v>63</v>
      </c>
      <c r="G60" s="57" t="s">
        <v>117</v>
      </c>
      <c r="H60" s="58" t="s">
        <v>65</v>
      </c>
      <c r="I60" s="61">
        <v>24</v>
      </c>
      <c r="J60" s="61">
        <v>48</v>
      </c>
      <c r="K60" s="61">
        <v>60</v>
      </c>
      <c r="M60" s="61">
        <v>6</v>
      </c>
      <c r="O60" s="61">
        <v>8</v>
      </c>
      <c r="P60" s="58">
        <v>370</v>
      </c>
      <c r="Q60" s="58">
        <v>275</v>
      </c>
      <c r="R60" s="58">
        <v>170</v>
      </c>
      <c r="S60" s="58">
        <v>9.48</v>
      </c>
      <c r="T60" s="58">
        <v>9.9</v>
      </c>
      <c r="U60" s="58">
        <v>100</v>
      </c>
      <c r="V60" s="58">
        <v>0</v>
      </c>
      <c r="W60" s="58">
        <v>0</v>
      </c>
      <c r="X60" s="58">
        <v>1</v>
      </c>
      <c r="Y60" s="58">
        <v>0</v>
      </c>
      <c r="Z60" s="58">
        <v>0</v>
      </c>
      <c r="AA60" s="58">
        <v>0</v>
      </c>
      <c r="AB60" s="58" t="s">
        <v>29</v>
      </c>
      <c r="AC60" s="57"/>
      <c r="AD60" s="57"/>
      <c r="AE60" s="57"/>
      <c r="BH60"/>
      <c r="BK60" s="57"/>
    </row>
    <row r="61" spans="1:63" x14ac:dyDescent="0.35">
      <c r="A61" s="61" t="s">
        <v>118</v>
      </c>
      <c r="B61" s="61" t="s">
        <v>116</v>
      </c>
      <c r="C61" s="61">
        <v>1</v>
      </c>
      <c r="D61" s="61" t="s">
        <v>26</v>
      </c>
      <c r="E61" s="59">
        <v>6291107160788</v>
      </c>
      <c r="F61" s="375" t="s">
        <v>63</v>
      </c>
      <c r="G61" s="57" t="s">
        <v>119</v>
      </c>
      <c r="H61" s="58" t="s">
        <v>65</v>
      </c>
      <c r="I61" s="61">
        <v>24</v>
      </c>
      <c r="J61" s="61">
        <v>48</v>
      </c>
      <c r="K61" s="61">
        <v>60</v>
      </c>
      <c r="M61" s="61">
        <v>6</v>
      </c>
      <c r="O61" s="61">
        <v>8</v>
      </c>
      <c r="P61" s="58">
        <v>370</v>
      </c>
      <c r="Q61" s="58">
        <v>275</v>
      </c>
      <c r="R61" s="58">
        <v>170</v>
      </c>
      <c r="S61" s="58">
        <v>9.48</v>
      </c>
      <c r="T61" s="58">
        <v>9.9</v>
      </c>
      <c r="U61" s="58">
        <v>100</v>
      </c>
      <c r="V61" s="58">
        <v>0</v>
      </c>
      <c r="W61" s="58">
        <v>0</v>
      </c>
      <c r="X61" s="58">
        <v>1</v>
      </c>
      <c r="Y61" s="58">
        <v>0</v>
      </c>
      <c r="Z61" s="58">
        <v>0</v>
      </c>
      <c r="AA61" s="58">
        <v>0</v>
      </c>
      <c r="AB61" s="58" t="s">
        <v>29</v>
      </c>
      <c r="AC61" s="57"/>
      <c r="AD61" s="57"/>
      <c r="AE61" s="57"/>
      <c r="BH61"/>
      <c r="BK61" s="57"/>
    </row>
    <row r="62" spans="1:63" x14ac:dyDescent="0.35">
      <c r="A62" s="61" t="s">
        <v>120</v>
      </c>
      <c r="B62" s="61" t="s">
        <v>116</v>
      </c>
      <c r="C62" s="61">
        <v>1</v>
      </c>
      <c r="D62" s="61" t="s">
        <v>26</v>
      </c>
      <c r="E62" s="59">
        <v>6291107160795</v>
      </c>
      <c r="F62" s="375" t="s">
        <v>63</v>
      </c>
      <c r="G62" s="57" t="s">
        <v>713</v>
      </c>
      <c r="H62" s="58" t="s">
        <v>65</v>
      </c>
      <c r="I62" s="61">
        <v>24</v>
      </c>
      <c r="J62" s="61">
        <v>48</v>
      </c>
      <c r="K62" s="61">
        <v>60</v>
      </c>
      <c r="M62" s="61">
        <v>6</v>
      </c>
      <c r="O62" s="61">
        <v>8</v>
      </c>
      <c r="P62" s="58">
        <v>370</v>
      </c>
      <c r="Q62" s="58">
        <v>275</v>
      </c>
      <c r="R62" s="58">
        <v>170</v>
      </c>
      <c r="S62" s="58">
        <v>9.48</v>
      </c>
      <c r="T62" s="58">
        <v>9.9</v>
      </c>
      <c r="U62" s="58">
        <v>100</v>
      </c>
      <c r="V62" s="58">
        <v>0</v>
      </c>
      <c r="W62" s="58">
        <v>0</v>
      </c>
      <c r="X62" s="58">
        <v>1</v>
      </c>
      <c r="Y62" s="58">
        <v>0</v>
      </c>
      <c r="Z62" s="58">
        <v>0</v>
      </c>
      <c r="AA62" s="58">
        <v>0</v>
      </c>
      <c r="AB62" s="58" t="s">
        <v>29</v>
      </c>
      <c r="AC62" s="57"/>
      <c r="AD62" s="57"/>
      <c r="AE62" s="57"/>
      <c r="BH62"/>
      <c r="BK62" s="57"/>
    </row>
    <row r="63" spans="1:63" x14ac:dyDescent="0.35">
      <c r="A63" s="61" t="s">
        <v>122</v>
      </c>
      <c r="B63" s="61" t="s">
        <v>116</v>
      </c>
      <c r="C63" s="61">
        <v>1</v>
      </c>
      <c r="D63" s="61" t="s">
        <v>26</v>
      </c>
      <c r="E63" s="59">
        <v>6291107160801</v>
      </c>
      <c r="F63" s="375" t="s">
        <v>63</v>
      </c>
      <c r="G63" s="57" t="s">
        <v>123</v>
      </c>
      <c r="H63" s="58" t="s">
        <v>65</v>
      </c>
      <c r="I63" s="61">
        <v>24</v>
      </c>
      <c r="J63" s="61">
        <v>48</v>
      </c>
      <c r="K63" s="61">
        <v>60</v>
      </c>
      <c r="M63" s="61">
        <v>6</v>
      </c>
      <c r="O63" s="61">
        <v>8</v>
      </c>
      <c r="P63" s="58">
        <v>370</v>
      </c>
      <c r="Q63" s="58">
        <v>275</v>
      </c>
      <c r="R63" s="58">
        <v>170</v>
      </c>
      <c r="S63" s="58">
        <v>9.48</v>
      </c>
      <c r="T63" s="58">
        <v>9.9</v>
      </c>
      <c r="U63" s="58">
        <v>100</v>
      </c>
      <c r="V63" s="58">
        <v>0</v>
      </c>
      <c r="W63" s="58">
        <v>0</v>
      </c>
      <c r="X63" s="58">
        <v>1</v>
      </c>
      <c r="Y63" s="58">
        <v>0</v>
      </c>
      <c r="Z63" s="58">
        <v>0</v>
      </c>
      <c r="AA63" s="58">
        <v>0</v>
      </c>
      <c r="AB63" s="58" t="s">
        <v>29</v>
      </c>
      <c r="AC63" s="57"/>
      <c r="AD63" s="57"/>
      <c r="AE63" s="57"/>
      <c r="BH63"/>
      <c r="BK63" s="57"/>
    </row>
    <row r="64" spans="1:63" x14ac:dyDescent="0.35">
      <c r="A64" s="61" t="s">
        <v>124</v>
      </c>
      <c r="B64" s="61" t="s">
        <v>116</v>
      </c>
      <c r="C64" s="61">
        <v>1</v>
      </c>
      <c r="D64" s="61" t="s">
        <v>37</v>
      </c>
      <c r="E64" s="59">
        <v>6291107160825</v>
      </c>
      <c r="F64" s="375" t="s">
        <v>63</v>
      </c>
      <c r="G64" s="57" t="s">
        <v>125</v>
      </c>
      <c r="H64" s="58" t="s">
        <v>65</v>
      </c>
      <c r="I64" s="61">
        <v>24</v>
      </c>
      <c r="J64" s="61">
        <v>48</v>
      </c>
      <c r="K64" s="61">
        <v>60</v>
      </c>
      <c r="M64" s="61">
        <v>6</v>
      </c>
      <c r="O64" s="61">
        <v>8</v>
      </c>
      <c r="P64" s="58">
        <v>375</v>
      </c>
      <c r="Q64" s="58">
        <v>275</v>
      </c>
      <c r="R64" s="58">
        <v>170</v>
      </c>
      <c r="S64" s="58">
        <v>9.1199999999999992</v>
      </c>
      <c r="T64" s="58">
        <v>9.5</v>
      </c>
      <c r="U64" s="58">
        <v>100</v>
      </c>
      <c r="V64" s="58">
        <v>0</v>
      </c>
      <c r="W64" s="58">
        <v>0</v>
      </c>
      <c r="X64" s="58">
        <v>1</v>
      </c>
      <c r="Y64" s="58">
        <v>0</v>
      </c>
      <c r="Z64" s="58">
        <v>0</v>
      </c>
      <c r="AA64" s="58">
        <v>0</v>
      </c>
      <c r="AB64" s="58" t="s">
        <v>29</v>
      </c>
      <c r="AC64" s="57"/>
      <c r="AD64" s="57"/>
      <c r="AE64" s="57"/>
      <c r="BH64"/>
      <c r="BK64" s="57"/>
    </row>
    <row r="65" spans="1:63" x14ac:dyDescent="0.35">
      <c r="A65" s="61" t="s">
        <v>126</v>
      </c>
      <c r="B65" s="61" t="s">
        <v>116</v>
      </c>
      <c r="C65" s="61">
        <v>1</v>
      </c>
      <c r="D65" s="61" t="s">
        <v>37</v>
      </c>
      <c r="E65" s="59">
        <v>6291107160818</v>
      </c>
      <c r="F65" s="375" t="s">
        <v>63</v>
      </c>
      <c r="G65" s="57" t="s">
        <v>127</v>
      </c>
      <c r="H65" s="58" t="s">
        <v>65</v>
      </c>
      <c r="I65" s="61">
        <v>24</v>
      </c>
      <c r="J65" s="61">
        <v>48</v>
      </c>
      <c r="K65" s="61">
        <v>60</v>
      </c>
      <c r="M65" s="61">
        <v>6</v>
      </c>
      <c r="O65" s="61">
        <v>8</v>
      </c>
      <c r="P65" s="58">
        <v>375</v>
      </c>
      <c r="Q65" s="58">
        <v>275</v>
      </c>
      <c r="R65" s="58">
        <v>170</v>
      </c>
      <c r="S65" s="58">
        <v>9.1199999999999992</v>
      </c>
      <c r="T65" s="58">
        <v>9.5</v>
      </c>
      <c r="U65" s="58">
        <v>100</v>
      </c>
      <c r="V65" s="58">
        <v>0</v>
      </c>
      <c r="W65" s="58">
        <v>0</v>
      </c>
      <c r="X65" s="58">
        <v>1</v>
      </c>
      <c r="Y65" s="58">
        <v>0</v>
      </c>
      <c r="Z65" s="58">
        <v>0</v>
      </c>
      <c r="AA65" s="58">
        <v>0</v>
      </c>
      <c r="AB65" s="58" t="s">
        <v>29</v>
      </c>
      <c r="AC65" s="57"/>
      <c r="AD65" s="57"/>
      <c r="AE65" s="57"/>
      <c r="BH65"/>
      <c r="BK65" s="57"/>
    </row>
    <row r="66" spans="1:63" x14ac:dyDescent="0.35">
      <c r="A66" s="61" t="s">
        <v>128</v>
      </c>
      <c r="B66" s="61" t="s">
        <v>116</v>
      </c>
      <c r="C66" s="61">
        <v>1</v>
      </c>
      <c r="D66" s="61" t="s">
        <v>37</v>
      </c>
      <c r="E66" s="59">
        <v>6291107162171</v>
      </c>
      <c r="F66" s="375" t="s">
        <v>63</v>
      </c>
      <c r="G66" s="57" t="s">
        <v>129</v>
      </c>
      <c r="H66" s="58" t="s">
        <v>65</v>
      </c>
      <c r="I66" s="61">
        <v>24</v>
      </c>
      <c r="J66" s="61">
        <v>48</v>
      </c>
      <c r="K66" s="61">
        <v>60</v>
      </c>
      <c r="M66" s="61">
        <v>6</v>
      </c>
      <c r="O66" s="61">
        <v>8</v>
      </c>
      <c r="P66" s="58">
        <v>375</v>
      </c>
      <c r="Q66" s="58">
        <v>275</v>
      </c>
      <c r="R66" s="58">
        <v>170</v>
      </c>
      <c r="S66" s="58">
        <v>9.1199999999999992</v>
      </c>
      <c r="T66" s="58">
        <v>9.5</v>
      </c>
      <c r="U66" s="58">
        <v>100</v>
      </c>
      <c r="V66" s="58">
        <v>0</v>
      </c>
      <c r="W66" s="58">
        <v>0</v>
      </c>
      <c r="X66" s="58">
        <v>1</v>
      </c>
      <c r="Y66" s="58">
        <v>0</v>
      </c>
      <c r="Z66" s="58">
        <v>0</v>
      </c>
      <c r="AA66" s="58">
        <v>0</v>
      </c>
      <c r="AB66" s="58" t="s">
        <v>29</v>
      </c>
      <c r="AC66" s="57"/>
      <c r="AD66" s="57"/>
      <c r="AE66" s="57"/>
      <c r="BH66"/>
      <c r="BK66" s="57"/>
    </row>
    <row r="67" spans="1:63" x14ac:dyDescent="0.35">
      <c r="A67" s="61" t="s">
        <v>130</v>
      </c>
      <c r="B67" s="61" t="s">
        <v>116</v>
      </c>
      <c r="C67" s="61">
        <v>1</v>
      </c>
      <c r="D67" s="61" t="s">
        <v>37</v>
      </c>
      <c r="E67" s="59">
        <v>6291107162188</v>
      </c>
      <c r="F67" s="375" t="s">
        <v>63</v>
      </c>
      <c r="G67" s="57" t="s">
        <v>131</v>
      </c>
      <c r="H67" s="58" t="s">
        <v>65</v>
      </c>
      <c r="I67" s="61">
        <v>24</v>
      </c>
      <c r="J67" s="61">
        <v>48</v>
      </c>
      <c r="K67" s="61">
        <v>60</v>
      </c>
      <c r="M67" s="61">
        <v>6</v>
      </c>
      <c r="O67" s="61">
        <v>8</v>
      </c>
      <c r="P67" s="58">
        <v>375</v>
      </c>
      <c r="Q67" s="58">
        <v>275</v>
      </c>
      <c r="R67" s="58">
        <v>170</v>
      </c>
      <c r="S67" s="58">
        <v>9.1199999999999992</v>
      </c>
      <c r="T67" s="58">
        <v>9.5</v>
      </c>
      <c r="U67" s="58">
        <v>100</v>
      </c>
      <c r="V67" s="58">
        <v>0</v>
      </c>
      <c r="W67" s="58">
        <v>0</v>
      </c>
      <c r="X67" s="58">
        <v>1</v>
      </c>
      <c r="Y67" s="58">
        <v>0</v>
      </c>
      <c r="Z67" s="58">
        <v>0</v>
      </c>
      <c r="AA67" s="58">
        <v>0</v>
      </c>
      <c r="AB67" s="58" t="s">
        <v>29</v>
      </c>
      <c r="AC67" s="57"/>
      <c r="AD67" s="57"/>
      <c r="AE67" s="57"/>
      <c r="BH67"/>
      <c r="BK67" s="57"/>
    </row>
    <row r="68" spans="1:63" x14ac:dyDescent="0.35">
      <c r="A68" s="268" t="s">
        <v>742</v>
      </c>
      <c r="B68" s="268" t="s">
        <v>158</v>
      </c>
      <c r="C68" s="268">
        <v>1</v>
      </c>
      <c r="D68" s="268" t="s">
        <v>37</v>
      </c>
      <c r="E68" s="204"/>
      <c r="F68" s="375" t="s">
        <v>159</v>
      </c>
      <c r="G68" s="203" t="s">
        <v>939</v>
      </c>
      <c r="H68" s="266" t="s">
        <v>161</v>
      </c>
      <c r="I68" s="61">
        <v>24</v>
      </c>
      <c r="J68" s="268"/>
      <c r="K68" s="268"/>
      <c r="L68" s="268"/>
      <c r="M68" s="268"/>
      <c r="N68" s="268"/>
      <c r="O68" s="268">
        <v>11</v>
      </c>
      <c r="P68" s="266">
        <v>350</v>
      </c>
      <c r="Q68" s="266">
        <v>235</v>
      </c>
      <c r="R68" s="266">
        <v>195</v>
      </c>
      <c r="S68" s="266">
        <v>6.5039999999999996</v>
      </c>
      <c r="T68" s="266">
        <v>7.09</v>
      </c>
      <c r="U68" s="58">
        <v>100</v>
      </c>
      <c r="V68" s="58">
        <v>0</v>
      </c>
      <c r="W68" s="58">
        <v>0</v>
      </c>
      <c r="X68" s="58">
        <v>1</v>
      </c>
      <c r="Y68" s="58">
        <v>0</v>
      </c>
      <c r="Z68" s="58">
        <v>0</v>
      </c>
      <c r="AA68" s="58">
        <v>0</v>
      </c>
      <c r="AB68" s="58" t="s">
        <v>29</v>
      </c>
      <c r="AC68" s="57"/>
      <c r="AD68" s="57"/>
      <c r="AE68" s="57"/>
      <c r="BH68"/>
      <c r="BK68" s="57"/>
    </row>
    <row r="69" spans="1:63" x14ac:dyDescent="0.35">
      <c r="A69" s="268" t="s">
        <v>744</v>
      </c>
      <c r="B69" s="268" t="s">
        <v>158</v>
      </c>
      <c r="C69" s="268">
        <v>1</v>
      </c>
      <c r="D69" s="268" t="s">
        <v>37</v>
      </c>
      <c r="E69" s="204"/>
      <c r="F69" s="375" t="s">
        <v>159</v>
      </c>
      <c r="G69" s="203" t="s">
        <v>940</v>
      </c>
      <c r="H69" s="266" t="s">
        <v>161</v>
      </c>
      <c r="I69" s="61">
        <v>24</v>
      </c>
      <c r="J69" s="268"/>
      <c r="K69" s="268"/>
      <c r="L69" s="268"/>
      <c r="M69" s="268"/>
      <c r="N69" s="268"/>
      <c r="O69" s="268">
        <v>11</v>
      </c>
      <c r="P69" s="266">
        <v>350</v>
      </c>
      <c r="Q69" s="266">
        <v>235</v>
      </c>
      <c r="R69" s="266">
        <v>195</v>
      </c>
      <c r="S69" s="266">
        <v>6.5039999999999996</v>
      </c>
      <c r="T69" s="266">
        <v>7.09</v>
      </c>
      <c r="U69" s="58">
        <v>100</v>
      </c>
      <c r="V69" s="58">
        <v>0</v>
      </c>
      <c r="W69" s="58">
        <v>0</v>
      </c>
      <c r="X69" s="58">
        <v>1</v>
      </c>
      <c r="Y69" s="58">
        <v>0</v>
      </c>
      <c r="Z69" s="58">
        <v>0</v>
      </c>
      <c r="AA69" s="58">
        <v>0</v>
      </c>
      <c r="AB69" s="58" t="s">
        <v>29</v>
      </c>
      <c r="AC69" s="57"/>
      <c r="AD69" s="57"/>
      <c r="AE69" s="57"/>
      <c r="BH69"/>
      <c r="BK69" s="57"/>
    </row>
    <row r="70" spans="1:63" x14ac:dyDescent="0.35">
      <c r="A70" s="268" t="s">
        <v>746</v>
      </c>
      <c r="B70" s="268" t="s">
        <v>158</v>
      </c>
      <c r="C70" s="268">
        <v>1</v>
      </c>
      <c r="D70" s="268" t="s">
        <v>37</v>
      </c>
      <c r="E70" s="204"/>
      <c r="F70" s="375" t="s">
        <v>159</v>
      </c>
      <c r="G70" s="203" t="s">
        <v>941</v>
      </c>
      <c r="H70" s="266" t="s">
        <v>161</v>
      </c>
      <c r="I70" s="61">
        <v>24</v>
      </c>
      <c r="J70" s="268"/>
      <c r="K70" s="268"/>
      <c r="L70" s="268"/>
      <c r="M70" s="268"/>
      <c r="N70" s="268"/>
      <c r="O70" s="268">
        <v>11</v>
      </c>
      <c r="P70" s="266">
        <v>350</v>
      </c>
      <c r="Q70" s="266">
        <v>235</v>
      </c>
      <c r="R70" s="266">
        <v>195</v>
      </c>
      <c r="S70" s="266">
        <v>6.5039999999999996</v>
      </c>
      <c r="T70" s="266">
        <v>7.09</v>
      </c>
      <c r="U70" s="58">
        <v>100</v>
      </c>
      <c r="V70" s="58">
        <v>0</v>
      </c>
      <c r="W70" s="58">
        <v>0</v>
      </c>
      <c r="X70" s="58">
        <v>1</v>
      </c>
      <c r="Y70" s="58">
        <v>0</v>
      </c>
      <c r="Z70" s="58">
        <v>0</v>
      </c>
      <c r="AA70" s="58">
        <v>0</v>
      </c>
      <c r="AB70" s="58" t="s">
        <v>29</v>
      </c>
      <c r="AC70" s="57"/>
      <c r="AD70" s="57"/>
      <c r="AE70" s="57"/>
      <c r="BH70"/>
      <c r="BK70" s="57"/>
    </row>
    <row r="71" spans="1:63" x14ac:dyDescent="0.35">
      <c r="A71" s="268" t="s">
        <v>748</v>
      </c>
      <c r="B71" s="268" t="s">
        <v>158</v>
      </c>
      <c r="C71" s="268">
        <v>1</v>
      </c>
      <c r="D71" s="268" t="s">
        <v>37</v>
      </c>
      <c r="E71" s="204"/>
      <c r="F71" s="375" t="s">
        <v>159</v>
      </c>
      <c r="G71" s="203" t="s">
        <v>942</v>
      </c>
      <c r="H71" s="266" t="s">
        <v>161</v>
      </c>
      <c r="I71" s="61">
        <v>24</v>
      </c>
      <c r="J71" s="268"/>
      <c r="K71" s="268"/>
      <c r="L71" s="268"/>
      <c r="M71" s="268"/>
      <c r="N71" s="268"/>
      <c r="O71" s="268">
        <v>11</v>
      </c>
      <c r="P71" s="266">
        <v>350</v>
      </c>
      <c r="Q71" s="266">
        <v>235</v>
      </c>
      <c r="R71" s="266">
        <v>195</v>
      </c>
      <c r="S71" s="266">
        <v>6.5039999999999996</v>
      </c>
      <c r="T71" s="266">
        <v>7.09</v>
      </c>
      <c r="U71" s="58">
        <v>100</v>
      </c>
      <c r="V71" s="58">
        <v>0</v>
      </c>
      <c r="W71" s="58">
        <v>0</v>
      </c>
      <c r="X71" s="58">
        <v>1</v>
      </c>
      <c r="Y71" s="58">
        <v>0</v>
      </c>
      <c r="Z71" s="58">
        <v>0</v>
      </c>
      <c r="AA71" s="58">
        <v>0</v>
      </c>
      <c r="AB71" s="58" t="s">
        <v>29</v>
      </c>
      <c r="AC71" s="57"/>
      <c r="AD71" s="57"/>
      <c r="AE71" s="57"/>
      <c r="BH71"/>
      <c r="BK71" s="57"/>
    </row>
    <row r="72" spans="1:63" x14ac:dyDescent="0.35">
      <c r="A72" s="268" t="s">
        <v>750</v>
      </c>
      <c r="B72" s="268" t="s">
        <v>158</v>
      </c>
      <c r="C72" s="268">
        <v>1</v>
      </c>
      <c r="D72" s="268" t="s">
        <v>26</v>
      </c>
      <c r="E72" s="204"/>
      <c r="F72" s="375" t="s">
        <v>159</v>
      </c>
      <c r="G72" s="203" t="s">
        <v>934</v>
      </c>
      <c r="H72" s="266" t="s">
        <v>161</v>
      </c>
      <c r="I72" s="61">
        <v>24</v>
      </c>
      <c r="J72" s="268"/>
      <c r="K72" s="268"/>
      <c r="L72" s="268"/>
      <c r="M72" s="268"/>
      <c r="N72" s="268"/>
      <c r="O72" s="268">
        <v>8</v>
      </c>
      <c r="P72" s="266">
        <v>430</v>
      </c>
      <c r="Q72" s="266">
        <v>285</v>
      </c>
      <c r="R72" s="266">
        <v>185</v>
      </c>
      <c r="S72" s="266">
        <v>6.0960000000000001</v>
      </c>
      <c r="T72" s="266">
        <v>6.8</v>
      </c>
      <c r="U72" s="58">
        <v>100</v>
      </c>
      <c r="V72" s="58">
        <v>0</v>
      </c>
      <c r="W72" s="58">
        <v>0</v>
      </c>
      <c r="X72" s="58">
        <v>1</v>
      </c>
      <c r="Y72" s="58">
        <v>0</v>
      </c>
      <c r="Z72" s="58">
        <v>0</v>
      </c>
      <c r="AA72" s="58">
        <v>0</v>
      </c>
      <c r="AB72" s="58" t="s">
        <v>29</v>
      </c>
      <c r="AC72" s="57"/>
      <c r="AD72" s="57"/>
      <c r="AE72" s="57"/>
      <c r="BH72"/>
      <c r="BK72" s="57"/>
    </row>
    <row r="73" spans="1:63" x14ac:dyDescent="0.35">
      <c r="A73" s="268" t="s">
        <v>752</v>
      </c>
      <c r="B73" s="268" t="s">
        <v>158</v>
      </c>
      <c r="C73" s="268">
        <v>1</v>
      </c>
      <c r="D73" s="268" t="s">
        <v>26</v>
      </c>
      <c r="E73" s="204"/>
      <c r="F73" s="375" t="s">
        <v>159</v>
      </c>
      <c r="G73" s="203" t="s">
        <v>936</v>
      </c>
      <c r="H73" s="266" t="s">
        <v>161</v>
      </c>
      <c r="I73" s="61">
        <v>24</v>
      </c>
      <c r="J73" s="268"/>
      <c r="K73" s="268"/>
      <c r="L73" s="268"/>
      <c r="M73" s="268"/>
      <c r="N73" s="268"/>
      <c r="O73" s="268">
        <v>8</v>
      </c>
      <c r="P73" s="266">
        <v>430</v>
      </c>
      <c r="Q73" s="266">
        <v>285</v>
      </c>
      <c r="R73" s="266">
        <v>185</v>
      </c>
      <c r="S73" s="266">
        <v>6.0960000000000001</v>
      </c>
      <c r="T73" s="266">
        <v>6.8</v>
      </c>
      <c r="U73" s="58">
        <v>100</v>
      </c>
      <c r="V73" s="58">
        <v>0</v>
      </c>
      <c r="W73" s="58">
        <v>0</v>
      </c>
      <c r="X73" s="58">
        <v>1</v>
      </c>
      <c r="Y73" s="58">
        <v>0</v>
      </c>
      <c r="Z73" s="58">
        <v>0</v>
      </c>
      <c r="AA73" s="58">
        <v>0</v>
      </c>
      <c r="AB73" s="58" t="s">
        <v>29</v>
      </c>
      <c r="AC73" s="57"/>
      <c r="AD73" s="57"/>
      <c r="AE73" s="57"/>
      <c r="BH73"/>
      <c r="BK73" s="57"/>
    </row>
    <row r="74" spans="1:63" x14ac:dyDescent="0.35">
      <c r="A74" s="268" t="s">
        <v>754</v>
      </c>
      <c r="B74" s="268" t="s">
        <v>158</v>
      </c>
      <c r="C74" s="268">
        <v>1</v>
      </c>
      <c r="D74" s="268" t="s">
        <v>26</v>
      </c>
      <c r="E74" s="204"/>
      <c r="F74" s="375" t="s">
        <v>159</v>
      </c>
      <c r="G74" s="203" t="s">
        <v>938</v>
      </c>
      <c r="H74" s="266" t="s">
        <v>161</v>
      </c>
      <c r="I74" s="61">
        <v>24</v>
      </c>
      <c r="J74" s="268"/>
      <c r="K74" s="268"/>
      <c r="L74" s="268"/>
      <c r="M74" s="268"/>
      <c r="N74" s="268"/>
      <c r="O74" s="268">
        <v>8</v>
      </c>
      <c r="P74" s="266">
        <v>430</v>
      </c>
      <c r="Q74" s="266">
        <v>285</v>
      </c>
      <c r="R74" s="266">
        <v>185</v>
      </c>
      <c r="S74" s="266">
        <v>6.0960000000000001</v>
      </c>
      <c r="T74" s="266">
        <v>6.8</v>
      </c>
      <c r="U74" s="58">
        <v>100</v>
      </c>
      <c r="V74" s="58">
        <v>0</v>
      </c>
      <c r="W74" s="58">
        <v>0</v>
      </c>
      <c r="X74" s="58">
        <v>1</v>
      </c>
      <c r="Y74" s="58">
        <v>0</v>
      </c>
      <c r="Z74" s="58">
        <v>0</v>
      </c>
      <c r="AA74" s="58">
        <v>0</v>
      </c>
      <c r="AB74" s="58" t="s">
        <v>29</v>
      </c>
      <c r="AC74" s="57"/>
      <c r="AD74" s="57"/>
      <c r="AE74" s="57"/>
      <c r="BH74"/>
      <c r="BK74" s="57"/>
    </row>
    <row r="75" spans="1:63" x14ac:dyDescent="0.35">
      <c r="A75" s="268" t="s">
        <v>756</v>
      </c>
      <c r="B75" s="268" t="s">
        <v>158</v>
      </c>
      <c r="C75" s="268">
        <v>1</v>
      </c>
      <c r="D75" s="268" t="s">
        <v>26</v>
      </c>
      <c r="E75" s="204"/>
      <c r="F75" s="375" t="s">
        <v>159</v>
      </c>
      <c r="G75" s="203" t="s">
        <v>937</v>
      </c>
      <c r="H75" s="266" t="s">
        <v>161</v>
      </c>
      <c r="I75" s="61">
        <v>24</v>
      </c>
      <c r="J75" s="268"/>
      <c r="K75" s="268"/>
      <c r="L75" s="268"/>
      <c r="M75" s="268"/>
      <c r="N75" s="268"/>
      <c r="O75" s="268">
        <v>8</v>
      </c>
      <c r="P75" s="266">
        <v>430</v>
      </c>
      <c r="Q75" s="266">
        <v>285</v>
      </c>
      <c r="R75" s="266">
        <v>185</v>
      </c>
      <c r="S75" s="266">
        <v>6.0960000000000001</v>
      </c>
      <c r="T75" s="266">
        <v>6.8</v>
      </c>
      <c r="U75" s="58">
        <v>100</v>
      </c>
      <c r="V75" s="58">
        <v>0</v>
      </c>
      <c r="W75" s="58">
        <v>0</v>
      </c>
      <c r="X75" s="58">
        <v>1</v>
      </c>
      <c r="Y75" s="58">
        <v>0</v>
      </c>
      <c r="Z75" s="58">
        <v>0</v>
      </c>
      <c r="AA75" s="58">
        <v>0</v>
      </c>
      <c r="AB75" s="58" t="s">
        <v>29</v>
      </c>
      <c r="AC75" s="57"/>
      <c r="AD75" s="57"/>
      <c r="AE75" s="57"/>
      <c r="BH75"/>
      <c r="BK75" s="57"/>
    </row>
    <row r="76" spans="1:63" x14ac:dyDescent="0.35">
      <c r="A76" s="61" t="s">
        <v>149</v>
      </c>
      <c r="B76" s="61" t="s">
        <v>116</v>
      </c>
      <c r="C76" s="61">
        <v>1</v>
      </c>
      <c r="D76" s="61" t="s">
        <v>26</v>
      </c>
      <c r="E76" s="59">
        <v>6291107168852</v>
      </c>
      <c r="F76" s="375" t="s">
        <v>63</v>
      </c>
      <c r="G76" s="57" t="s">
        <v>150</v>
      </c>
      <c r="H76" s="58" t="s">
        <v>65</v>
      </c>
      <c r="I76" s="61">
        <v>24</v>
      </c>
      <c r="J76" s="61">
        <v>48</v>
      </c>
      <c r="K76" s="61">
        <v>60</v>
      </c>
      <c r="M76" s="61">
        <v>6</v>
      </c>
      <c r="O76" s="61">
        <v>8</v>
      </c>
      <c r="P76" s="58">
        <v>375</v>
      </c>
      <c r="Q76" s="58">
        <v>275</v>
      </c>
      <c r="R76" s="58">
        <v>170</v>
      </c>
      <c r="S76" s="58">
        <v>9.48</v>
      </c>
      <c r="T76" s="58">
        <v>9.9</v>
      </c>
      <c r="U76" s="58">
        <v>100</v>
      </c>
      <c r="V76" s="58">
        <v>0</v>
      </c>
      <c r="W76" s="58">
        <v>0</v>
      </c>
      <c r="X76" s="58">
        <v>1</v>
      </c>
      <c r="Y76" s="58">
        <v>0</v>
      </c>
      <c r="Z76" s="58">
        <v>0</v>
      </c>
      <c r="AA76" s="58">
        <v>0</v>
      </c>
      <c r="AB76" s="58" t="s">
        <v>29</v>
      </c>
      <c r="AC76" s="57"/>
      <c r="AD76" s="57"/>
      <c r="AE76" s="57"/>
      <c r="BH76"/>
      <c r="BK76" s="57"/>
    </row>
    <row r="77" spans="1:63" x14ac:dyDescent="0.35">
      <c r="A77" s="61" t="s">
        <v>151</v>
      </c>
      <c r="B77" s="61" t="s">
        <v>116</v>
      </c>
      <c r="C77" s="61">
        <v>1</v>
      </c>
      <c r="D77" s="61" t="s">
        <v>26</v>
      </c>
      <c r="E77" s="59">
        <v>6291107168869</v>
      </c>
      <c r="F77" s="375" t="s">
        <v>63</v>
      </c>
      <c r="G77" s="57" t="s">
        <v>152</v>
      </c>
      <c r="H77" s="58" t="s">
        <v>65</v>
      </c>
      <c r="I77" s="61">
        <v>24</v>
      </c>
      <c r="J77" s="61">
        <v>48</v>
      </c>
      <c r="K77" s="61">
        <v>60</v>
      </c>
      <c r="M77" s="61">
        <v>6</v>
      </c>
      <c r="O77" s="61">
        <v>8</v>
      </c>
      <c r="P77" s="58">
        <v>375</v>
      </c>
      <c r="Q77" s="58">
        <v>275</v>
      </c>
      <c r="R77" s="58">
        <v>170</v>
      </c>
      <c r="S77" s="58">
        <v>9.48</v>
      </c>
      <c r="T77" s="58">
        <v>9.9</v>
      </c>
      <c r="U77" s="58">
        <v>100</v>
      </c>
      <c r="V77" s="58">
        <v>0</v>
      </c>
      <c r="W77" s="58">
        <v>0</v>
      </c>
      <c r="X77" s="58">
        <v>1</v>
      </c>
      <c r="Y77" s="58">
        <v>0</v>
      </c>
      <c r="Z77" s="58">
        <v>0</v>
      </c>
      <c r="AA77" s="58">
        <v>0</v>
      </c>
      <c r="AB77" s="58" t="s">
        <v>29</v>
      </c>
      <c r="AC77" s="57"/>
      <c r="AD77" s="57"/>
      <c r="AE77" s="57"/>
      <c r="BH77"/>
      <c r="BK77" s="57"/>
    </row>
    <row r="78" spans="1:63" x14ac:dyDescent="0.35">
      <c r="A78" s="61" t="s">
        <v>189</v>
      </c>
      <c r="B78" s="61" t="s">
        <v>190</v>
      </c>
      <c r="C78" s="61">
        <v>1</v>
      </c>
      <c r="D78" s="61" t="s">
        <v>26</v>
      </c>
      <c r="E78" s="59"/>
      <c r="F78" s="375" t="s">
        <v>159</v>
      </c>
      <c r="G78" s="57" t="s">
        <v>191</v>
      </c>
      <c r="H78" s="61" t="s">
        <v>190</v>
      </c>
      <c r="I78" s="61">
        <v>48</v>
      </c>
      <c r="P78" s="58"/>
      <c r="Q78" s="58"/>
      <c r="R78" s="58"/>
      <c r="S78" s="58">
        <v>4.4000000000000004</v>
      </c>
      <c r="T78" s="58">
        <v>4.8</v>
      </c>
      <c r="AB78" s="58"/>
      <c r="AC78" s="57"/>
      <c r="AD78" s="57"/>
      <c r="AE78" s="57"/>
      <c r="BH78"/>
      <c r="BK78" s="57"/>
    </row>
    <row r="79" spans="1:63" x14ac:dyDescent="0.35">
      <c r="A79" s="61" t="s">
        <v>192</v>
      </c>
      <c r="B79" s="61" t="s">
        <v>190</v>
      </c>
      <c r="C79" s="61">
        <v>1</v>
      </c>
      <c r="D79" s="61" t="s">
        <v>26</v>
      </c>
      <c r="E79" s="59"/>
      <c r="F79" s="375" t="s">
        <v>159</v>
      </c>
      <c r="G79" s="57" t="s">
        <v>193</v>
      </c>
      <c r="H79" s="61" t="s">
        <v>190</v>
      </c>
      <c r="I79" s="61">
        <v>48</v>
      </c>
      <c r="P79" s="58"/>
      <c r="Q79" s="58"/>
      <c r="R79" s="58"/>
      <c r="S79" s="58">
        <v>4.4000000000000004</v>
      </c>
      <c r="T79" s="58">
        <v>4.8</v>
      </c>
      <c r="AB79" s="58"/>
      <c r="AC79" s="57"/>
      <c r="AD79" s="57"/>
      <c r="AE79" s="57"/>
      <c r="BH79"/>
      <c r="BK79" s="57"/>
    </row>
    <row r="80" spans="1:63" x14ac:dyDescent="0.35">
      <c r="A80" s="61" t="s">
        <v>194</v>
      </c>
      <c r="B80" s="61" t="s">
        <v>190</v>
      </c>
      <c r="C80" s="61">
        <v>1</v>
      </c>
      <c r="D80" s="61" t="s">
        <v>26</v>
      </c>
      <c r="E80" s="59"/>
      <c r="F80" s="375" t="s">
        <v>159</v>
      </c>
      <c r="G80" s="57" t="s">
        <v>195</v>
      </c>
      <c r="H80" s="61" t="s">
        <v>190</v>
      </c>
      <c r="I80" s="61">
        <v>48</v>
      </c>
      <c r="P80" s="58"/>
      <c r="Q80" s="58"/>
      <c r="R80" s="58"/>
      <c r="S80" s="58">
        <v>4.4000000000000004</v>
      </c>
      <c r="T80" s="58">
        <v>4.8</v>
      </c>
      <c r="AB80" s="58"/>
      <c r="AC80" s="57"/>
      <c r="AD80" s="57"/>
      <c r="AE80" s="57"/>
      <c r="BH80"/>
      <c r="BK80" s="57"/>
    </row>
    <row r="81" spans="1:63" x14ac:dyDescent="0.35">
      <c r="A81" s="61" t="s">
        <v>196</v>
      </c>
      <c r="B81" s="61" t="s">
        <v>190</v>
      </c>
      <c r="C81" s="61">
        <v>1</v>
      </c>
      <c r="D81" s="61" t="s">
        <v>26</v>
      </c>
      <c r="E81" s="59"/>
      <c r="F81" s="375" t="s">
        <v>159</v>
      </c>
      <c r="G81" s="57" t="s">
        <v>197</v>
      </c>
      <c r="H81" s="61" t="s">
        <v>190</v>
      </c>
      <c r="I81" s="61">
        <v>48</v>
      </c>
      <c r="P81" s="58"/>
      <c r="Q81" s="58"/>
      <c r="R81" s="58"/>
      <c r="S81" s="58">
        <v>4.4000000000000004</v>
      </c>
      <c r="T81" s="58">
        <v>4.8</v>
      </c>
      <c r="AB81" s="58"/>
      <c r="AC81" s="57"/>
      <c r="AD81" s="57"/>
      <c r="AE81" s="57"/>
      <c r="BH81"/>
      <c r="BK81" s="57"/>
    </row>
    <row r="82" spans="1:63" x14ac:dyDescent="0.35">
      <c r="A82" s="61" t="s">
        <v>176</v>
      </c>
      <c r="B82" s="61" t="s">
        <v>177</v>
      </c>
      <c r="C82" s="61">
        <v>1</v>
      </c>
      <c r="D82" s="61" t="s">
        <v>37</v>
      </c>
      <c r="E82" s="59">
        <v>6291107164236</v>
      </c>
      <c r="F82" s="375" t="s">
        <v>178</v>
      </c>
      <c r="G82" s="57" t="s">
        <v>179</v>
      </c>
      <c r="H82" s="58" t="s">
        <v>65</v>
      </c>
      <c r="I82" s="61">
        <v>24</v>
      </c>
      <c r="J82" s="61">
        <v>64</v>
      </c>
      <c r="M82" s="61">
        <v>8</v>
      </c>
      <c r="O82" s="61">
        <v>8</v>
      </c>
      <c r="P82" s="58">
        <v>330</v>
      </c>
      <c r="Q82" s="58">
        <v>210</v>
      </c>
      <c r="R82" s="58">
        <v>230</v>
      </c>
      <c r="S82" s="58">
        <v>6.35</v>
      </c>
      <c r="T82" s="58">
        <v>7</v>
      </c>
      <c r="U82" s="58">
        <v>200</v>
      </c>
      <c r="V82" s="58">
        <v>0</v>
      </c>
      <c r="W82" s="58">
        <v>0</v>
      </c>
      <c r="X82" s="58">
        <v>1</v>
      </c>
      <c r="Y82" s="58">
        <v>0</v>
      </c>
      <c r="Z82" s="58">
        <v>0</v>
      </c>
      <c r="AA82" s="58">
        <v>0</v>
      </c>
      <c r="AB82" s="58" t="s">
        <v>180</v>
      </c>
      <c r="AC82" s="57"/>
      <c r="AD82" s="57"/>
      <c r="AE82" s="57"/>
      <c r="BH82"/>
      <c r="BK82" s="57"/>
    </row>
    <row r="83" spans="1:63" x14ac:dyDescent="0.35">
      <c r="A83" s="61" t="s">
        <v>181</v>
      </c>
      <c r="B83" s="61" t="s">
        <v>177</v>
      </c>
      <c r="C83" s="61">
        <v>1</v>
      </c>
      <c r="D83" s="61" t="s">
        <v>37</v>
      </c>
      <c r="E83" s="59">
        <v>6291107164243</v>
      </c>
      <c r="F83" s="375" t="s">
        <v>178</v>
      </c>
      <c r="G83" s="57" t="s">
        <v>182</v>
      </c>
      <c r="H83" s="58" t="s">
        <v>65</v>
      </c>
      <c r="I83" s="61">
        <v>24</v>
      </c>
      <c r="J83" s="61">
        <v>64</v>
      </c>
      <c r="M83" s="61">
        <v>8</v>
      </c>
      <c r="O83" s="61">
        <v>8</v>
      </c>
      <c r="P83" s="58">
        <v>330</v>
      </c>
      <c r="Q83" s="58">
        <v>210</v>
      </c>
      <c r="R83" s="58">
        <v>230</v>
      </c>
      <c r="S83" s="58">
        <v>6.35</v>
      </c>
      <c r="T83" s="58">
        <v>7</v>
      </c>
      <c r="U83" s="58">
        <v>200</v>
      </c>
      <c r="V83" s="58">
        <v>0</v>
      </c>
      <c r="W83" s="58">
        <v>0</v>
      </c>
      <c r="X83" s="58">
        <v>1</v>
      </c>
      <c r="Y83" s="58">
        <v>0</v>
      </c>
      <c r="Z83" s="58">
        <v>0</v>
      </c>
      <c r="AA83" s="58">
        <v>0</v>
      </c>
      <c r="AB83" s="58" t="s">
        <v>180</v>
      </c>
      <c r="AC83" s="57"/>
      <c r="AD83" s="57"/>
      <c r="AE83" s="57"/>
      <c r="BH83"/>
      <c r="BK83" s="57"/>
    </row>
    <row r="84" spans="1:63" x14ac:dyDescent="0.35">
      <c r="A84" s="61" t="s">
        <v>183</v>
      </c>
      <c r="B84" s="61" t="s">
        <v>177</v>
      </c>
      <c r="C84" s="61">
        <v>1</v>
      </c>
      <c r="D84" s="61" t="s">
        <v>37</v>
      </c>
      <c r="E84" s="59">
        <v>6291107164250</v>
      </c>
      <c r="F84" s="375" t="s">
        <v>178</v>
      </c>
      <c r="G84" s="57" t="s">
        <v>184</v>
      </c>
      <c r="H84" s="58" t="s">
        <v>65</v>
      </c>
      <c r="I84" s="61">
        <v>24</v>
      </c>
      <c r="J84" s="61">
        <v>64</v>
      </c>
      <c r="M84" s="61">
        <v>8</v>
      </c>
      <c r="O84" s="61">
        <v>8</v>
      </c>
      <c r="P84" s="58">
        <v>330</v>
      </c>
      <c r="Q84" s="58">
        <v>210</v>
      </c>
      <c r="R84" s="58">
        <v>230</v>
      </c>
      <c r="S84" s="58">
        <v>6.35</v>
      </c>
      <c r="T84" s="58">
        <v>7</v>
      </c>
      <c r="U84" s="58">
        <v>200</v>
      </c>
      <c r="V84" s="58">
        <v>0</v>
      </c>
      <c r="W84" s="58">
        <v>0</v>
      </c>
      <c r="X84" s="58">
        <v>1</v>
      </c>
      <c r="Y84" s="58">
        <v>0</v>
      </c>
      <c r="Z84" s="58">
        <v>0</v>
      </c>
      <c r="AA84" s="58">
        <v>0</v>
      </c>
      <c r="AB84" s="58" t="s">
        <v>180</v>
      </c>
      <c r="AC84" s="57"/>
      <c r="AD84" s="57"/>
      <c r="AE84" s="57"/>
      <c r="BH84"/>
      <c r="BK84" s="57"/>
    </row>
    <row r="85" spans="1:63" x14ac:dyDescent="0.35">
      <c r="A85" s="61" t="s">
        <v>185</v>
      </c>
      <c r="B85" s="61" t="s">
        <v>177</v>
      </c>
      <c r="C85" s="61">
        <v>1</v>
      </c>
      <c r="D85" s="61" t="s">
        <v>37</v>
      </c>
      <c r="E85" s="59">
        <v>6291107164267</v>
      </c>
      <c r="F85" s="375" t="s">
        <v>178</v>
      </c>
      <c r="G85" s="57" t="s">
        <v>186</v>
      </c>
      <c r="H85" s="58" t="s">
        <v>65</v>
      </c>
      <c r="I85" s="61">
        <v>24</v>
      </c>
      <c r="J85" s="61">
        <v>64</v>
      </c>
      <c r="M85" s="61">
        <v>8</v>
      </c>
      <c r="O85" s="61">
        <v>8</v>
      </c>
      <c r="P85" s="58">
        <v>330</v>
      </c>
      <c r="Q85" s="58">
        <v>210</v>
      </c>
      <c r="R85" s="58">
        <v>230</v>
      </c>
      <c r="S85" s="58">
        <v>6.35</v>
      </c>
      <c r="T85" s="58">
        <v>7</v>
      </c>
      <c r="U85" s="58">
        <v>200</v>
      </c>
      <c r="V85" s="58">
        <v>0</v>
      </c>
      <c r="W85" s="58">
        <v>0</v>
      </c>
      <c r="X85" s="58">
        <v>1</v>
      </c>
      <c r="Y85" s="58">
        <v>0</v>
      </c>
      <c r="Z85" s="58">
        <v>0</v>
      </c>
      <c r="AA85" s="58">
        <v>0</v>
      </c>
      <c r="AB85" s="58" t="s">
        <v>180</v>
      </c>
      <c r="AC85" s="57"/>
      <c r="AD85" s="57"/>
      <c r="AE85" s="57"/>
      <c r="BH85"/>
      <c r="BK85" s="57"/>
    </row>
    <row r="86" spans="1:63" x14ac:dyDescent="0.35">
      <c r="A86" s="61" t="s">
        <v>132</v>
      </c>
      <c r="B86" s="61" t="s">
        <v>133</v>
      </c>
      <c r="C86" s="61">
        <v>1</v>
      </c>
      <c r="D86" s="61" t="s">
        <v>26</v>
      </c>
      <c r="E86" s="59"/>
      <c r="F86" s="375" t="s">
        <v>63</v>
      </c>
      <c r="G86" s="57" t="s">
        <v>134</v>
      </c>
      <c r="H86" s="58" t="s">
        <v>65</v>
      </c>
      <c r="I86" s="61">
        <v>24</v>
      </c>
      <c r="J86" s="61">
        <v>48</v>
      </c>
      <c r="M86" s="61">
        <v>6</v>
      </c>
      <c r="O86" s="61">
        <v>8</v>
      </c>
      <c r="P86" s="58">
        <v>375</v>
      </c>
      <c r="Q86" s="58">
        <v>275</v>
      </c>
      <c r="R86" s="58">
        <v>170</v>
      </c>
      <c r="S86" s="58">
        <v>9.1199999999999992</v>
      </c>
      <c r="T86" s="58">
        <v>9.5</v>
      </c>
      <c r="U86" s="58">
        <v>100</v>
      </c>
      <c r="V86" s="58">
        <v>0</v>
      </c>
      <c r="W86" s="58">
        <v>0</v>
      </c>
      <c r="X86" s="58">
        <v>1</v>
      </c>
      <c r="Y86" s="58">
        <v>0</v>
      </c>
      <c r="Z86" s="58">
        <v>0</v>
      </c>
      <c r="AA86" s="58">
        <v>0</v>
      </c>
      <c r="AB86" s="58" t="s">
        <v>29</v>
      </c>
      <c r="AC86" s="57"/>
      <c r="AD86" s="57"/>
      <c r="AE86" s="57"/>
      <c r="BH86"/>
      <c r="BK86" s="57"/>
    </row>
    <row r="87" spans="1:63" x14ac:dyDescent="0.35">
      <c r="A87" s="61" t="s">
        <v>135</v>
      </c>
      <c r="B87" s="61" t="s">
        <v>133</v>
      </c>
      <c r="C87" s="61">
        <v>1</v>
      </c>
      <c r="D87" s="61" t="s">
        <v>26</v>
      </c>
      <c r="E87" s="59"/>
      <c r="F87" s="375" t="s">
        <v>63</v>
      </c>
      <c r="G87" s="57" t="s">
        <v>136</v>
      </c>
      <c r="H87" s="58" t="s">
        <v>65</v>
      </c>
      <c r="I87" s="61">
        <v>24</v>
      </c>
      <c r="J87" s="61">
        <v>48</v>
      </c>
      <c r="M87" s="61">
        <v>6</v>
      </c>
      <c r="O87" s="61">
        <v>8</v>
      </c>
      <c r="P87" s="58">
        <v>375</v>
      </c>
      <c r="Q87" s="58">
        <v>275</v>
      </c>
      <c r="R87" s="58">
        <v>170</v>
      </c>
      <c r="S87" s="58">
        <v>9.1199999999999992</v>
      </c>
      <c r="T87" s="58">
        <v>9.5</v>
      </c>
      <c r="U87" s="58">
        <v>100</v>
      </c>
      <c r="V87" s="58">
        <v>0</v>
      </c>
      <c r="W87" s="58">
        <v>0</v>
      </c>
      <c r="X87" s="58">
        <v>1</v>
      </c>
      <c r="Y87" s="58">
        <v>0</v>
      </c>
      <c r="Z87" s="58">
        <v>0</v>
      </c>
      <c r="AA87" s="58">
        <v>0</v>
      </c>
      <c r="AB87" s="58" t="s">
        <v>29</v>
      </c>
      <c r="AC87" s="57"/>
      <c r="AD87" s="57"/>
      <c r="AE87" s="57"/>
      <c r="BH87"/>
      <c r="BK87" s="57"/>
    </row>
    <row r="88" spans="1:63" x14ac:dyDescent="0.35">
      <c r="A88" s="61" t="s">
        <v>137</v>
      </c>
      <c r="B88" s="61" t="s">
        <v>133</v>
      </c>
      <c r="C88" s="61">
        <v>1</v>
      </c>
      <c r="D88" s="61" t="s">
        <v>26</v>
      </c>
      <c r="E88" s="59"/>
      <c r="F88" s="375" t="s">
        <v>63</v>
      </c>
      <c r="G88" s="57" t="s">
        <v>712</v>
      </c>
      <c r="H88" s="58" t="s">
        <v>65</v>
      </c>
      <c r="I88" s="61">
        <v>24</v>
      </c>
      <c r="J88" s="61">
        <v>48</v>
      </c>
      <c r="M88" s="61">
        <v>6</v>
      </c>
      <c r="O88" s="61">
        <v>8</v>
      </c>
      <c r="P88" s="58">
        <v>375</v>
      </c>
      <c r="Q88" s="58">
        <v>275</v>
      </c>
      <c r="R88" s="58">
        <v>170</v>
      </c>
      <c r="S88" s="58">
        <v>9.1199999999999992</v>
      </c>
      <c r="T88" s="58">
        <v>9.5</v>
      </c>
      <c r="U88" s="58">
        <v>100</v>
      </c>
      <c r="V88" s="58">
        <v>0</v>
      </c>
      <c r="W88" s="58">
        <v>0</v>
      </c>
      <c r="X88" s="58">
        <v>1</v>
      </c>
      <c r="Y88" s="58">
        <v>0</v>
      </c>
      <c r="Z88" s="58">
        <v>0</v>
      </c>
      <c r="AA88" s="58">
        <v>0</v>
      </c>
      <c r="AB88" s="58" t="s">
        <v>29</v>
      </c>
      <c r="AC88" s="57"/>
      <c r="AD88" s="57"/>
      <c r="AE88" s="57"/>
      <c r="BH88"/>
      <c r="BK88" s="57"/>
    </row>
    <row r="89" spans="1:63" x14ac:dyDescent="0.35">
      <c r="A89" s="61" t="s">
        <v>139</v>
      </c>
      <c r="B89" s="61" t="s">
        <v>133</v>
      </c>
      <c r="C89" s="61">
        <v>1</v>
      </c>
      <c r="D89" s="61" t="s">
        <v>26</v>
      </c>
      <c r="E89" s="59"/>
      <c r="F89" s="375" t="s">
        <v>63</v>
      </c>
      <c r="G89" s="57" t="s">
        <v>140</v>
      </c>
      <c r="H89" s="58" t="s">
        <v>65</v>
      </c>
      <c r="I89" s="61">
        <v>24</v>
      </c>
      <c r="J89" s="61">
        <v>48</v>
      </c>
      <c r="M89" s="61">
        <v>6</v>
      </c>
      <c r="O89" s="61">
        <v>8</v>
      </c>
      <c r="P89" s="58">
        <v>375</v>
      </c>
      <c r="Q89" s="58">
        <v>275</v>
      </c>
      <c r="R89" s="58">
        <v>170</v>
      </c>
      <c r="S89" s="58">
        <v>9.1199999999999992</v>
      </c>
      <c r="T89" s="58">
        <v>9.5</v>
      </c>
      <c r="U89" s="58">
        <v>100</v>
      </c>
      <c r="V89" s="58">
        <v>0</v>
      </c>
      <c r="W89" s="58">
        <v>0</v>
      </c>
      <c r="X89" s="58">
        <v>1</v>
      </c>
      <c r="Y89" s="58">
        <v>0</v>
      </c>
      <c r="Z89" s="58">
        <v>0</v>
      </c>
      <c r="AA89" s="58">
        <v>0</v>
      </c>
      <c r="AB89" s="58" t="s">
        <v>29</v>
      </c>
      <c r="AC89" s="57"/>
      <c r="AD89" s="57"/>
      <c r="AE89" s="57"/>
      <c r="BH89"/>
      <c r="BK89" s="57"/>
    </row>
    <row r="90" spans="1:63" x14ac:dyDescent="0.35">
      <c r="A90" s="61" t="s">
        <v>141</v>
      </c>
      <c r="B90" s="61" t="s">
        <v>133</v>
      </c>
      <c r="C90" s="61">
        <v>1</v>
      </c>
      <c r="D90" s="61" t="s">
        <v>37</v>
      </c>
      <c r="E90" s="59"/>
      <c r="F90" s="375" t="s">
        <v>63</v>
      </c>
      <c r="G90" s="57" t="s">
        <v>142</v>
      </c>
      <c r="H90" s="58" t="s">
        <v>65</v>
      </c>
      <c r="I90" s="61">
        <v>24</v>
      </c>
      <c r="J90" s="61">
        <v>48</v>
      </c>
      <c r="M90" s="61">
        <v>6</v>
      </c>
      <c r="O90" s="61">
        <v>8</v>
      </c>
      <c r="P90" s="58">
        <v>375</v>
      </c>
      <c r="Q90" s="58">
        <v>275</v>
      </c>
      <c r="R90" s="58">
        <v>170</v>
      </c>
      <c r="S90" s="58">
        <v>9.1199999999999992</v>
      </c>
      <c r="T90" s="58">
        <v>9.5</v>
      </c>
      <c r="U90" s="58">
        <v>100</v>
      </c>
      <c r="V90" s="58">
        <v>0</v>
      </c>
      <c r="W90" s="58">
        <v>0</v>
      </c>
      <c r="X90" s="58">
        <v>1</v>
      </c>
      <c r="Y90" s="58">
        <v>0</v>
      </c>
      <c r="Z90" s="58">
        <v>0</v>
      </c>
      <c r="AA90" s="58">
        <v>0</v>
      </c>
      <c r="AB90" s="58" t="s">
        <v>29</v>
      </c>
      <c r="AC90" s="57"/>
      <c r="AD90" s="57"/>
      <c r="AE90" s="57"/>
      <c r="BH90"/>
      <c r="BK90" s="57"/>
    </row>
    <row r="91" spans="1:63" x14ac:dyDescent="0.35">
      <c r="A91" s="61" t="s">
        <v>143</v>
      </c>
      <c r="B91" s="61" t="s">
        <v>133</v>
      </c>
      <c r="C91" s="61">
        <v>1</v>
      </c>
      <c r="D91" s="61" t="s">
        <v>37</v>
      </c>
      <c r="E91" s="59"/>
      <c r="F91" s="375" t="s">
        <v>63</v>
      </c>
      <c r="G91" s="57" t="s">
        <v>144</v>
      </c>
      <c r="H91" s="58" t="s">
        <v>65</v>
      </c>
      <c r="I91" s="61">
        <v>24</v>
      </c>
      <c r="J91" s="61">
        <v>48</v>
      </c>
      <c r="M91" s="61">
        <v>6</v>
      </c>
      <c r="O91" s="61">
        <v>8</v>
      </c>
      <c r="P91" s="58">
        <v>375</v>
      </c>
      <c r="Q91" s="58">
        <v>275</v>
      </c>
      <c r="R91" s="58">
        <v>170</v>
      </c>
      <c r="S91" s="58">
        <v>9.1199999999999992</v>
      </c>
      <c r="T91" s="58">
        <v>9.5</v>
      </c>
      <c r="U91" s="58">
        <v>100</v>
      </c>
      <c r="V91" s="58">
        <v>0</v>
      </c>
      <c r="W91" s="58">
        <v>0</v>
      </c>
      <c r="X91" s="58">
        <v>1</v>
      </c>
      <c r="Y91" s="58">
        <v>0</v>
      </c>
      <c r="Z91" s="58">
        <v>0</v>
      </c>
      <c r="AA91" s="58">
        <v>0</v>
      </c>
      <c r="AB91" s="58" t="s">
        <v>29</v>
      </c>
      <c r="AC91" s="57"/>
      <c r="AD91" s="57"/>
      <c r="AE91" s="57"/>
      <c r="BH91"/>
      <c r="BK91" s="57"/>
    </row>
    <row r="92" spans="1:63" x14ac:dyDescent="0.35">
      <c r="A92" s="61" t="s">
        <v>145</v>
      </c>
      <c r="B92" s="61" t="s">
        <v>133</v>
      </c>
      <c r="C92" s="61">
        <v>1</v>
      </c>
      <c r="D92" s="61" t="s">
        <v>37</v>
      </c>
      <c r="E92" s="59"/>
      <c r="F92" s="375" t="s">
        <v>63</v>
      </c>
      <c r="G92" s="57" t="s">
        <v>146</v>
      </c>
      <c r="H92" s="58" t="s">
        <v>65</v>
      </c>
      <c r="I92" s="61">
        <v>24</v>
      </c>
      <c r="J92" s="61">
        <v>48</v>
      </c>
      <c r="M92" s="61">
        <v>6</v>
      </c>
      <c r="O92" s="61">
        <v>8</v>
      </c>
      <c r="P92" s="58">
        <v>375</v>
      </c>
      <c r="Q92" s="58">
        <v>275</v>
      </c>
      <c r="R92" s="58">
        <v>170</v>
      </c>
      <c r="S92" s="58">
        <v>9.1199999999999992</v>
      </c>
      <c r="T92" s="58">
        <v>9.5</v>
      </c>
      <c r="U92" s="58">
        <v>100</v>
      </c>
      <c r="V92" s="58">
        <v>0</v>
      </c>
      <c r="W92" s="58">
        <v>0</v>
      </c>
      <c r="X92" s="58">
        <v>1</v>
      </c>
      <c r="Y92" s="58">
        <v>0</v>
      </c>
      <c r="Z92" s="58">
        <v>0</v>
      </c>
      <c r="AA92" s="58">
        <v>0</v>
      </c>
      <c r="AB92" s="58" t="s">
        <v>29</v>
      </c>
      <c r="AC92" s="57"/>
      <c r="AD92" s="57"/>
      <c r="AE92" s="57"/>
      <c r="BH92"/>
      <c r="BK92" s="57"/>
    </row>
    <row r="93" spans="1:63" x14ac:dyDescent="0.35">
      <c r="A93" s="61" t="s">
        <v>147</v>
      </c>
      <c r="B93" s="61" t="s">
        <v>133</v>
      </c>
      <c r="C93" s="61">
        <v>1</v>
      </c>
      <c r="D93" s="61" t="s">
        <v>37</v>
      </c>
      <c r="E93" s="59"/>
      <c r="F93" s="375" t="s">
        <v>63</v>
      </c>
      <c r="G93" s="57" t="s">
        <v>148</v>
      </c>
      <c r="H93" s="58" t="s">
        <v>65</v>
      </c>
      <c r="I93" s="61">
        <v>24</v>
      </c>
      <c r="J93" s="61">
        <v>48</v>
      </c>
      <c r="M93" s="61">
        <v>6</v>
      </c>
      <c r="O93" s="61">
        <v>8</v>
      </c>
      <c r="P93" s="58">
        <v>375</v>
      </c>
      <c r="Q93" s="58">
        <v>275</v>
      </c>
      <c r="R93" s="58">
        <v>170</v>
      </c>
      <c r="S93" s="58">
        <v>9.1199999999999992</v>
      </c>
      <c r="T93" s="58">
        <v>9.5</v>
      </c>
      <c r="U93" s="58">
        <v>100</v>
      </c>
      <c r="V93" s="58">
        <v>0</v>
      </c>
      <c r="W93" s="58">
        <v>0</v>
      </c>
      <c r="X93" s="58">
        <v>1</v>
      </c>
      <c r="Y93" s="58">
        <v>0</v>
      </c>
      <c r="Z93" s="58">
        <v>0</v>
      </c>
      <c r="AA93" s="58">
        <v>0</v>
      </c>
      <c r="AB93" s="58" t="s">
        <v>29</v>
      </c>
      <c r="AC93" s="57"/>
      <c r="AD93" s="57"/>
      <c r="AE93" s="57"/>
      <c r="BH93"/>
      <c r="BK93" s="57"/>
    </row>
    <row r="94" spans="1:63" x14ac:dyDescent="0.35">
      <c r="A94" s="61" t="s">
        <v>153</v>
      </c>
      <c r="B94" s="61" t="s">
        <v>133</v>
      </c>
      <c r="C94" s="61">
        <v>1</v>
      </c>
      <c r="D94" s="61" t="s">
        <v>26</v>
      </c>
      <c r="E94" s="60">
        <v>6291107168838</v>
      </c>
      <c r="F94" s="375" t="s">
        <v>63</v>
      </c>
      <c r="G94" s="57" t="s">
        <v>154</v>
      </c>
      <c r="H94" s="58" t="s">
        <v>65</v>
      </c>
      <c r="I94" s="61">
        <v>24</v>
      </c>
      <c r="J94" s="61">
        <v>10</v>
      </c>
      <c r="M94" s="61">
        <v>6</v>
      </c>
      <c r="O94" s="61">
        <v>8</v>
      </c>
      <c r="P94" s="58">
        <v>370</v>
      </c>
      <c r="Q94" s="58">
        <v>275</v>
      </c>
      <c r="R94" s="58">
        <v>170</v>
      </c>
      <c r="S94" s="58">
        <v>9.48</v>
      </c>
      <c r="T94" s="58">
        <v>9.9</v>
      </c>
      <c r="U94" s="58">
        <v>100</v>
      </c>
      <c r="V94" s="58">
        <v>0</v>
      </c>
      <c r="W94" s="58">
        <v>0</v>
      </c>
      <c r="X94" s="58">
        <v>1</v>
      </c>
      <c r="Y94" s="58">
        <v>0</v>
      </c>
      <c r="Z94" s="58">
        <v>0</v>
      </c>
      <c r="AA94" s="58">
        <v>0</v>
      </c>
      <c r="AB94" s="58" t="s">
        <v>29</v>
      </c>
      <c r="AC94" s="57"/>
      <c r="AD94" s="57"/>
      <c r="AE94" s="57"/>
      <c r="BH94"/>
      <c r="BK94" s="57"/>
    </row>
    <row r="95" spans="1:63" x14ac:dyDescent="0.35">
      <c r="A95" s="61" t="s">
        <v>155</v>
      </c>
      <c r="B95" s="61" t="s">
        <v>133</v>
      </c>
      <c r="C95" s="61">
        <v>1</v>
      </c>
      <c r="D95" s="61" t="s">
        <v>26</v>
      </c>
      <c r="E95" s="60">
        <v>6291107168845</v>
      </c>
      <c r="F95" s="375" t="s">
        <v>63</v>
      </c>
      <c r="G95" s="57" t="s">
        <v>156</v>
      </c>
      <c r="H95" s="58" t="s">
        <v>65</v>
      </c>
      <c r="I95" s="61">
        <v>24</v>
      </c>
      <c r="J95" s="61">
        <v>10</v>
      </c>
      <c r="M95" s="61">
        <v>6</v>
      </c>
      <c r="O95" s="61">
        <v>8</v>
      </c>
      <c r="P95" s="58">
        <v>370</v>
      </c>
      <c r="Q95" s="58">
        <v>275</v>
      </c>
      <c r="R95" s="58">
        <v>170</v>
      </c>
      <c r="S95" s="58">
        <v>9.48</v>
      </c>
      <c r="T95" s="58">
        <v>9.9</v>
      </c>
      <c r="U95" s="58">
        <v>100</v>
      </c>
      <c r="V95" s="58">
        <v>0</v>
      </c>
      <c r="W95" s="58">
        <v>0</v>
      </c>
      <c r="X95" s="58">
        <v>1</v>
      </c>
      <c r="Y95" s="58">
        <v>0</v>
      </c>
      <c r="Z95" s="58">
        <v>0</v>
      </c>
      <c r="AA95" s="58">
        <v>0</v>
      </c>
      <c r="AB95" s="58" t="s">
        <v>29</v>
      </c>
      <c r="AC95" s="57"/>
      <c r="AD95" s="57"/>
      <c r="AE95" s="57"/>
      <c r="BH95"/>
      <c r="BK95" s="57"/>
    </row>
    <row r="96" spans="1:63" x14ac:dyDescent="0.35">
      <c r="A96" s="61" t="s">
        <v>462</v>
      </c>
      <c r="B96" s="61" t="s">
        <v>1171</v>
      </c>
      <c r="C96" s="61">
        <v>1</v>
      </c>
      <c r="E96" s="60"/>
      <c r="G96" s="57" t="s">
        <v>463</v>
      </c>
      <c r="H96" s="58" t="s">
        <v>1171</v>
      </c>
      <c r="P96" s="58"/>
      <c r="Q96" s="58"/>
      <c r="R96" s="58"/>
      <c r="AB96" s="58"/>
      <c r="AC96" s="57"/>
      <c r="AD96" s="57"/>
      <c r="AE96" s="57"/>
      <c r="BH96"/>
      <c r="BK96" s="57"/>
    </row>
    <row r="97" spans="1:63" x14ac:dyDescent="0.35">
      <c r="A97" s="61" t="s">
        <v>464</v>
      </c>
      <c r="B97" s="61" t="s">
        <v>1171</v>
      </c>
      <c r="C97" s="61">
        <v>1</v>
      </c>
      <c r="E97" s="60"/>
      <c r="G97" s="57" t="s">
        <v>465</v>
      </c>
      <c r="H97" s="58" t="s">
        <v>1171</v>
      </c>
      <c r="P97" s="58"/>
      <c r="Q97" s="58"/>
      <c r="R97" s="58"/>
      <c r="AB97" s="58"/>
      <c r="AC97" s="57"/>
      <c r="AD97" s="57"/>
      <c r="AE97" s="57"/>
      <c r="BH97"/>
      <c r="BK97" s="57"/>
    </row>
    <row r="98" spans="1:63" x14ac:dyDescent="0.35">
      <c r="A98" s="61" t="s">
        <v>793</v>
      </c>
      <c r="B98" s="61" t="s">
        <v>1171</v>
      </c>
      <c r="C98" s="61">
        <v>1</v>
      </c>
      <c r="E98" s="60"/>
      <c r="G98" s="57" t="s">
        <v>801</v>
      </c>
      <c r="H98" s="58" t="s">
        <v>1171</v>
      </c>
      <c r="P98" s="58"/>
      <c r="Q98" s="58"/>
      <c r="R98" s="58"/>
      <c r="AB98" s="58"/>
      <c r="AC98" s="57"/>
      <c r="AD98" s="57"/>
      <c r="AE98" s="57"/>
      <c r="BH98"/>
      <c r="BK98" s="57"/>
    </row>
    <row r="99" spans="1:63" x14ac:dyDescent="0.35">
      <c r="A99" s="61" t="s">
        <v>794</v>
      </c>
      <c r="B99" s="61" t="s">
        <v>1171</v>
      </c>
      <c r="C99" s="61">
        <v>1</v>
      </c>
      <c r="E99" s="60"/>
      <c r="G99" s="57" t="s">
        <v>802</v>
      </c>
      <c r="H99" s="58" t="s">
        <v>1171</v>
      </c>
      <c r="P99" s="58"/>
      <c r="Q99" s="58"/>
      <c r="R99" s="58"/>
      <c r="AB99" s="58"/>
      <c r="AC99" s="57"/>
      <c r="AD99" s="57"/>
      <c r="AE99" s="57"/>
      <c r="BH99"/>
      <c r="BK99" s="57"/>
    </row>
    <row r="100" spans="1:63" x14ac:dyDescent="0.35">
      <c r="A100" s="61" t="s">
        <v>795</v>
      </c>
      <c r="B100" s="61" t="s">
        <v>1171</v>
      </c>
      <c r="C100" s="61">
        <v>1</v>
      </c>
      <c r="E100" s="60"/>
      <c r="G100" s="57" t="s">
        <v>803</v>
      </c>
      <c r="H100" s="58" t="s">
        <v>1171</v>
      </c>
      <c r="P100" s="58"/>
      <c r="Q100" s="58"/>
      <c r="R100" s="58"/>
      <c r="AB100" s="58"/>
      <c r="AC100" s="57"/>
      <c r="AD100" s="57"/>
      <c r="AE100" s="57"/>
      <c r="BH100"/>
      <c r="BK100" s="57"/>
    </row>
    <row r="101" spans="1:63" x14ac:dyDescent="0.35">
      <c r="A101" s="61" t="s">
        <v>796</v>
      </c>
      <c r="B101" s="61" t="s">
        <v>1171</v>
      </c>
      <c r="C101" s="61">
        <v>1</v>
      </c>
      <c r="E101" s="60"/>
      <c r="G101" s="57" t="s">
        <v>804</v>
      </c>
      <c r="H101" s="58" t="s">
        <v>1171</v>
      </c>
      <c r="P101" s="58"/>
      <c r="Q101" s="58"/>
      <c r="R101" s="58"/>
      <c r="AB101" s="58"/>
      <c r="AC101" s="57"/>
      <c r="AD101" s="57"/>
      <c r="AE101" s="57"/>
      <c r="BH101"/>
      <c r="BK101" s="57"/>
    </row>
    <row r="102" spans="1:63" x14ac:dyDescent="0.35">
      <c r="A102" s="61" t="s">
        <v>805</v>
      </c>
      <c r="B102" s="61" t="s">
        <v>1171</v>
      </c>
      <c r="C102" s="61">
        <v>1</v>
      </c>
      <c r="E102" s="60"/>
      <c r="G102" s="57" t="s">
        <v>806</v>
      </c>
      <c r="H102" s="58" t="s">
        <v>1171</v>
      </c>
      <c r="P102" s="58"/>
      <c r="Q102" s="58"/>
      <c r="R102" s="58"/>
      <c r="AB102" s="58"/>
      <c r="AC102" s="57"/>
      <c r="AD102" s="57"/>
      <c r="AE102" s="57"/>
      <c r="BH102"/>
      <c r="BK102" s="57"/>
    </row>
    <row r="103" spans="1:63" x14ac:dyDescent="0.35">
      <c r="A103" s="61" t="s">
        <v>807</v>
      </c>
      <c r="B103" s="61" t="s">
        <v>1171</v>
      </c>
      <c r="C103" s="61">
        <v>1</v>
      </c>
      <c r="E103" s="60"/>
      <c r="G103" s="57" t="s">
        <v>808</v>
      </c>
      <c r="H103" s="58" t="s">
        <v>1171</v>
      </c>
      <c r="P103" s="58"/>
      <c r="Q103" s="58"/>
      <c r="R103" s="58"/>
      <c r="AB103" s="58"/>
      <c r="AC103" s="57"/>
      <c r="AD103" s="57"/>
      <c r="AE103" s="57"/>
      <c r="BH103"/>
      <c r="BK103" s="57"/>
    </row>
    <row r="104" spans="1:63" x14ac:dyDescent="0.35">
      <c r="A104" s="61" t="s">
        <v>809</v>
      </c>
      <c r="B104" s="61" t="s">
        <v>1171</v>
      </c>
      <c r="C104" s="61">
        <v>1</v>
      </c>
      <c r="E104" s="60"/>
      <c r="G104" s="57" t="s">
        <v>810</v>
      </c>
      <c r="H104" s="58" t="s">
        <v>1171</v>
      </c>
      <c r="P104" s="58"/>
      <c r="Q104" s="58"/>
      <c r="R104" s="58"/>
      <c r="AB104" s="58"/>
      <c r="AC104" s="57"/>
      <c r="AD104" s="57"/>
      <c r="AE104" s="57"/>
      <c r="BH104"/>
      <c r="BK104" s="57"/>
    </row>
    <row r="105" spans="1:63" x14ac:dyDescent="0.35">
      <c r="A105" s="61" t="s">
        <v>811</v>
      </c>
      <c r="B105" s="61" t="s">
        <v>1171</v>
      </c>
      <c r="C105" s="61">
        <v>1</v>
      </c>
      <c r="E105" s="60"/>
      <c r="G105" s="57" t="s">
        <v>812</v>
      </c>
      <c r="H105" s="58" t="s">
        <v>1171</v>
      </c>
      <c r="P105" s="58"/>
      <c r="Q105" s="58"/>
      <c r="R105" s="58"/>
      <c r="AB105" s="58"/>
      <c r="AC105" s="57"/>
      <c r="AD105" s="57"/>
      <c r="AE105" s="57"/>
      <c r="BH105"/>
      <c r="BK105" s="57"/>
    </row>
    <row r="106" spans="1:63" x14ac:dyDescent="0.35">
      <c r="A106" s="61" t="s">
        <v>813</v>
      </c>
      <c r="B106" s="61" t="s">
        <v>1171</v>
      </c>
      <c r="C106" s="61">
        <v>1</v>
      </c>
      <c r="E106" s="60"/>
      <c r="G106" s="57" t="s">
        <v>814</v>
      </c>
      <c r="H106" s="58" t="s">
        <v>1171</v>
      </c>
      <c r="P106" s="58"/>
      <c r="Q106" s="58"/>
      <c r="R106" s="58"/>
      <c r="AB106" s="58"/>
      <c r="AC106" s="57"/>
      <c r="AD106" s="57"/>
      <c r="AE106" s="57"/>
      <c r="BH106"/>
      <c r="BK106" s="57"/>
    </row>
    <row r="107" spans="1:63" x14ac:dyDescent="0.35">
      <c r="A107" s="61" t="s">
        <v>815</v>
      </c>
      <c r="B107" s="61" t="s">
        <v>1171</v>
      </c>
      <c r="C107" s="61">
        <v>1</v>
      </c>
      <c r="E107" s="60"/>
      <c r="G107" s="57" t="s">
        <v>816</v>
      </c>
      <c r="H107" s="58" t="s">
        <v>1171</v>
      </c>
      <c r="P107" s="58"/>
      <c r="Q107" s="58"/>
      <c r="R107" s="58"/>
      <c r="AB107" s="58"/>
      <c r="AC107" s="57"/>
      <c r="AD107" s="57"/>
      <c r="AE107" s="57"/>
      <c r="BH107"/>
      <c r="BK107" s="57"/>
    </row>
    <row r="108" spans="1:63" x14ac:dyDescent="0.35">
      <c r="A108" s="61" t="s">
        <v>817</v>
      </c>
      <c r="B108" s="61" t="s">
        <v>1171</v>
      </c>
      <c r="C108" s="61">
        <v>1</v>
      </c>
      <c r="E108" s="60"/>
      <c r="G108" s="57" t="s">
        <v>818</v>
      </c>
      <c r="H108" s="58" t="s">
        <v>1171</v>
      </c>
      <c r="P108" s="58"/>
      <c r="Q108" s="58"/>
      <c r="R108" s="58"/>
      <c r="AB108" s="58"/>
      <c r="AC108" s="57"/>
      <c r="AD108" s="57"/>
      <c r="AE108" s="57"/>
      <c r="BH108"/>
      <c r="BK108" s="57"/>
    </row>
    <row r="109" spans="1:63" x14ac:dyDescent="0.35">
      <c r="A109" s="61" t="s">
        <v>819</v>
      </c>
      <c r="B109" s="61" t="s">
        <v>1171</v>
      </c>
      <c r="C109" s="61">
        <v>1</v>
      </c>
      <c r="E109" s="60"/>
      <c r="G109" s="57" t="s">
        <v>820</v>
      </c>
      <c r="H109" s="58" t="s">
        <v>1171</v>
      </c>
      <c r="P109" s="58"/>
      <c r="Q109" s="58"/>
      <c r="R109" s="58"/>
      <c r="AB109" s="58"/>
      <c r="AC109" s="57"/>
      <c r="AD109" s="57"/>
      <c r="AE109" s="57"/>
      <c r="BH109"/>
      <c r="BK109" s="57"/>
    </row>
    <row r="110" spans="1:63" x14ac:dyDescent="0.35">
      <c r="A110" s="61" t="s">
        <v>797</v>
      </c>
      <c r="B110" s="61" t="s">
        <v>1171</v>
      </c>
      <c r="C110" s="61">
        <v>1</v>
      </c>
      <c r="E110" s="60"/>
      <c r="G110" s="57" t="s">
        <v>821</v>
      </c>
      <c r="H110" s="58" t="s">
        <v>1171</v>
      </c>
      <c r="P110" s="58"/>
      <c r="Q110" s="58"/>
      <c r="R110" s="58"/>
      <c r="AB110" s="58"/>
      <c r="AC110" s="57"/>
      <c r="AD110" s="57"/>
      <c r="AE110" s="57"/>
      <c r="BH110"/>
      <c r="BK110" s="57"/>
    </row>
    <row r="111" spans="1:63" x14ac:dyDescent="0.35">
      <c r="A111" s="61" t="s">
        <v>798</v>
      </c>
      <c r="B111" s="61" t="s">
        <v>1171</v>
      </c>
      <c r="C111" s="61">
        <v>1</v>
      </c>
      <c r="E111" s="60"/>
      <c r="G111" s="57" t="s">
        <v>822</v>
      </c>
      <c r="H111" s="58" t="s">
        <v>1171</v>
      </c>
      <c r="P111" s="58"/>
      <c r="Q111" s="58"/>
      <c r="R111" s="58"/>
      <c r="AB111" s="58"/>
      <c r="AC111" s="57"/>
      <c r="AD111" s="57"/>
      <c r="AE111" s="57"/>
      <c r="BH111"/>
      <c r="BK111" s="57"/>
    </row>
    <row r="112" spans="1:63" x14ac:dyDescent="0.35">
      <c r="A112" s="61" t="s">
        <v>799</v>
      </c>
      <c r="B112" s="61" t="s">
        <v>1171</v>
      </c>
      <c r="C112" s="61">
        <v>1</v>
      </c>
      <c r="E112" s="60"/>
      <c r="G112" s="57" t="s">
        <v>823</v>
      </c>
      <c r="H112" s="58" t="s">
        <v>1171</v>
      </c>
      <c r="P112" s="58"/>
      <c r="Q112" s="58"/>
      <c r="R112" s="58"/>
      <c r="AB112" s="58"/>
      <c r="AC112" s="57"/>
      <c r="AD112" s="57"/>
      <c r="AE112" s="57"/>
      <c r="BH112"/>
      <c r="BK112" s="57"/>
    </row>
    <row r="113" spans="1:63" x14ac:dyDescent="0.35">
      <c r="A113" s="61" t="s">
        <v>800</v>
      </c>
      <c r="B113" s="61" t="s">
        <v>1171</v>
      </c>
      <c r="C113" s="61">
        <v>1</v>
      </c>
      <c r="E113" s="60"/>
      <c r="G113" s="57" t="s">
        <v>824</v>
      </c>
      <c r="H113" s="58" t="s">
        <v>1171</v>
      </c>
      <c r="P113" s="58"/>
      <c r="Q113" s="58"/>
      <c r="R113" s="58"/>
      <c r="AB113" s="58"/>
      <c r="AC113" s="57"/>
      <c r="AD113" s="57"/>
      <c r="AE113" s="57"/>
      <c r="BH113"/>
      <c r="BK113" s="57"/>
    </row>
    <row r="114" spans="1:63" x14ac:dyDescent="0.35">
      <c r="A114" s="61" t="s">
        <v>825</v>
      </c>
      <c r="B114" s="61" t="s">
        <v>1171</v>
      </c>
      <c r="C114" s="61">
        <v>1</v>
      </c>
      <c r="E114" s="60"/>
      <c r="G114" s="57" t="s">
        <v>826</v>
      </c>
      <c r="H114" s="58" t="s">
        <v>1171</v>
      </c>
      <c r="P114" s="58"/>
      <c r="Q114" s="58"/>
      <c r="R114" s="58"/>
      <c r="AB114" s="58"/>
      <c r="AC114" s="57"/>
      <c r="AD114" s="57"/>
      <c r="AE114" s="57"/>
      <c r="BH114"/>
      <c r="BK114" s="57"/>
    </row>
    <row r="115" spans="1:63" x14ac:dyDescent="0.35">
      <c r="A115" s="61" t="s">
        <v>827</v>
      </c>
      <c r="B115" s="61" t="s">
        <v>1171</v>
      </c>
      <c r="C115" s="61">
        <v>1</v>
      </c>
      <c r="E115" s="60"/>
      <c r="G115" s="57" t="s">
        <v>828</v>
      </c>
      <c r="H115" s="58" t="s">
        <v>1171</v>
      </c>
      <c r="P115" s="58"/>
      <c r="Q115" s="58"/>
      <c r="R115" s="58"/>
      <c r="AB115" s="58"/>
      <c r="AC115" s="57"/>
      <c r="AD115" s="57"/>
      <c r="AE115" s="57"/>
      <c r="BH115"/>
      <c r="BK115" s="57"/>
    </row>
    <row r="116" spans="1:63" x14ac:dyDescent="0.35">
      <c r="A116" s="61" t="s">
        <v>829</v>
      </c>
      <c r="B116" s="61" t="s">
        <v>1171</v>
      </c>
      <c r="C116" s="61">
        <v>1</v>
      </c>
      <c r="E116" s="60"/>
      <c r="G116" s="57" t="s">
        <v>830</v>
      </c>
      <c r="H116" s="58" t="s">
        <v>1171</v>
      </c>
      <c r="P116" s="58"/>
      <c r="Q116" s="58"/>
      <c r="R116" s="58"/>
      <c r="AB116" s="58"/>
      <c r="AC116" s="57"/>
      <c r="AD116" s="57"/>
      <c r="AE116" s="57"/>
      <c r="BH116"/>
      <c r="BK116" s="57"/>
    </row>
    <row r="117" spans="1:63" x14ac:dyDescent="0.35">
      <c r="A117" s="61" t="s">
        <v>466</v>
      </c>
      <c r="B117" s="61" t="s">
        <v>1171</v>
      </c>
      <c r="C117" s="61">
        <v>1</v>
      </c>
      <c r="E117" s="60"/>
      <c r="G117" s="57" t="s">
        <v>467</v>
      </c>
      <c r="H117" s="58" t="s">
        <v>1171</v>
      </c>
      <c r="P117" s="58"/>
      <c r="Q117" s="58"/>
      <c r="R117" s="58"/>
      <c r="AB117" s="58"/>
      <c r="AC117" s="57"/>
      <c r="AD117" s="57"/>
      <c r="AE117" s="57"/>
      <c r="BH117"/>
      <c r="BK117" s="57"/>
    </row>
    <row r="118" spans="1:63" x14ac:dyDescent="0.35">
      <c r="A118" s="61" t="s">
        <v>468</v>
      </c>
      <c r="B118" s="61" t="s">
        <v>1171</v>
      </c>
      <c r="C118" s="61">
        <v>1</v>
      </c>
      <c r="E118" s="60"/>
      <c r="G118" s="57" t="s">
        <v>469</v>
      </c>
      <c r="H118" s="58" t="s">
        <v>1171</v>
      </c>
      <c r="P118" s="58"/>
      <c r="Q118" s="58"/>
      <c r="R118" s="58"/>
      <c r="AB118" s="58"/>
      <c r="AC118" s="57"/>
      <c r="AD118" s="57"/>
      <c r="AE118" s="57"/>
      <c r="BH118"/>
      <c r="BK118" s="57"/>
    </row>
    <row r="119" spans="1:63" x14ac:dyDescent="0.35">
      <c r="A119" s="61" t="s">
        <v>831</v>
      </c>
      <c r="B119" s="61" t="s">
        <v>1172</v>
      </c>
      <c r="C119" s="61">
        <v>1</v>
      </c>
      <c r="E119" s="60"/>
      <c r="G119" s="57" t="s">
        <v>832</v>
      </c>
      <c r="H119" s="58" t="s">
        <v>1172</v>
      </c>
      <c r="P119" s="58"/>
      <c r="Q119" s="58"/>
      <c r="R119" s="58"/>
      <c r="AB119" s="58"/>
      <c r="AC119" s="57"/>
      <c r="AD119" s="57"/>
      <c r="AE119" s="57"/>
      <c r="BH119"/>
      <c r="BK119" s="57"/>
    </row>
    <row r="120" spans="1:63" x14ac:dyDescent="0.35">
      <c r="A120" s="61" t="s">
        <v>833</v>
      </c>
      <c r="B120" s="61" t="s">
        <v>1172</v>
      </c>
      <c r="C120" s="61">
        <v>1</v>
      </c>
      <c r="E120" s="60"/>
      <c r="G120" s="57" t="s">
        <v>834</v>
      </c>
      <c r="H120" s="58" t="s">
        <v>1172</v>
      </c>
      <c r="P120" s="58"/>
      <c r="Q120" s="58"/>
      <c r="R120" s="58"/>
      <c r="AB120" s="58"/>
      <c r="AC120" s="57"/>
      <c r="AD120" s="57"/>
      <c r="AE120" s="57"/>
      <c r="BH120"/>
      <c r="BK120" s="57"/>
    </row>
    <row r="121" spans="1:63" x14ac:dyDescent="0.35">
      <c r="A121" s="61" t="s">
        <v>835</v>
      </c>
      <c r="B121" s="61" t="s">
        <v>1172</v>
      </c>
      <c r="C121" s="61">
        <v>1</v>
      </c>
      <c r="E121" s="60"/>
      <c r="G121" s="57" t="s">
        <v>836</v>
      </c>
      <c r="H121" s="58" t="s">
        <v>1172</v>
      </c>
      <c r="P121" s="58"/>
      <c r="Q121" s="58"/>
      <c r="R121" s="58"/>
      <c r="AB121" s="58"/>
      <c r="AC121" s="57"/>
      <c r="AD121" s="57"/>
      <c r="AE121" s="57"/>
      <c r="BH121"/>
      <c r="BK121" s="57"/>
    </row>
    <row r="122" spans="1:63" x14ac:dyDescent="0.35">
      <c r="A122" s="61" t="s">
        <v>837</v>
      </c>
      <c r="B122" s="61" t="s">
        <v>1172</v>
      </c>
      <c r="C122" s="61">
        <v>1</v>
      </c>
      <c r="E122" s="60"/>
      <c r="G122" s="57" t="s">
        <v>838</v>
      </c>
      <c r="H122" s="58" t="s">
        <v>1172</v>
      </c>
      <c r="P122" s="58"/>
      <c r="Q122" s="58"/>
      <c r="R122" s="58"/>
      <c r="AB122" s="58"/>
      <c r="AC122" s="57"/>
      <c r="AD122" s="57"/>
      <c r="AE122" s="57"/>
      <c r="BH122"/>
      <c r="BK122" s="57"/>
    </row>
    <row r="123" spans="1:63" x14ac:dyDescent="0.35">
      <c r="A123" s="61" t="s">
        <v>848</v>
      </c>
      <c r="B123" s="61" t="s">
        <v>959</v>
      </c>
      <c r="C123" s="61">
        <v>1</v>
      </c>
      <c r="D123" s="61" t="s">
        <v>26</v>
      </c>
      <c r="E123" s="60" t="s">
        <v>980</v>
      </c>
      <c r="F123" s="375" t="s">
        <v>1218</v>
      </c>
      <c r="G123" s="57" t="s">
        <v>886</v>
      </c>
      <c r="H123" s="58" t="s">
        <v>960</v>
      </c>
      <c r="I123" s="61">
        <v>100</v>
      </c>
      <c r="P123" s="58"/>
      <c r="Q123" s="58"/>
      <c r="R123" s="58"/>
      <c r="S123" s="58">
        <v>3.75</v>
      </c>
      <c r="T123" s="58">
        <v>4.4119999999999999</v>
      </c>
      <c r="AB123" s="58" t="s">
        <v>292</v>
      </c>
      <c r="AC123" s="57"/>
      <c r="AD123" s="57"/>
      <c r="AE123" s="57"/>
      <c r="BH123"/>
      <c r="BK123" s="57"/>
    </row>
    <row r="124" spans="1:63" x14ac:dyDescent="0.35">
      <c r="A124" s="61" t="s">
        <v>849</v>
      </c>
      <c r="B124" s="61" t="s">
        <v>959</v>
      </c>
      <c r="C124" s="61">
        <v>1</v>
      </c>
      <c r="D124" s="61" t="s">
        <v>26</v>
      </c>
      <c r="E124" s="60" t="s">
        <v>981</v>
      </c>
      <c r="F124" s="375" t="s">
        <v>1218</v>
      </c>
      <c r="G124" s="57" t="s">
        <v>887</v>
      </c>
      <c r="H124" s="58" t="s">
        <v>960</v>
      </c>
      <c r="I124" s="61">
        <v>100</v>
      </c>
      <c r="P124" s="58"/>
      <c r="Q124" s="58"/>
      <c r="R124" s="58"/>
      <c r="S124" s="58">
        <v>3.75</v>
      </c>
      <c r="T124" s="58">
        <v>4.4119999999999999</v>
      </c>
      <c r="AB124" s="58" t="s">
        <v>292</v>
      </c>
      <c r="AC124" s="57"/>
      <c r="AD124" s="57"/>
      <c r="AE124" s="57"/>
      <c r="BH124"/>
      <c r="BK124" s="57"/>
    </row>
    <row r="125" spans="1:63" x14ac:dyDescent="0.35">
      <c r="A125" s="61" t="s">
        <v>850</v>
      </c>
      <c r="B125" s="61" t="s">
        <v>959</v>
      </c>
      <c r="C125" s="61">
        <v>1</v>
      </c>
      <c r="D125" s="61" t="s">
        <v>26</v>
      </c>
      <c r="E125" s="60" t="s">
        <v>982</v>
      </c>
      <c r="F125" s="375" t="s">
        <v>1218</v>
      </c>
      <c r="G125" s="57" t="s">
        <v>888</v>
      </c>
      <c r="H125" s="58" t="s">
        <v>960</v>
      </c>
      <c r="I125" s="61">
        <v>100</v>
      </c>
      <c r="P125" s="58"/>
      <c r="Q125" s="58"/>
      <c r="R125" s="58"/>
      <c r="S125" s="58">
        <v>3.75</v>
      </c>
      <c r="T125" s="58">
        <v>4.4119999999999999</v>
      </c>
      <c r="AB125" s="58" t="s">
        <v>292</v>
      </c>
      <c r="AC125" s="57"/>
      <c r="AD125" s="57"/>
      <c r="AE125" s="57"/>
      <c r="BH125"/>
      <c r="BK125" s="57"/>
    </row>
    <row r="126" spans="1:63" x14ac:dyDescent="0.35">
      <c r="A126" s="61" t="s">
        <v>851</v>
      </c>
      <c r="B126" s="61" t="s">
        <v>959</v>
      </c>
      <c r="C126" s="61">
        <v>1</v>
      </c>
      <c r="D126" s="61" t="s">
        <v>26</v>
      </c>
      <c r="E126" s="60" t="s">
        <v>983</v>
      </c>
      <c r="F126" s="375" t="s">
        <v>1218</v>
      </c>
      <c r="G126" s="57" t="s">
        <v>889</v>
      </c>
      <c r="H126" s="58" t="s">
        <v>960</v>
      </c>
      <c r="I126" s="61">
        <v>100</v>
      </c>
      <c r="P126" s="58"/>
      <c r="Q126" s="58"/>
      <c r="R126" s="58"/>
      <c r="S126" s="58">
        <v>3.75</v>
      </c>
      <c r="T126" s="58">
        <v>4.4119999999999999</v>
      </c>
      <c r="AB126" s="58" t="s">
        <v>292</v>
      </c>
      <c r="AC126" s="57"/>
      <c r="AD126" s="57"/>
      <c r="AE126" s="57"/>
      <c r="BH126"/>
      <c r="BK126" s="57"/>
    </row>
    <row r="127" spans="1:63" x14ac:dyDescent="0.35">
      <c r="A127" s="61" t="s">
        <v>852</v>
      </c>
      <c r="B127" s="61" t="s">
        <v>959</v>
      </c>
      <c r="C127" s="61">
        <v>1</v>
      </c>
      <c r="D127" s="61" t="s">
        <v>26</v>
      </c>
      <c r="E127" s="60" t="s">
        <v>984</v>
      </c>
      <c r="F127" s="375" t="s">
        <v>1218</v>
      </c>
      <c r="G127" s="57" t="s">
        <v>890</v>
      </c>
      <c r="H127" s="58" t="s">
        <v>960</v>
      </c>
      <c r="I127" s="61">
        <v>100</v>
      </c>
      <c r="P127" s="58"/>
      <c r="Q127" s="58"/>
      <c r="R127" s="58"/>
      <c r="S127" s="58">
        <v>3.75</v>
      </c>
      <c r="T127" s="58">
        <v>4.4119999999999999</v>
      </c>
      <c r="AB127" s="58" t="s">
        <v>292</v>
      </c>
      <c r="AC127" s="57"/>
      <c r="AD127" s="57"/>
      <c r="AE127" s="57"/>
      <c r="BH127"/>
      <c r="BK127" s="57"/>
    </row>
    <row r="128" spans="1:63" x14ac:dyDescent="0.35">
      <c r="A128" s="61" t="s">
        <v>853</v>
      </c>
      <c r="B128" s="61" t="s">
        <v>959</v>
      </c>
      <c r="C128" s="61">
        <v>1</v>
      </c>
      <c r="D128" s="61" t="s">
        <v>26</v>
      </c>
      <c r="E128" s="60" t="s">
        <v>985</v>
      </c>
      <c r="F128" s="375" t="s">
        <v>1218</v>
      </c>
      <c r="G128" s="57" t="s">
        <v>891</v>
      </c>
      <c r="H128" s="58" t="s">
        <v>960</v>
      </c>
      <c r="I128" s="61">
        <v>100</v>
      </c>
      <c r="P128" s="58"/>
      <c r="Q128" s="58"/>
      <c r="R128" s="58"/>
      <c r="S128" s="58">
        <v>3.75</v>
      </c>
      <c r="T128" s="58">
        <v>4.4119999999999999</v>
      </c>
      <c r="AB128" s="58" t="s">
        <v>292</v>
      </c>
      <c r="AC128" s="57"/>
      <c r="AD128" s="57"/>
      <c r="AE128" s="57"/>
      <c r="BH128"/>
      <c r="BK128" s="57"/>
    </row>
    <row r="129" spans="1:63" x14ac:dyDescent="0.35">
      <c r="A129" s="61" t="s">
        <v>854</v>
      </c>
      <c r="B129" s="61" t="s">
        <v>959</v>
      </c>
      <c r="C129" s="61">
        <v>1</v>
      </c>
      <c r="D129" s="61" t="s">
        <v>26</v>
      </c>
      <c r="E129" s="60" t="s">
        <v>986</v>
      </c>
      <c r="F129" s="375" t="s">
        <v>1218</v>
      </c>
      <c r="G129" s="57" t="s">
        <v>892</v>
      </c>
      <c r="H129" s="58" t="s">
        <v>960</v>
      </c>
      <c r="I129" s="61">
        <v>100</v>
      </c>
      <c r="P129" s="58"/>
      <c r="Q129" s="58"/>
      <c r="R129" s="58"/>
      <c r="S129" s="58">
        <v>3.75</v>
      </c>
      <c r="T129" s="58">
        <v>4.4119999999999999</v>
      </c>
      <c r="AB129" s="58" t="s">
        <v>292</v>
      </c>
      <c r="AC129" s="57"/>
      <c r="AD129" s="57"/>
      <c r="AE129" s="57"/>
      <c r="BH129"/>
      <c r="BK129" s="57"/>
    </row>
    <row r="130" spans="1:63" x14ac:dyDescent="0.35">
      <c r="A130" s="61" t="s">
        <v>855</v>
      </c>
      <c r="B130" s="61" t="s">
        <v>959</v>
      </c>
      <c r="C130" s="61">
        <v>1</v>
      </c>
      <c r="D130" s="61" t="s">
        <v>26</v>
      </c>
      <c r="E130" s="60" t="s">
        <v>987</v>
      </c>
      <c r="F130" s="375" t="s">
        <v>1218</v>
      </c>
      <c r="G130" s="57" t="s">
        <v>893</v>
      </c>
      <c r="H130" s="58" t="s">
        <v>960</v>
      </c>
      <c r="I130" s="61">
        <v>100</v>
      </c>
      <c r="P130" s="58"/>
      <c r="Q130" s="58"/>
      <c r="R130" s="58"/>
      <c r="S130" s="58">
        <v>3.75</v>
      </c>
      <c r="T130" s="58">
        <v>4.4119999999999999</v>
      </c>
      <c r="AB130" s="58" t="s">
        <v>292</v>
      </c>
      <c r="AC130" s="57"/>
      <c r="AD130" s="57"/>
      <c r="AE130" s="57"/>
      <c r="BH130"/>
      <c r="BK130" s="57"/>
    </row>
    <row r="131" spans="1:63" x14ac:dyDescent="0.35">
      <c r="A131" s="61" t="s">
        <v>856</v>
      </c>
      <c r="B131" s="61" t="s">
        <v>959</v>
      </c>
      <c r="C131" s="61">
        <v>1</v>
      </c>
      <c r="D131" s="61" t="s">
        <v>26</v>
      </c>
      <c r="E131" s="60" t="s">
        <v>988</v>
      </c>
      <c r="F131" s="375" t="s">
        <v>1218</v>
      </c>
      <c r="G131" s="57" t="s">
        <v>894</v>
      </c>
      <c r="H131" s="58" t="s">
        <v>960</v>
      </c>
      <c r="I131" s="61">
        <v>100</v>
      </c>
      <c r="P131" s="58"/>
      <c r="Q131" s="58"/>
      <c r="R131" s="58"/>
      <c r="S131" s="58">
        <v>3.75</v>
      </c>
      <c r="T131" s="58">
        <v>4.4119999999999999</v>
      </c>
      <c r="AB131" s="58" t="s">
        <v>292</v>
      </c>
      <c r="AC131" s="57"/>
      <c r="AD131" s="57"/>
      <c r="AE131" s="57"/>
      <c r="BH131"/>
      <c r="BK131" s="57"/>
    </row>
    <row r="132" spans="1:63" x14ac:dyDescent="0.35">
      <c r="A132" s="61" t="s">
        <v>857</v>
      </c>
      <c r="B132" s="61" t="s">
        <v>959</v>
      </c>
      <c r="C132" s="61">
        <v>1</v>
      </c>
      <c r="D132" s="61" t="s">
        <v>26</v>
      </c>
      <c r="E132" s="60" t="s">
        <v>989</v>
      </c>
      <c r="F132" s="375" t="s">
        <v>1218</v>
      </c>
      <c r="G132" s="57" t="s">
        <v>895</v>
      </c>
      <c r="H132" s="58" t="s">
        <v>960</v>
      </c>
      <c r="I132" s="61">
        <v>100</v>
      </c>
      <c r="P132" s="58"/>
      <c r="Q132" s="58"/>
      <c r="R132" s="58"/>
      <c r="S132" s="58">
        <v>3.75</v>
      </c>
      <c r="T132" s="58">
        <v>4.4119999999999999</v>
      </c>
      <c r="AB132" s="58" t="s">
        <v>292</v>
      </c>
      <c r="AC132" s="57"/>
      <c r="AD132" s="57"/>
      <c r="AE132" s="57"/>
      <c r="BH132"/>
      <c r="BK132" s="57"/>
    </row>
    <row r="133" spans="1:63" x14ac:dyDescent="0.35">
      <c r="A133" s="61" t="s">
        <v>858</v>
      </c>
      <c r="B133" s="61" t="s">
        <v>959</v>
      </c>
      <c r="C133" s="61">
        <v>1</v>
      </c>
      <c r="D133" s="61" t="s">
        <v>26</v>
      </c>
      <c r="E133" s="60" t="s">
        <v>990</v>
      </c>
      <c r="F133" s="375" t="s">
        <v>1218</v>
      </c>
      <c r="G133" s="57" t="s">
        <v>896</v>
      </c>
      <c r="H133" s="58" t="s">
        <v>960</v>
      </c>
      <c r="I133" s="61">
        <v>100</v>
      </c>
      <c r="P133" s="58"/>
      <c r="Q133" s="58"/>
      <c r="R133" s="58"/>
      <c r="S133" s="58">
        <v>3.75</v>
      </c>
      <c r="T133" s="58">
        <v>4.4119999999999999</v>
      </c>
      <c r="AB133" s="58" t="s">
        <v>292</v>
      </c>
      <c r="AC133" s="57"/>
      <c r="AD133" s="57"/>
      <c r="AE133" s="57"/>
      <c r="BH133"/>
      <c r="BK133" s="57"/>
    </row>
    <row r="134" spans="1:63" x14ac:dyDescent="0.35">
      <c r="A134" s="61" t="s">
        <v>859</v>
      </c>
      <c r="B134" s="61" t="s">
        <v>959</v>
      </c>
      <c r="C134" s="61">
        <v>1</v>
      </c>
      <c r="D134" s="61" t="s">
        <v>26</v>
      </c>
      <c r="E134" s="60" t="s">
        <v>991</v>
      </c>
      <c r="F134" s="375" t="s">
        <v>1218</v>
      </c>
      <c r="G134" s="57" t="s">
        <v>897</v>
      </c>
      <c r="H134" s="58" t="s">
        <v>960</v>
      </c>
      <c r="I134" s="61">
        <v>100</v>
      </c>
      <c r="P134" s="58"/>
      <c r="Q134" s="58"/>
      <c r="R134" s="58"/>
      <c r="S134" s="58">
        <v>3.75</v>
      </c>
      <c r="T134" s="58">
        <v>4.4119999999999999</v>
      </c>
      <c r="AB134" s="58" t="s">
        <v>292</v>
      </c>
      <c r="AC134" s="57"/>
      <c r="AD134" s="57"/>
      <c r="AE134" s="57"/>
      <c r="BH134"/>
      <c r="BK134" s="57"/>
    </row>
    <row r="135" spans="1:63" x14ac:dyDescent="0.35">
      <c r="A135" s="61" t="s">
        <v>860</v>
      </c>
      <c r="B135" s="61" t="s">
        <v>959</v>
      </c>
      <c r="C135" s="61">
        <v>1</v>
      </c>
      <c r="D135" s="61" t="s">
        <v>26</v>
      </c>
      <c r="E135" s="60" t="s">
        <v>992</v>
      </c>
      <c r="F135" s="375" t="s">
        <v>1218</v>
      </c>
      <c r="G135" s="57" t="s">
        <v>898</v>
      </c>
      <c r="H135" s="58" t="s">
        <v>960</v>
      </c>
      <c r="I135" s="61">
        <v>100</v>
      </c>
      <c r="P135" s="58"/>
      <c r="Q135" s="58"/>
      <c r="R135" s="58"/>
      <c r="S135" s="58">
        <v>3.75</v>
      </c>
      <c r="T135" s="58">
        <v>4.4119999999999999</v>
      </c>
      <c r="AB135" s="58" t="s">
        <v>292</v>
      </c>
      <c r="AC135" s="57"/>
      <c r="AD135" s="57"/>
      <c r="AE135" s="57"/>
      <c r="BH135"/>
      <c r="BK135" s="57"/>
    </row>
    <row r="136" spans="1:63" x14ac:dyDescent="0.35">
      <c r="A136" s="61" t="s">
        <v>861</v>
      </c>
      <c r="B136" s="61" t="s">
        <v>959</v>
      </c>
      <c r="C136" s="61">
        <v>1</v>
      </c>
      <c r="D136" s="61" t="s">
        <v>26</v>
      </c>
      <c r="E136" s="60" t="s">
        <v>993</v>
      </c>
      <c r="F136" s="375" t="s">
        <v>1218</v>
      </c>
      <c r="G136" s="57" t="s">
        <v>899</v>
      </c>
      <c r="H136" s="58" t="s">
        <v>960</v>
      </c>
      <c r="I136" s="61">
        <v>100</v>
      </c>
      <c r="P136" s="58"/>
      <c r="Q136" s="58"/>
      <c r="R136" s="58"/>
      <c r="S136" s="58">
        <v>3.75</v>
      </c>
      <c r="T136" s="58">
        <v>4.4119999999999999</v>
      </c>
      <c r="AB136" s="58" t="s">
        <v>292</v>
      </c>
      <c r="AC136" s="57"/>
      <c r="AD136" s="57"/>
      <c r="AE136" s="57"/>
      <c r="BH136"/>
      <c r="BK136" s="57"/>
    </row>
    <row r="137" spans="1:63" x14ac:dyDescent="0.35">
      <c r="A137" s="61" t="s">
        <v>862</v>
      </c>
      <c r="B137" s="61" t="s">
        <v>959</v>
      </c>
      <c r="C137" s="61">
        <v>1</v>
      </c>
      <c r="D137" s="61" t="s">
        <v>26</v>
      </c>
      <c r="E137" s="60" t="s">
        <v>994</v>
      </c>
      <c r="F137" s="375" t="s">
        <v>1218</v>
      </c>
      <c r="G137" s="57" t="s">
        <v>900</v>
      </c>
      <c r="H137" s="58" t="s">
        <v>960</v>
      </c>
      <c r="I137" s="61">
        <v>100</v>
      </c>
      <c r="P137" s="58"/>
      <c r="Q137" s="58"/>
      <c r="R137" s="58"/>
      <c r="S137" s="58">
        <v>3.75</v>
      </c>
      <c r="T137" s="58">
        <v>4.4119999999999999</v>
      </c>
      <c r="AB137" s="58" t="s">
        <v>292</v>
      </c>
      <c r="AC137" s="57"/>
      <c r="AD137" s="57"/>
      <c r="AE137" s="57"/>
      <c r="BH137"/>
      <c r="BK137" s="57"/>
    </row>
    <row r="138" spans="1:63" x14ac:dyDescent="0.35">
      <c r="A138" s="61" t="s">
        <v>863</v>
      </c>
      <c r="B138" s="61" t="s">
        <v>959</v>
      </c>
      <c r="C138" s="61">
        <v>1</v>
      </c>
      <c r="D138" s="61" t="s">
        <v>26</v>
      </c>
      <c r="E138" s="60" t="s">
        <v>995</v>
      </c>
      <c r="F138" s="375" t="s">
        <v>1218</v>
      </c>
      <c r="G138" s="57" t="s">
        <v>901</v>
      </c>
      <c r="H138" s="58" t="s">
        <v>960</v>
      </c>
      <c r="I138" s="61">
        <v>100</v>
      </c>
      <c r="P138" s="58"/>
      <c r="Q138" s="58"/>
      <c r="R138" s="58"/>
      <c r="S138" s="58">
        <v>3.75</v>
      </c>
      <c r="T138" s="58">
        <v>4.4119999999999999</v>
      </c>
      <c r="AB138" s="58" t="s">
        <v>292</v>
      </c>
      <c r="AC138" s="57"/>
      <c r="AD138" s="57"/>
      <c r="AE138" s="57"/>
      <c r="BH138"/>
      <c r="BK138" s="57"/>
    </row>
    <row r="139" spans="1:63" x14ac:dyDescent="0.35">
      <c r="A139" s="61" t="s">
        <v>864</v>
      </c>
      <c r="B139" s="61" t="s">
        <v>959</v>
      </c>
      <c r="C139" s="61">
        <v>1</v>
      </c>
      <c r="D139" s="61" t="s">
        <v>26</v>
      </c>
      <c r="E139" s="60" t="s">
        <v>996</v>
      </c>
      <c r="F139" s="375" t="s">
        <v>1218</v>
      </c>
      <c r="G139" s="57" t="s">
        <v>902</v>
      </c>
      <c r="H139" s="58" t="s">
        <v>960</v>
      </c>
      <c r="I139" s="61">
        <v>100</v>
      </c>
      <c r="P139" s="58"/>
      <c r="Q139" s="58"/>
      <c r="R139" s="58"/>
      <c r="S139" s="58">
        <v>3.75</v>
      </c>
      <c r="T139" s="58">
        <v>4.4119999999999999</v>
      </c>
      <c r="AB139" s="58" t="s">
        <v>292</v>
      </c>
      <c r="AC139" s="57"/>
      <c r="AD139" s="57"/>
      <c r="AE139" s="57"/>
      <c r="BH139"/>
      <c r="BK139" s="57"/>
    </row>
    <row r="140" spans="1:63" x14ac:dyDescent="0.35">
      <c r="A140" s="61" t="s">
        <v>865</v>
      </c>
      <c r="B140" s="61" t="s">
        <v>959</v>
      </c>
      <c r="C140" s="61">
        <v>1</v>
      </c>
      <c r="D140" s="61" t="s">
        <v>26</v>
      </c>
      <c r="E140" s="60" t="s">
        <v>997</v>
      </c>
      <c r="F140" s="375" t="s">
        <v>1218</v>
      </c>
      <c r="G140" s="57" t="s">
        <v>903</v>
      </c>
      <c r="H140" s="58" t="s">
        <v>960</v>
      </c>
      <c r="I140" s="61">
        <v>100</v>
      </c>
      <c r="P140" s="58"/>
      <c r="Q140" s="58"/>
      <c r="R140" s="58"/>
      <c r="S140" s="58">
        <v>3.75</v>
      </c>
      <c r="T140" s="58">
        <v>4.4119999999999999</v>
      </c>
      <c r="AB140" s="58" t="s">
        <v>292</v>
      </c>
      <c r="AC140" s="57"/>
      <c r="AD140" s="57"/>
      <c r="AE140" s="57"/>
      <c r="BH140"/>
      <c r="BK140" s="57"/>
    </row>
    <row r="141" spans="1:63" x14ac:dyDescent="0.35">
      <c r="A141" s="61" t="s">
        <v>866</v>
      </c>
      <c r="B141" s="61" t="s">
        <v>959</v>
      </c>
      <c r="C141" s="61">
        <v>1</v>
      </c>
      <c r="D141" s="61" t="s">
        <v>26</v>
      </c>
      <c r="E141" s="60" t="s">
        <v>998</v>
      </c>
      <c r="F141" s="375" t="s">
        <v>1218</v>
      </c>
      <c r="G141" s="57" t="s">
        <v>904</v>
      </c>
      <c r="H141" s="58" t="s">
        <v>960</v>
      </c>
      <c r="I141" s="61">
        <v>100</v>
      </c>
      <c r="P141" s="58"/>
      <c r="Q141" s="58"/>
      <c r="R141" s="58"/>
      <c r="S141" s="58">
        <v>3.75</v>
      </c>
      <c r="T141" s="58">
        <v>4.4119999999999999</v>
      </c>
      <c r="AB141" s="58" t="s">
        <v>292</v>
      </c>
      <c r="AC141" s="57"/>
      <c r="AD141" s="57"/>
      <c r="AE141" s="57"/>
      <c r="BH141"/>
      <c r="BK141" s="57"/>
    </row>
    <row r="142" spans="1:63" x14ac:dyDescent="0.35">
      <c r="A142" s="61" t="s">
        <v>867</v>
      </c>
      <c r="B142" s="61" t="s">
        <v>959</v>
      </c>
      <c r="C142" s="61">
        <v>1</v>
      </c>
      <c r="D142" s="61" t="s">
        <v>26</v>
      </c>
      <c r="E142" s="60" t="s">
        <v>999</v>
      </c>
      <c r="F142" s="375" t="s">
        <v>1218</v>
      </c>
      <c r="G142" s="57" t="s">
        <v>905</v>
      </c>
      <c r="H142" s="58" t="s">
        <v>960</v>
      </c>
      <c r="I142" s="61">
        <v>100</v>
      </c>
      <c r="P142" s="58"/>
      <c r="Q142" s="58"/>
      <c r="R142" s="58"/>
      <c r="S142" s="58">
        <v>3.75</v>
      </c>
      <c r="T142" s="58">
        <v>4.4119999999999999</v>
      </c>
      <c r="AB142" s="58" t="s">
        <v>292</v>
      </c>
      <c r="AC142" s="57"/>
      <c r="AD142" s="57"/>
      <c r="AE142" s="57"/>
      <c r="BH142"/>
      <c r="BK142" s="57"/>
    </row>
    <row r="143" spans="1:63" x14ac:dyDescent="0.35">
      <c r="A143" s="61" t="s">
        <v>868</v>
      </c>
      <c r="B143" s="61" t="s">
        <v>959</v>
      </c>
      <c r="C143" s="61">
        <v>1</v>
      </c>
      <c r="D143" s="61" t="s">
        <v>26</v>
      </c>
      <c r="E143" s="60" t="s">
        <v>1000</v>
      </c>
      <c r="F143" s="375" t="s">
        <v>1218</v>
      </c>
      <c r="G143" s="57" t="s">
        <v>906</v>
      </c>
      <c r="H143" s="58" t="s">
        <v>960</v>
      </c>
      <c r="I143" s="61">
        <v>100</v>
      </c>
      <c r="P143" s="58"/>
      <c r="Q143" s="58"/>
      <c r="R143" s="58"/>
      <c r="S143" s="58">
        <v>3.75</v>
      </c>
      <c r="T143" s="58">
        <v>4.4119999999999999</v>
      </c>
      <c r="AB143" s="58" t="s">
        <v>292</v>
      </c>
      <c r="AC143" s="57"/>
      <c r="AD143" s="57"/>
      <c r="AE143" s="57"/>
      <c r="BH143"/>
      <c r="BK143" s="57"/>
    </row>
    <row r="144" spans="1:63" x14ac:dyDescent="0.35">
      <c r="A144" s="61" t="s">
        <v>869</v>
      </c>
      <c r="B144" s="61" t="s">
        <v>959</v>
      </c>
      <c r="C144" s="61">
        <v>1</v>
      </c>
      <c r="D144" s="61" t="s">
        <v>37</v>
      </c>
      <c r="E144" s="60" t="s">
        <v>1001</v>
      </c>
      <c r="F144" s="375" t="s">
        <v>1218</v>
      </c>
      <c r="G144" s="57" t="s">
        <v>907</v>
      </c>
      <c r="H144" s="58" t="s">
        <v>960</v>
      </c>
      <c r="I144" s="61">
        <v>100</v>
      </c>
      <c r="P144" s="58"/>
      <c r="Q144" s="58"/>
      <c r="R144" s="58"/>
      <c r="S144" s="58">
        <v>3.75</v>
      </c>
      <c r="T144" s="58">
        <v>4.4119999999999999</v>
      </c>
      <c r="AB144" s="58" t="s">
        <v>292</v>
      </c>
      <c r="AC144" s="57"/>
      <c r="AD144" s="57"/>
      <c r="AE144" s="57"/>
      <c r="BH144"/>
      <c r="BK144" s="57"/>
    </row>
    <row r="145" spans="1:63" x14ac:dyDescent="0.35">
      <c r="A145" s="61" t="s">
        <v>870</v>
      </c>
      <c r="B145" s="61" t="s">
        <v>959</v>
      </c>
      <c r="C145" s="61">
        <v>1</v>
      </c>
      <c r="D145" s="61" t="s">
        <v>37</v>
      </c>
      <c r="E145" s="60" t="s">
        <v>1002</v>
      </c>
      <c r="F145" s="375" t="s">
        <v>1218</v>
      </c>
      <c r="G145" s="57" t="s">
        <v>908</v>
      </c>
      <c r="H145" s="58" t="s">
        <v>960</v>
      </c>
      <c r="I145" s="61">
        <v>100</v>
      </c>
      <c r="P145" s="58"/>
      <c r="Q145" s="58"/>
      <c r="R145" s="58"/>
      <c r="S145" s="58">
        <v>3.75</v>
      </c>
      <c r="T145" s="58">
        <v>4.4119999999999999</v>
      </c>
      <c r="AB145" s="58" t="s">
        <v>292</v>
      </c>
      <c r="AC145" s="57"/>
      <c r="AD145" s="57"/>
      <c r="AE145" s="57"/>
      <c r="BH145"/>
      <c r="BK145" s="57"/>
    </row>
    <row r="146" spans="1:63" x14ac:dyDescent="0.35">
      <c r="A146" s="61" t="s">
        <v>871</v>
      </c>
      <c r="B146" s="61" t="s">
        <v>959</v>
      </c>
      <c r="C146" s="61">
        <v>1</v>
      </c>
      <c r="D146" s="61" t="s">
        <v>37</v>
      </c>
      <c r="E146" s="60" t="s">
        <v>1003</v>
      </c>
      <c r="F146" s="375" t="s">
        <v>1218</v>
      </c>
      <c r="G146" s="57" t="s">
        <v>909</v>
      </c>
      <c r="H146" s="58" t="s">
        <v>960</v>
      </c>
      <c r="I146" s="61">
        <v>100</v>
      </c>
      <c r="P146" s="58"/>
      <c r="Q146" s="58"/>
      <c r="R146" s="58"/>
      <c r="S146" s="58">
        <v>3.75</v>
      </c>
      <c r="T146" s="58">
        <v>4.4119999999999999</v>
      </c>
      <c r="AB146" s="58" t="s">
        <v>292</v>
      </c>
      <c r="AC146" s="57"/>
      <c r="AD146" s="57"/>
      <c r="AE146" s="57"/>
      <c r="BH146"/>
      <c r="BK146" s="57"/>
    </row>
    <row r="147" spans="1:63" x14ac:dyDescent="0.35">
      <c r="A147" s="61" t="s">
        <v>872</v>
      </c>
      <c r="B147" s="61" t="s">
        <v>959</v>
      </c>
      <c r="C147" s="61">
        <v>1</v>
      </c>
      <c r="D147" s="61" t="s">
        <v>37</v>
      </c>
      <c r="E147" s="60" t="s">
        <v>1004</v>
      </c>
      <c r="F147" s="375" t="s">
        <v>1218</v>
      </c>
      <c r="G147" s="57" t="s">
        <v>910</v>
      </c>
      <c r="H147" s="58" t="s">
        <v>960</v>
      </c>
      <c r="I147" s="61">
        <v>100</v>
      </c>
      <c r="P147" s="58"/>
      <c r="Q147" s="58"/>
      <c r="R147" s="58"/>
      <c r="S147" s="58">
        <v>3.75</v>
      </c>
      <c r="T147" s="58">
        <v>4.4119999999999999</v>
      </c>
      <c r="AB147" s="58" t="s">
        <v>292</v>
      </c>
      <c r="AC147" s="57"/>
      <c r="AD147" s="57"/>
      <c r="AE147" s="57"/>
      <c r="BH147"/>
      <c r="BK147" s="57"/>
    </row>
    <row r="148" spans="1:63" x14ac:dyDescent="0.35">
      <c r="A148" s="61" t="s">
        <v>873</v>
      </c>
      <c r="B148" s="61" t="s">
        <v>959</v>
      </c>
      <c r="C148" s="61">
        <v>1</v>
      </c>
      <c r="D148" s="61" t="s">
        <v>37</v>
      </c>
      <c r="E148" s="60" t="s">
        <v>1005</v>
      </c>
      <c r="F148" s="375" t="s">
        <v>1218</v>
      </c>
      <c r="G148" s="57" t="s">
        <v>911</v>
      </c>
      <c r="H148" s="58" t="s">
        <v>960</v>
      </c>
      <c r="I148" s="61">
        <v>100</v>
      </c>
      <c r="P148" s="58"/>
      <c r="Q148" s="58"/>
      <c r="R148" s="58"/>
      <c r="S148" s="58">
        <v>3.75</v>
      </c>
      <c r="T148" s="58">
        <v>4.4119999999999999</v>
      </c>
      <c r="AB148" s="58" t="s">
        <v>292</v>
      </c>
      <c r="AC148" s="57"/>
      <c r="AD148" s="57"/>
      <c r="AE148" s="57"/>
      <c r="BH148"/>
      <c r="BK148" s="57"/>
    </row>
    <row r="149" spans="1:63" x14ac:dyDescent="0.35">
      <c r="A149" s="61" t="s">
        <v>874</v>
      </c>
      <c r="B149" s="61" t="s">
        <v>959</v>
      </c>
      <c r="C149" s="61">
        <v>1</v>
      </c>
      <c r="D149" s="61" t="s">
        <v>37</v>
      </c>
      <c r="E149" s="60" t="s">
        <v>1006</v>
      </c>
      <c r="F149" s="375" t="s">
        <v>1218</v>
      </c>
      <c r="G149" s="57" t="s">
        <v>912</v>
      </c>
      <c r="H149" s="58" t="s">
        <v>960</v>
      </c>
      <c r="I149" s="61">
        <v>100</v>
      </c>
      <c r="P149" s="58"/>
      <c r="Q149" s="58"/>
      <c r="R149" s="58"/>
      <c r="S149" s="58">
        <v>3.75</v>
      </c>
      <c r="T149" s="58">
        <v>4.4119999999999999</v>
      </c>
      <c r="AB149" s="58" t="s">
        <v>292</v>
      </c>
      <c r="AC149" s="57"/>
      <c r="AD149" s="57"/>
      <c r="AE149" s="57"/>
      <c r="BH149"/>
      <c r="BK149" s="57"/>
    </row>
    <row r="150" spans="1:63" x14ac:dyDescent="0.35">
      <c r="A150" s="61" t="s">
        <v>875</v>
      </c>
      <c r="B150" s="61" t="s">
        <v>959</v>
      </c>
      <c r="C150" s="61">
        <v>1</v>
      </c>
      <c r="D150" s="61" t="s">
        <v>37</v>
      </c>
      <c r="E150" s="60" t="s">
        <v>1007</v>
      </c>
      <c r="F150" s="375" t="s">
        <v>1218</v>
      </c>
      <c r="G150" s="57" t="s">
        <v>913</v>
      </c>
      <c r="H150" s="58" t="s">
        <v>960</v>
      </c>
      <c r="I150" s="61">
        <v>100</v>
      </c>
      <c r="P150" s="58"/>
      <c r="Q150" s="58"/>
      <c r="R150" s="58"/>
      <c r="S150" s="58">
        <v>3.75</v>
      </c>
      <c r="T150" s="58">
        <v>4.4119999999999999</v>
      </c>
      <c r="AB150" s="58" t="s">
        <v>292</v>
      </c>
      <c r="AC150" s="57"/>
      <c r="AD150" s="57"/>
      <c r="AE150" s="57"/>
      <c r="BH150"/>
      <c r="BK150" s="57"/>
    </row>
    <row r="151" spans="1:63" x14ac:dyDescent="0.35">
      <c r="A151" s="61" t="s">
        <v>876</v>
      </c>
      <c r="B151" s="61" t="s">
        <v>959</v>
      </c>
      <c r="C151" s="61">
        <v>1</v>
      </c>
      <c r="D151" s="61" t="s">
        <v>37</v>
      </c>
      <c r="E151" s="60" t="s">
        <v>1008</v>
      </c>
      <c r="F151" s="375" t="s">
        <v>1218</v>
      </c>
      <c r="G151" s="57" t="s">
        <v>914</v>
      </c>
      <c r="H151" s="58" t="s">
        <v>960</v>
      </c>
      <c r="I151" s="61">
        <v>100</v>
      </c>
      <c r="P151" s="58"/>
      <c r="Q151" s="58"/>
      <c r="R151" s="58"/>
      <c r="S151" s="58">
        <v>3.75</v>
      </c>
      <c r="T151" s="58">
        <v>4.4119999999999999</v>
      </c>
      <c r="AB151" s="58" t="s">
        <v>292</v>
      </c>
      <c r="AC151" s="57"/>
      <c r="AD151" s="57"/>
      <c r="AE151" s="57"/>
      <c r="BH151"/>
      <c r="BK151" s="57"/>
    </row>
    <row r="152" spans="1:63" x14ac:dyDescent="0.35">
      <c r="A152" s="61" t="s">
        <v>877</v>
      </c>
      <c r="B152" s="61" t="s">
        <v>959</v>
      </c>
      <c r="C152" s="61">
        <v>1</v>
      </c>
      <c r="D152" s="61" t="s">
        <v>37</v>
      </c>
      <c r="E152" s="60" t="s">
        <v>1009</v>
      </c>
      <c r="F152" s="375" t="s">
        <v>1218</v>
      </c>
      <c r="G152" s="57" t="s">
        <v>915</v>
      </c>
      <c r="H152" s="58" t="s">
        <v>960</v>
      </c>
      <c r="I152" s="61">
        <v>100</v>
      </c>
      <c r="P152" s="58"/>
      <c r="Q152" s="58"/>
      <c r="R152" s="58"/>
      <c r="S152" s="58">
        <v>3.75</v>
      </c>
      <c r="T152" s="58">
        <v>4.4119999999999999</v>
      </c>
      <c r="AB152" s="58" t="s">
        <v>292</v>
      </c>
      <c r="AC152" s="57"/>
      <c r="AD152" s="57"/>
      <c r="AE152" s="57"/>
      <c r="BH152"/>
      <c r="BK152" s="57"/>
    </row>
    <row r="153" spans="1:63" x14ac:dyDescent="0.35">
      <c r="A153" s="61" t="s">
        <v>878</v>
      </c>
      <c r="B153" s="61" t="s">
        <v>959</v>
      </c>
      <c r="C153" s="61">
        <v>1</v>
      </c>
      <c r="D153" s="61" t="s">
        <v>37</v>
      </c>
      <c r="E153" s="60" t="s">
        <v>1010</v>
      </c>
      <c r="F153" s="375" t="s">
        <v>1218</v>
      </c>
      <c r="G153" s="57" t="s">
        <v>916</v>
      </c>
      <c r="H153" s="58" t="s">
        <v>960</v>
      </c>
      <c r="I153" s="61">
        <v>100</v>
      </c>
      <c r="P153" s="58"/>
      <c r="Q153" s="58"/>
      <c r="R153" s="58"/>
      <c r="S153" s="58">
        <v>3.75</v>
      </c>
      <c r="T153" s="58">
        <v>4.4119999999999999</v>
      </c>
      <c r="AB153" s="58" t="s">
        <v>292</v>
      </c>
      <c r="AC153" s="57"/>
      <c r="AD153" s="57"/>
      <c r="AE153" s="57"/>
      <c r="BH153"/>
      <c r="BK153" s="57"/>
    </row>
    <row r="154" spans="1:63" x14ac:dyDescent="0.35">
      <c r="A154" s="61" t="s">
        <v>879</v>
      </c>
      <c r="B154" s="61" t="s">
        <v>959</v>
      </c>
      <c r="C154" s="61">
        <v>1</v>
      </c>
      <c r="D154" s="61" t="s">
        <v>37</v>
      </c>
      <c r="E154" s="60" t="s">
        <v>1011</v>
      </c>
      <c r="F154" s="375" t="s">
        <v>1218</v>
      </c>
      <c r="G154" s="57" t="s">
        <v>917</v>
      </c>
      <c r="H154" s="58" t="s">
        <v>960</v>
      </c>
      <c r="I154" s="61">
        <v>100</v>
      </c>
      <c r="P154" s="58"/>
      <c r="Q154" s="58"/>
      <c r="R154" s="58"/>
      <c r="S154" s="58">
        <v>3.75</v>
      </c>
      <c r="T154" s="58">
        <v>4.4119999999999999</v>
      </c>
      <c r="AB154" s="58" t="s">
        <v>292</v>
      </c>
      <c r="AC154" s="57"/>
      <c r="AD154" s="57"/>
      <c r="AE154" s="57"/>
      <c r="BH154"/>
      <c r="BK154" s="57"/>
    </row>
    <row r="155" spans="1:63" x14ac:dyDescent="0.35">
      <c r="A155" s="61" t="s">
        <v>880</v>
      </c>
      <c r="B155" s="61" t="s">
        <v>959</v>
      </c>
      <c r="C155" s="61">
        <v>1</v>
      </c>
      <c r="D155" s="61" t="s">
        <v>37</v>
      </c>
      <c r="E155" s="60" t="s">
        <v>1012</v>
      </c>
      <c r="F155" s="375" t="s">
        <v>1218</v>
      </c>
      <c r="G155" s="57" t="s">
        <v>918</v>
      </c>
      <c r="H155" s="58" t="s">
        <v>960</v>
      </c>
      <c r="I155" s="61">
        <v>100</v>
      </c>
      <c r="P155" s="58"/>
      <c r="Q155" s="58"/>
      <c r="R155" s="58"/>
      <c r="S155" s="58">
        <v>3.75</v>
      </c>
      <c r="T155" s="58">
        <v>4.4119999999999999</v>
      </c>
      <c r="AB155" s="58" t="s">
        <v>292</v>
      </c>
      <c r="AC155" s="57"/>
      <c r="AD155" s="57"/>
      <c r="AE155" s="57"/>
      <c r="BH155"/>
      <c r="BK155" s="57"/>
    </row>
    <row r="156" spans="1:63" x14ac:dyDescent="0.35">
      <c r="A156" s="61" t="s">
        <v>881</v>
      </c>
      <c r="B156" s="61" t="s">
        <v>959</v>
      </c>
      <c r="C156" s="61">
        <v>1</v>
      </c>
      <c r="D156" s="61" t="s">
        <v>37</v>
      </c>
      <c r="E156" s="60" t="s">
        <v>1013</v>
      </c>
      <c r="F156" s="375" t="s">
        <v>1218</v>
      </c>
      <c r="G156" s="57" t="s">
        <v>919</v>
      </c>
      <c r="H156" s="58" t="s">
        <v>960</v>
      </c>
      <c r="I156" s="61">
        <v>100</v>
      </c>
      <c r="P156" s="58"/>
      <c r="Q156" s="58"/>
      <c r="R156" s="58"/>
      <c r="S156" s="58">
        <v>3.75</v>
      </c>
      <c r="T156" s="58">
        <v>4.4119999999999999</v>
      </c>
      <c r="AB156" s="58" t="s">
        <v>292</v>
      </c>
      <c r="AC156" s="57"/>
      <c r="AD156" s="57"/>
      <c r="AE156" s="57"/>
      <c r="BH156"/>
      <c r="BK156" s="57"/>
    </row>
    <row r="157" spans="1:63" x14ac:dyDescent="0.35">
      <c r="A157" s="61" t="s">
        <v>882</v>
      </c>
      <c r="B157" s="61" t="s">
        <v>959</v>
      </c>
      <c r="C157" s="61">
        <v>1</v>
      </c>
      <c r="D157" s="61" t="s">
        <v>37</v>
      </c>
      <c r="E157" s="60" t="s">
        <v>1014</v>
      </c>
      <c r="F157" s="375" t="s">
        <v>1218</v>
      </c>
      <c r="G157" s="57" t="s">
        <v>920</v>
      </c>
      <c r="H157" s="58" t="s">
        <v>960</v>
      </c>
      <c r="I157" s="61">
        <v>100</v>
      </c>
      <c r="P157" s="58"/>
      <c r="Q157" s="58"/>
      <c r="R157" s="58"/>
      <c r="S157" s="58">
        <v>3.75</v>
      </c>
      <c r="T157" s="58">
        <v>4.4119999999999999</v>
      </c>
      <c r="AB157" s="58" t="s">
        <v>292</v>
      </c>
      <c r="AC157" s="57"/>
      <c r="AD157" s="57"/>
      <c r="AE157" s="57"/>
      <c r="BH157"/>
      <c r="BK157" s="57"/>
    </row>
    <row r="158" spans="1:63" x14ac:dyDescent="0.35">
      <c r="A158" s="61" t="s">
        <v>883</v>
      </c>
      <c r="B158" s="61" t="s">
        <v>959</v>
      </c>
      <c r="C158" s="61">
        <v>1</v>
      </c>
      <c r="D158" s="61" t="s">
        <v>37</v>
      </c>
      <c r="E158" s="60" t="s">
        <v>1015</v>
      </c>
      <c r="F158" s="375" t="s">
        <v>1218</v>
      </c>
      <c r="G158" s="57" t="s">
        <v>921</v>
      </c>
      <c r="H158" s="58" t="s">
        <v>960</v>
      </c>
      <c r="I158" s="61">
        <v>100</v>
      </c>
      <c r="P158" s="58"/>
      <c r="Q158" s="58"/>
      <c r="R158" s="58"/>
      <c r="S158" s="58">
        <v>3.75</v>
      </c>
      <c r="T158" s="58">
        <v>4.4119999999999999</v>
      </c>
      <c r="AB158" s="58" t="s">
        <v>292</v>
      </c>
      <c r="AC158" s="57"/>
      <c r="AD158" s="57"/>
      <c r="AE158" s="57"/>
      <c r="BH158"/>
      <c r="BK158" s="57"/>
    </row>
    <row r="159" spans="1:63" x14ac:dyDescent="0.35">
      <c r="A159" s="61" t="s">
        <v>884</v>
      </c>
      <c r="B159" s="61" t="s">
        <v>959</v>
      </c>
      <c r="C159" s="61">
        <v>1</v>
      </c>
      <c r="D159" s="61" t="s">
        <v>26</v>
      </c>
      <c r="E159" s="60"/>
      <c r="F159" s="375" t="s">
        <v>1219</v>
      </c>
      <c r="G159" s="57" t="s">
        <v>922</v>
      </c>
      <c r="H159" s="58" t="s">
        <v>960</v>
      </c>
      <c r="I159" s="61">
        <v>100</v>
      </c>
      <c r="J159" s="61">
        <v>6</v>
      </c>
      <c r="M159" s="61">
        <v>3</v>
      </c>
      <c r="O159" s="61">
        <v>2</v>
      </c>
      <c r="P159" s="58"/>
      <c r="Q159" s="58"/>
      <c r="R159" s="58"/>
      <c r="S159" s="58">
        <v>6.84</v>
      </c>
      <c r="T159" s="58">
        <v>7.8430999999999997</v>
      </c>
      <c r="AB159" s="58" t="s">
        <v>1217</v>
      </c>
      <c r="AC159" s="57"/>
      <c r="AD159" s="57"/>
      <c r="AE159" s="57"/>
      <c r="BH159"/>
      <c r="BK159" s="57"/>
    </row>
    <row r="160" spans="1:63" x14ac:dyDescent="0.35">
      <c r="A160" s="61" t="s">
        <v>885</v>
      </c>
      <c r="B160" s="61" t="s">
        <v>959</v>
      </c>
      <c r="C160" s="61">
        <v>1</v>
      </c>
      <c r="D160" s="61" t="s">
        <v>37</v>
      </c>
      <c r="E160" s="60"/>
      <c r="F160" s="375" t="s">
        <v>1219</v>
      </c>
      <c r="G160" s="57" t="s">
        <v>923</v>
      </c>
      <c r="H160" s="58" t="s">
        <v>960</v>
      </c>
      <c r="I160" s="61">
        <v>100</v>
      </c>
      <c r="J160" s="61">
        <v>6</v>
      </c>
      <c r="M160" s="61">
        <v>3</v>
      </c>
      <c r="O160" s="61">
        <v>2</v>
      </c>
      <c r="P160" s="58"/>
      <c r="Q160" s="58"/>
      <c r="R160" s="58"/>
      <c r="S160" s="58">
        <v>6.84</v>
      </c>
      <c r="T160" s="58">
        <v>7.8430999999999997</v>
      </c>
      <c r="AB160" s="58" t="s">
        <v>1217</v>
      </c>
      <c r="AC160" s="57"/>
      <c r="AD160" s="57"/>
      <c r="AE160" s="57"/>
      <c r="BH160"/>
      <c r="BK160" s="57"/>
    </row>
    <row r="161" spans="1:63" x14ac:dyDescent="0.35">
      <c r="B161" s="61" t="s">
        <v>25</v>
      </c>
      <c r="C161" s="61">
        <v>2</v>
      </c>
      <c r="D161" s="61" t="s">
        <v>37</v>
      </c>
      <c r="E161" s="59"/>
      <c r="G161" s="57" t="s">
        <v>98</v>
      </c>
      <c r="H161" s="58" t="s">
        <v>28</v>
      </c>
      <c r="I161" s="61">
        <v>20</v>
      </c>
      <c r="J161" s="61">
        <v>18</v>
      </c>
      <c r="M161" s="61">
        <v>3</v>
      </c>
      <c r="O161" s="61">
        <v>6</v>
      </c>
      <c r="P161" s="58">
        <v>400</v>
      </c>
      <c r="Q161" s="58">
        <v>400</v>
      </c>
      <c r="R161" s="58">
        <v>460</v>
      </c>
      <c r="S161" s="58">
        <f>0.73*I161</f>
        <v>14.6</v>
      </c>
      <c r="T161" s="58">
        <v>20.5</v>
      </c>
      <c r="U161" s="58">
        <v>100</v>
      </c>
      <c r="V161" s="58">
        <v>250</v>
      </c>
      <c r="W161" s="58">
        <v>0</v>
      </c>
      <c r="X161" s="58">
        <v>0.6</v>
      </c>
      <c r="Y161" s="58">
        <v>0.4</v>
      </c>
      <c r="Z161" s="58">
        <v>0</v>
      </c>
      <c r="AA161" s="58">
        <v>0</v>
      </c>
      <c r="AB161" s="58" t="s">
        <v>29</v>
      </c>
      <c r="AC161" s="57"/>
      <c r="AD161" s="57"/>
      <c r="AE161" s="57"/>
      <c r="BH161"/>
      <c r="BK161" s="57"/>
    </row>
    <row r="162" spans="1:63" x14ac:dyDescent="0.35">
      <c r="B162" s="61" t="s">
        <v>158</v>
      </c>
      <c r="C162" s="61">
        <v>1</v>
      </c>
      <c r="D162" s="61" t="s">
        <v>37</v>
      </c>
      <c r="E162" s="60"/>
      <c r="G162" s="57" t="s">
        <v>187</v>
      </c>
      <c r="H162" s="58" t="s">
        <v>161</v>
      </c>
      <c r="I162" s="61">
        <v>24</v>
      </c>
      <c r="P162" s="58"/>
      <c r="Q162" s="58"/>
      <c r="R162" s="58"/>
      <c r="U162" s="58">
        <v>250</v>
      </c>
      <c r="V162" s="58">
        <v>0</v>
      </c>
      <c r="W162" s="58">
        <v>0</v>
      </c>
      <c r="X162" s="58">
        <v>1</v>
      </c>
      <c r="Y162" s="58">
        <v>0</v>
      </c>
      <c r="Z162" s="58">
        <v>0</v>
      </c>
      <c r="AA162" s="58">
        <v>0</v>
      </c>
      <c r="AB162" s="58" t="s">
        <v>29</v>
      </c>
      <c r="AC162" s="57"/>
      <c r="AD162" s="57"/>
      <c r="AE162" s="57"/>
      <c r="BH162"/>
      <c r="BK162" s="57"/>
    </row>
    <row r="163" spans="1:63" x14ac:dyDescent="0.35">
      <c r="B163" s="61" t="s">
        <v>158</v>
      </c>
      <c r="C163" s="61">
        <v>1</v>
      </c>
      <c r="D163" s="61" t="s">
        <v>26</v>
      </c>
      <c r="E163" s="60"/>
      <c r="G163" s="57" t="s">
        <v>188</v>
      </c>
      <c r="H163" s="58" t="s">
        <v>161</v>
      </c>
      <c r="I163" s="61">
        <v>24</v>
      </c>
      <c r="P163" s="58"/>
      <c r="Q163" s="58"/>
      <c r="R163" s="58"/>
      <c r="U163" s="58">
        <v>300</v>
      </c>
      <c r="V163" s="58">
        <v>0</v>
      </c>
      <c r="W163" s="58">
        <v>0</v>
      </c>
      <c r="X163" s="58">
        <v>1</v>
      </c>
      <c r="Y163" s="58">
        <v>0</v>
      </c>
      <c r="Z163" s="58">
        <v>0</v>
      </c>
      <c r="AA163" s="58">
        <v>0</v>
      </c>
      <c r="AB163" s="58" t="s">
        <v>29</v>
      </c>
      <c r="AC163" s="57"/>
      <c r="AD163" s="57"/>
      <c r="AE163" s="57"/>
      <c r="BH163"/>
      <c r="BK163" s="57"/>
    </row>
    <row r="164" spans="1:63" x14ac:dyDescent="0.35">
      <c r="A164" s="61" t="s">
        <v>454</v>
      </c>
      <c r="B164" s="61" t="s">
        <v>190</v>
      </c>
      <c r="C164" s="61">
        <v>1</v>
      </c>
      <c r="D164" s="61" t="s">
        <v>37</v>
      </c>
      <c r="E164" s="60"/>
      <c r="F164" s="375" t="s">
        <v>159</v>
      </c>
      <c r="G164" s="57" t="s">
        <v>455</v>
      </c>
      <c r="H164" s="61" t="s">
        <v>190</v>
      </c>
      <c r="I164" s="61">
        <v>48</v>
      </c>
      <c r="P164" s="58"/>
      <c r="Q164" s="58"/>
      <c r="R164" s="58"/>
      <c r="S164" s="58">
        <v>4.4000000000000004</v>
      </c>
      <c r="T164" s="58">
        <v>4.8</v>
      </c>
      <c r="AB164" s="58"/>
      <c r="AC164" s="57"/>
      <c r="AD164" s="57"/>
      <c r="AE164" s="57"/>
      <c r="BH164"/>
      <c r="BK164" s="57"/>
    </row>
    <row r="165" spans="1:63" x14ac:dyDescent="0.35">
      <c r="A165" s="61" t="s">
        <v>456</v>
      </c>
      <c r="B165" s="61" t="s">
        <v>190</v>
      </c>
      <c r="C165" s="61">
        <v>1</v>
      </c>
      <c r="D165" s="61" t="s">
        <v>37</v>
      </c>
      <c r="E165" s="60"/>
      <c r="F165" s="375" t="s">
        <v>159</v>
      </c>
      <c r="G165" s="57" t="s">
        <v>457</v>
      </c>
      <c r="H165" s="61" t="s">
        <v>190</v>
      </c>
      <c r="I165" s="61">
        <v>48</v>
      </c>
      <c r="P165" s="58"/>
      <c r="Q165" s="58"/>
      <c r="R165" s="58"/>
      <c r="S165" s="58">
        <v>4.4000000000000004</v>
      </c>
      <c r="T165" s="58">
        <v>4.8</v>
      </c>
      <c r="AB165" s="58"/>
      <c r="AC165" s="57"/>
      <c r="AD165" s="57"/>
      <c r="AE165" s="57"/>
      <c r="BH165"/>
      <c r="BK165" s="57"/>
    </row>
    <row r="166" spans="1:63" x14ac:dyDescent="0.35">
      <c r="A166" s="61" t="s">
        <v>458</v>
      </c>
      <c r="B166" s="61" t="s">
        <v>190</v>
      </c>
      <c r="C166" s="61">
        <v>1</v>
      </c>
      <c r="D166" s="61" t="s">
        <v>37</v>
      </c>
      <c r="E166" s="60"/>
      <c r="F166" s="375" t="s">
        <v>159</v>
      </c>
      <c r="G166" s="57" t="s">
        <v>459</v>
      </c>
      <c r="H166" s="61" t="s">
        <v>190</v>
      </c>
      <c r="I166" s="61">
        <v>48</v>
      </c>
      <c r="P166" s="58"/>
      <c r="Q166" s="58"/>
      <c r="R166" s="58"/>
      <c r="S166" s="58">
        <v>4.4000000000000004</v>
      </c>
      <c r="T166" s="58">
        <v>4.8</v>
      </c>
      <c r="AB166" s="58"/>
      <c r="AC166" s="57"/>
      <c r="AD166" s="57"/>
      <c r="AE166" s="57"/>
      <c r="BH166"/>
      <c r="BK166" s="57"/>
    </row>
    <row r="167" spans="1:63" x14ac:dyDescent="0.35">
      <c r="A167" s="61" t="s">
        <v>460</v>
      </c>
      <c r="B167" s="61" t="s">
        <v>190</v>
      </c>
      <c r="C167" s="61">
        <v>1</v>
      </c>
      <c r="D167" s="61" t="s">
        <v>37</v>
      </c>
      <c r="E167" s="60"/>
      <c r="F167" s="375" t="s">
        <v>159</v>
      </c>
      <c r="G167" s="57" t="s">
        <v>461</v>
      </c>
      <c r="H167" s="61" t="s">
        <v>190</v>
      </c>
      <c r="I167" s="61">
        <v>48</v>
      </c>
      <c r="P167" s="58"/>
      <c r="Q167" s="58"/>
      <c r="R167" s="58"/>
      <c r="S167" s="58">
        <v>4.4000000000000004</v>
      </c>
      <c r="T167" s="58">
        <v>4.8</v>
      </c>
      <c r="AB167" s="58"/>
      <c r="AC167" s="57"/>
      <c r="AD167" s="57"/>
      <c r="AE167" s="57"/>
      <c r="BH167"/>
      <c r="BK167" s="57"/>
    </row>
    <row r="194" spans="8:31" x14ac:dyDescent="0.35"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C194" s="57"/>
      <c r="AD194" s="57"/>
      <c r="AE194" s="57"/>
    </row>
  </sheetData>
  <phoneticPr fontId="6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/>
  <dimension ref="A1:Z84"/>
  <sheetViews>
    <sheetView workbookViewId="0">
      <pane ySplit="1" topLeftCell="A2" activePane="bottomLeft" state="frozen"/>
      <selection pane="bottomLeft" activeCell="E1" sqref="E1"/>
    </sheetView>
  </sheetViews>
  <sheetFormatPr defaultRowHeight="14.5" x14ac:dyDescent="0.35"/>
  <cols>
    <col min="1" max="1" width="17.54296875" style="1" bestFit="1" customWidth="1"/>
    <col min="2" max="2" width="54.54296875" bestFit="1" customWidth="1"/>
    <col min="3" max="4" width="9" style="1" customWidth="1"/>
    <col min="5" max="5" width="10.1796875" style="1" customWidth="1"/>
    <col min="6" max="9" width="9" style="1" customWidth="1"/>
    <col min="10" max="25" width="9" customWidth="1"/>
    <col min="26" max="26" width="9.453125" customWidth="1"/>
  </cols>
  <sheetData>
    <row r="1" spans="1:7" s="3" customFormat="1" x14ac:dyDescent="0.35">
      <c r="A1" s="3" t="s">
        <v>933</v>
      </c>
      <c r="B1" s="3" t="s">
        <v>1185</v>
      </c>
      <c r="C1" s="3" t="s">
        <v>1186</v>
      </c>
      <c r="D1" s="3" t="s">
        <v>1187</v>
      </c>
      <c r="E1" s="3" t="s">
        <v>190</v>
      </c>
      <c r="F1" s="3" t="s">
        <v>1171</v>
      </c>
      <c r="G1" s="3" t="s">
        <v>1172</v>
      </c>
    </row>
    <row r="2" spans="1:7" x14ac:dyDescent="0.35">
      <c r="A2" s="1" t="s">
        <v>80</v>
      </c>
      <c r="B2" t="s">
        <v>81</v>
      </c>
      <c r="C2" s="1" t="s">
        <v>99</v>
      </c>
      <c r="D2" s="1" t="s">
        <v>168</v>
      </c>
      <c r="F2" s="1" t="s">
        <v>793</v>
      </c>
      <c r="G2" s="1" t="s">
        <v>835</v>
      </c>
    </row>
    <row r="3" spans="1:7" x14ac:dyDescent="0.35">
      <c r="A3" s="1" t="s">
        <v>82</v>
      </c>
      <c r="B3" t="s">
        <v>83</v>
      </c>
      <c r="C3" s="1" t="s">
        <v>101</v>
      </c>
      <c r="D3" s="1" t="s">
        <v>170</v>
      </c>
      <c r="F3" s="1" t="s">
        <v>794</v>
      </c>
      <c r="G3" s="1" t="s">
        <v>835</v>
      </c>
    </row>
    <row r="4" spans="1:7" x14ac:dyDescent="0.35">
      <c r="A4" s="1" t="s">
        <v>84</v>
      </c>
      <c r="B4" t="s">
        <v>85</v>
      </c>
      <c r="C4" s="1" t="s">
        <v>103</v>
      </c>
      <c r="D4" s="1" t="s">
        <v>172</v>
      </c>
      <c r="F4" s="1" t="s">
        <v>795</v>
      </c>
      <c r="G4" s="1" t="s">
        <v>835</v>
      </c>
    </row>
    <row r="5" spans="1:7" x14ac:dyDescent="0.35">
      <c r="A5" s="1" t="s">
        <v>86</v>
      </c>
      <c r="B5" t="s">
        <v>87</v>
      </c>
      <c r="C5" s="1" t="s">
        <v>105</v>
      </c>
      <c r="D5" s="1" t="s">
        <v>174</v>
      </c>
      <c r="F5" s="1" t="s">
        <v>796</v>
      </c>
      <c r="G5" s="1" t="s">
        <v>835</v>
      </c>
    </row>
    <row r="6" spans="1:7" x14ac:dyDescent="0.35">
      <c r="A6" s="1" t="s">
        <v>24</v>
      </c>
      <c r="B6" t="s">
        <v>27</v>
      </c>
      <c r="C6" s="1" t="s">
        <v>61</v>
      </c>
      <c r="D6" s="1" t="s">
        <v>168</v>
      </c>
      <c r="F6" s="1" t="s">
        <v>805</v>
      </c>
      <c r="G6" s="1" t="s">
        <v>831</v>
      </c>
    </row>
    <row r="7" spans="1:7" x14ac:dyDescent="0.35">
      <c r="A7" s="1" t="s">
        <v>30</v>
      </c>
      <c r="B7" t="s">
        <v>31</v>
      </c>
      <c r="C7" s="1" t="s">
        <v>66</v>
      </c>
      <c r="D7" s="1" t="s">
        <v>170</v>
      </c>
      <c r="F7" s="1" t="s">
        <v>807</v>
      </c>
      <c r="G7" s="1" t="s">
        <v>831</v>
      </c>
    </row>
    <row r="8" spans="1:7" x14ac:dyDescent="0.35">
      <c r="A8" s="1" t="s">
        <v>32</v>
      </c>
      <c r="B8" t="s">
        <v>33</v>
      </c>
      <c r="C8" s="1" t="s">
        <v>68</v>
      </c>
      <c r="D8" s="1" t="s">
        <v>172</v>
      </c>
      <c r="F8" s="1" t="s">
        <v>809</v>
      </c>
      <c r="G8" s="1" t="s">
        <v>831</v>
      </c>
    </row>
    <row r="9" spans="1:7" x14ac:dyDescent="0.35">
      <c r="A9" s="1" t="s">
        <v>34</v>
      </c>
      <c r="B9" t="s">
        <v>35</v>
      </c>
      <c r="C9" s="1" t="s">
        <v>70</v>
      </c>
      <c r="D9" s="1" t="s">
        <v>174</v>
      </c>
      <c r="F9" s="1" t="s">
        <v>811</v>
      </c>
      <c r="G9" s="1" t="s">
        <v>831</v>
      </c>
    </row>
    <row r="10" spans="1:7" x14ac:dyDescent="0.35">
      <c r="A10" s="1" t="s">
        <v>36</v>
      </c>
      <c r="B10" t="s">
        <v>38</v>
      </c>
      <c r="C10" s="1" t="s">
        <v>72</v>
      </c>
      <c r="D10" s="1" t="s">
        <v>157</v>
      </c>
      <c r="F10" s="1" t="s">
        <v>813</v>
      </c>
      <c r="G10" s="1" t="s">
        <v>833</v>
      </c>
    </row>
    <row r="11" spans="1:7" x14ac:dyDescent="0.35">
      <c r="A11" s="1" t="s">
        <v>39</v>
      </c>
      <c r="B11" t="s">
        <v>40</v>
      </c>
      <c r="C11" s="1" t="s">
        <v>74</v>
      </c>
      <c r="D11" s="1" t="s">
        <v>162</v>
      </c>
      <c r="F11" s="1" t="s">
        <v>815</v>
      </c>
      <c r="G11" s="1" t="s">
        <v>833</v>
      </c>
    </row>
    <row r="12" spans="1:7" x14ac:dyDescent="0.35">
      <c r="A12" s="1" t="s">
        <v>41</v>
      </c>
      <c r="B12" t="s">
        <v>42</v>
      </c>
      <c r="C12" s="1" t="s">
        <v>76</v>
      </c>
      <c r="D12" s="1" t="s">
        <v>164</v>
      </c>
      <c r="F12" s="1" t="s">
        <v>817</v>
      </c>
      <c r="G12" s="1" t="s">
        <v>833</v>
      </c>
    </row>
    <row r="13" spans="1:7" x14ac:dyDescent="0.35">
      <c r="A13" s="1" t="s">
        <v>43</v>
      </c>
      <c r="B13" t="s">
        <v>44</v>
      </c>
      <c r="C13" s="1" t="s">
        <v>78</v>
      </c>
      <c r="D13" s="1" t="s">
        <v>166</v>
      </c>
      <c r="F13" s="1" t="s">
        <v>819</v>
      </c>
      <c r="G13" s="1" t="s">
        <v>833</v>
      </c>
    </row>
    <row r="14" spans="1:7" x14ac:dyDescent="0.35">
      <c r="A14" s="1" t="s">
        <v>88</v>
      </c>
      <c r="B14" t="s">
        <v>89</v>
      </c>
      <c r="C14" s="1" t="s">
        <v>107</v>
      </c>
      <c r="D14" s="1" t="s">
        <v>157</v>
      </c>
      <c r="F14" s="1" t="s">
        <v>797</v>
      </c>
      <c r="G14" s="1" t="s">
        <v>837</v>
      </c>
    </row>
    <row r="15" spans="1:7" x14ac:dyDescent="0.35">
      <c r="A15" s="1" t="s">
        <v>90</v>
      </c>
      <c r="B15" t="s">
        <v>91</v>
      </c>
      <c r="C15" s="1" t="s">
        <v>109</v>
      </c>
      <c r="D15" s="1" t="s">
        <v>162</v>
      </c>
      <c r="F15" s="1" t="s">
        <v>798</v>
      </c>
      <c r="G15" s="1" t="s">
        <v>837</v>
      </c>
    </row>
    <row r="16" spans="1:7" x14ac:dyDescent="0.35">
      <c r="A16" s="1" t="s">
        <v>92</v>
      </c>
      <c r="B16" t="s">
        <v>93</v>
      </c>
      <c r="C16" s="1" t="s">
        <v>111</v>
      </c>
      <c r="D16" s="1" t="s">
        <v>164</v>
      </c>
      <c r="F16" s="1" t="s">
        <v>799</v>
      </c>
      <c r="G16" s="1" t="s">
        <v>837</v>
      </c>
    </row>
    <row r="17" spans="1:26" x14ac:dyDescent="0.35">
      <c r="A17" s="1" t="s">
        <v>94</v>
      </c>
      <c r="B17" t="s">
        <v>95</v>
      </c>
      <c r="C17" s="1" t="s">
        <v>113</v>
      </c>
      <c r="D17" s="1" t="s">
        <v>166</v>
      </c>
      <c r="F17" s="1" t="s">
        <v>800</v>
      </c>
      <c r="G17" s="1" t="s">
        <v>837</v>
      </c>
    </row>
    <row r="18" spans="1:26" x14ac:dyDescent="0.35">
      <c r="A18" s="1" t="s">
        <v>45</v>
      </c>
      <c r="B18" t="s">
        <v>46</v>
      </c>
      <c r="C18" s="1" t="s">
        <v>72</v>
      </c>
      <c r="D18" s="1" t="s">
        <v>168</v>
      </c>
      <c r="E18" s="1" t="s">
        <v>189</v>
      </c>
    </row>
    <row r="19" spans="1:26" x14ac:dyDescent="0.35">
      <c r="A19" s="1" t="s">
        <v>47</v>
      </c>
      <c r="B19" t="s">
        <v>48</v>
      </c>
      <c r="C19" s="1" t="s">
        <v>74</v>
      </c>
      <c r="D19" s="1" t="s">
        <v>170</v>
      </c>
      <c r="E19" s="1" t="s">
        <v>192</v>
      </c>
    </row>
    <row r="20" spans="1:26" x14ac:dyDescent="0.35">
      <c r="A20" s="1" t="s">
        <v>49</v>
      </c>
      <c r="B20" t="s">
        <v>50</v>
      </c>
      <c r="C20" s="1" t="s">
        <v>76</v>
      </c>
      <c r="D20" s="1" t="s">
        <v>172</v>
      </c>
      <c r="E20" s="1" t="s">
        <v>194</v>
      </c>
    </row>
    <row r="21" spans="1:26" x14ac:dyDescent="0.35">
      <c r="A21" s="1" t="s">
        <v>51</v>
      </c>
      <c r="B21" t="s">
        <v>52</v>
      </c>
      <c r="C21" s="1" t="s">
        <v>78</v>
      </c>
      <c r="D21" s="1" t="s">
        <v>174</v>
      </c>
      <c r="E21" s="1" t="s">
        <v>196</v>
      </c>
    </row>
    <row r="22" spans="1:26" x14ac:dyDescent="0.35">
      <c r="A22" s="1" t="s">
        <v>53</v>
      </c>
      <c r="B22" t="s">
        <v>54</v>
      </c>
      <c r="C22" s="1" t="s">
        <v>107</v>
      </c>
      <c r="D22" s="1" t="s">
        <v>157</v>
      </c>
      <c r="E22" s="1" t="s">
        <v>454</v>
      </c>
    </row>
    <row r="23" spans="1:26" x14ac:dyDescent="0.35">
      <c r="A23" s="1" t="s">
        <v>55</v>
      </c>
      <c r="B23" t="s">
        <v>56</v>
      </c>
      <c r="C23" s="1" t="s">
        <v>109</v>
      </c>
      <c r="D23" s="1" t="s">
        <v>162</v>
      </c>
      <c r="E23" s="1" t="s">
        <v>456</v>
      </c>
    </row>
    <row r="24" spans="1:26" x14ac:dyDescent="0.35">
      <c r="A24" s="1" t="s">
        <v>57</v>
      </c>
      <c r="B24" t="s">
        <v>58</v>
      </c>
      <c r="C24" s="1" t="s">
        <v>111</v>
      </c>
      <c r="D24" s="1" t="s">
        <v>164</v>
      </c>
      <c r="E24" s="1" t="s">
        <v>458</v>
      </c>
    </row>
    <row r="25" spans="1:26" x14ac:dyDescent="0.35">
      <c r="A25" s="1" t="s">
        <v>59</v>
      </c>
      <c r="B25" t="s">
        <v>60</v>
      </c>
      <c r="C25" s="1" t="s">
        <v>113</v>
      </c>
      <c r="D25" s="1" t="s">
        <v>166</v>
      </c>
      <c r="E25" s="1" t="s">
        <v>460</v>
      </c>
    </row>
    <row r="26" spans="1:26" x14ac:dyDescent="0.35">
      <c r="A26" s="1" t="s">
        <v>96</v>
      </c>
      <c r="B26" t="s">
        <v>97</v>
      </c>
      <c r="C26" s="1" t="s">
        <v>115</v>
      </c>
      <c r="D26" s="1" t="s">
        <v>750</v>
      </c>
    </row>
    <row r="28" spans="1:26" x14ac:dyDescent="0.35">
      <c r="A28" s="1" t="s">
        <v>1188</v>
      </c>
      <c r="B28" s="1" t="s">
        <v>80</v>
      </c>
      <c r="C28" s="1" t="s">
        <v>82</v>
      </c>
      <c r="D28" s="1" t="s">
        <v>84</v>
      </c>
      <c r="E28" s="1" t="s">
        <v>86</v>
      </c>
      <c r="F28" s="1" t="s">
        <v>24</v>
      </c>
      <c r="G28" s="1" t="s">
        <v>30</v>
      </c>
      <c r="H28" s="1" t="s">
        <v>32</v>
      </c>
      <c r="I28" s="1" t="s">
        <v>34</v>
      </c>
      <c r="J28" s="1" t="s">
        <v>36</v>
      </c>
      <c r="K28" s="1" t="s">
        <v>39</v>
      </c>
      <c r="L28" s="1" t="s">
        <v>41</v>
      </c>
      <c r="M28" s="1" t="s">
        <v>43</v>
      </c>
      <c r="N28" s="1" t="s">
        <v>88</v>
      </c>
      <c r="O28" s="1" t="s">
        <v>90</v>
      </c>
      <c r="P28" s="1" t="s">
        <v>92</v>
      </c>
      <c r="Q28" s="1" t="s">
        <v>94</v>
      </c>
      <c r="R28" s="1" t="s">
        <v>45</v>
      </c>
      <c r="S28" s="1" t="s">
        <v>47</v>
      </c>
      <c r="T28" s="1" t="s">
        <v>49</v>
      </c>
      <c r="U28" s="1" t="s">
        <v>51</v>
      </c>
      <c r="V28" s="1" t="s">
        <v>53</v>
      </c>
      <c r="W28" s="1" t="s">
        <v>55</v>
      </c>
      <c r="X28" s="1" t="s">
        <v>57</v>
      </c>
      <c r="Y28" s="1" t="s">
        <v>59</v>
      </c>
      <c r="Z28" s="1" t="s">
        <v>96</v>
      </c>
    </row>
    <row r="29" spans="1:26" x14ac:dyDescent="0.35">
      <c r="A29" s="1" t="s">
        <v>99</v>
      </c>
      <c r="B29" s="1">
        <v>1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5">
      <c r="A30" s="1" t="s">
        <v>101</v>
      </c>
      <c r="B30" s="1"/>
      <c r="C30" s="1">
        <v>1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5">
      <c r="A31" s="1" t="s">
        <v>103</v>
      </c>
      <c r="B31" s="1"/>
      <c r="D31" s="1">
        <v>1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5">
      <c r="A32" s="1" t="s">
        <v>105</v>
      </c>
      <c r="B32" s="1"/>
      <c r="E32" s="1">
        <v>1</v>
      </c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35">
      <c r="A33" s="1" t="s">
        <v>61</v>
      </c>
      <c r="B33" s="1"/>
      <c r="F33" s="1">
        <v>1</v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35">
      <c r="A34" s="1" t="s">
        <v>66</v>
      </c>
      <c r="B34" s="1"/>
      <c r="G34" s="1">
        <v>1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35">
      <c r="A35" s="1" t="s">
        <v>68</v>
      </c>
      <c r="B35" s="1"/>
      <c r="H35" s="1">
        <v>1</v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35">
      <c r="A36" s="1" t="s">
        <v>70</v>
      </c>
      <c r="B36" s="1"/>
      <c r="I36" s="1">
        <v>1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35">
      <c r="A37" s="1" t="s">
        <v>72</v>
      </c>
      <c r="B37" s="1"/>
      <c r="J37" s="1">
        <v>1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35">
      <c r="A38" s="1" t="s">
        <v>74</v>
      </c>
      <c r="B38" s="1"/>
      <c r="J38" s="1"/>
      <c r="K38" s="1">
        <v>1</v>
      </c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35">
      <c r="A39" s="1" t="s">
        <v>76</v>
      </c>
      <c r="B39" s="1"/>
      <c r="J39" s="1"/>
      <c r="K39" s="1"/>
      <c r="L39" s="1">
        <v>1</v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35">
      <c r="A40" s="1" t="s">
        <v>78</v>
      </c>
      <c r="B40" s="1"/>
      <c r="J40" s="1"/>
      <c r="K40" s="1"/>
      <c r="L40" s="1"/>
      <c r="M40" s="1">
        <v>1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35">
      <c r="A41" s="1" t="s">
        <v>107</v>
      </c>
      <c r="B41" s="1"/>
      <c r="J41" s="1"/>
      <c r="K41" s="1"/>
      <c r="L41" s="1"/>
      <c r="M41" s="1"/>
      <c r="N41" s="1">
        <v>1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35">
      <c r="A42" s="1" t="s">
        <v>109</v>
      </c>
      <c r="B42" s="1"/>
      <c r="J42" s="1"/>
      <c r="K42" s="1"/>
      <c r="L42" s="1"/>
      <c r="M42" s="1"/>
      <c r="N42" s="1"/>
      <c r="O42" s="1">
        <v>1</v>
      </c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35">
      <c r="A43" s="1" t="s">
        <v>111</v>
      </c>
      <c r="B43" s="1"/>
      <c r="J43" s="1"/>
      <c r="K43" s="1"/>
      <c r="L43" s="1"/>
      <c r="M43" s="1"/>
      <c r="N43" s="1"/>
      <c r="O43" s="1"/>
      <c r="P43" s="1">
        <v>1</v>
      </c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35">
      <c r="A44" s="1" t="s">
        <v>113</v>
      </c>
      <c r="B44" s="1"/>
      <c r="J44" s="1"/>
      <c r="K44" s="1"/>
      <c r="L44" s="1"/>
      <c r="M44" s="1"/>
      <c r="N44" s="1"/>
      <c r="O44" s="1"/>
      <c r="P44" s="1"/>
      <c r="Q44" s="1">
        <v>1</v>
      </c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35">
      <c r="A45" s="1" t="s">
        <v>115</v>
      </c>
      <c r="B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>
        <v>1</v>
      </c>
    </row>
    <row r="46" spans="1:26" x14ac:dyDescent="0.35">
      <c r="A46" s="1" t="s">
        <v>168</v>
      </c>
      <c r="B46" s="1">
        <v>1</v>
      </c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35">
      <c r="A47" s="1" t="s">
        <v>170</v>
      </c>
      <c r="B47" s="1"/>
      <c r="C47" s="1">
        <v>1</v>
      </c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35">
      <c r="A48" s="1" t="s">
        <v>172</v>
      </c>
      <c r="B48" s="1"/>
      <c r="D48" s="1">
        <v>1</v>
      </c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5">
      <c r="A49" s="1" t="s">
        <v>174</v>
      </c>
      <c r="B49" s="1"/>
      <c r="E49" s="1">
        <v>1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5">
      <c r="A50" s="1" t="s">
        <v>157</v>
      </c>
      <c r="B50" s="1"/>
      <c r="J50" s="1">
        <v>1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5">
      <c r="A51" s="1" t="s">
        <v>162</v>
      </c>
      <c r="B51" s="1"/>
      <c r="J51" s="1"/>
      <c r="K51" s="1">
        <v>1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5">
      <c r="A52" s="1" t="s">
        <v>164</v>
      </c>
      <c r="B52" s="1"/>
      <c r="J52" s="1"/>
      <c r="K52" s="1"/>
      <c r="L52" s="1">
        <v>1</v>
      </c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5">
      <c r="A53" s="1" t="s">
        <v>166</v>
      </c>
      <c r="B53" s="1"/>
      <c r="J53" s="1"/>
      <c r="K53" s="1"/>
      <c r="L53" s="1"/>
      <c r="M53" s="1">
        <v>1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5">
      <c r="A54" s="1" t="s">
        <v>750</v>
      </c>
      <c r="B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>
        <v>1</v>
      </c>
    </row>
    <row r="55" spans="1:26" x14ac:dyDescent="0.35">
      <c r="A55" s="1" t="s">
        <v>189</v>
      </c>
      <c r="B55" s="1"/>
      <c r="J55" s="1"/>
      <c r="K55" s="1"/>
      <c r="L55" s="1"/>
      <c r="M55" s="1"/>
      <c r="N55" s="1"/>
      <c r="O55" s="1"/>
      <c r="P55" s="1"/>
      <c r="Q55" s="1"/>
      <c r="R55" s="1">
        <v>1</v>
      </c>
      <c r="S55" s="1"/>
      <c r="T55" s="1"/>
      <c r="U55" s="1"/>
      <c r="V55" s="1"/>
      <c r="W55" s="1"/>
      <c r="X55" s="1"/>
      <c r="Y55" s="1"/>
      <c r="Z55" s="1"/>
    </row>
    <row r="56" spans="1:26" x14ac:dyDescent="0.35">
      <c r="A56" s="1" t="s">
        <v>192</v>
      </c>
      <c r="B56" s="1"/>
      <c r="J56" s="1"/>
      <c r="K56" s="1"/>
      <c r="L56" s="1"/>
      <c r="M56" s="1"/>
      <c r="N56" s="1"/>
      <c r="O56" s="1"/>
      <c r="P56" s="1"/>
      <c r="Q56" s="1"/>
      <c r="R56" s="1"/>
      <c r="S56" s="1">
        <v>1</v>
      </c>
      <c r="T56" s="1"/>
      <c r="U56" s="1"/>
      <c r="V56" s="1"/>
      <c r="W56" s="1"/>
      <c r="X56" s="1"/>
      <c r="Y56" s="1"/>
      <c r="Z56" s="1"/>
    </row>
    <row r="57" spans="1:26" x14ac:dyDescent="0.35">
      <c r="A57" s="1" t="s">
        <v>194</v>
      </c>
      <c r="B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>
        <v>1</v>
      </c>
      <c r="U57" s="1"/>
      <c r="V57" s="1"/>
      <c r="W57" s="1"/>
      <c r="X57" s="1"/>
      <c r="Y57" s="1"/>
      <c r="Z57" s="1"/>
    </row>
    <row r="58" spans="1:26" x14ac:dyDescent="0.35">
      <c r="A58" s="1" t="s">
        <v>196</v>
      </c>
      <c r="B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>
        <v>1</v>
      </c>
      <c r="V58" s="1"/>
      <c r="W58" s="1"/>
      <c r="X58" s="1"/>
      <c r="Y58" s="1"/>
      <c r="Z58" s="1"/>
    </row>
    <row r="59" spans="1:26" x14ac:dyDescent="0.35">
      <c r="A59" s="1" t="s">
        <v>454</v>
      </c>
      <c r="B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>
        <v>1</v>
      </c>
      <c r="W59" s="1"/>
      <c r="X59" s="1"/>
      <c r="Y59" s="1"/>
      <c r="Z59" s="1"/>
    </row>
    <row r="60" spans="1:26" x14ac:dyDescent="0.35">
      <c r="A60" s="1" t="s">
        <v>456</v>
      </c>
      <c r="B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>
        <v>1</v>
      </c>
      <c r="X60" s="1"/>
      <c r="Y60" s="1"/>
      <c r="Z60" s="1"/>
    </row>
    <row r="61" spans="1:26" x14ac:dyDescent="0.35">
      <c r="A61" s="1" t="s">
        <v>458</v>
      </c>
      <c r="B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>
        <v>1</v>
      </c>
      <c r="Y61" s="1"/>
      <c r="Z61" s="1"/>
    </row>
    <row r="62" spans="1:26" x14ac:dyDescent="0.35">
      <c r="A62" s="1" t="s">
        <v>460</v>
      </c>
      <c r="B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>
        <v>1</v>
      </c>
      <c r="Z62" s="1"/>
    </row>
    <row r="63" spans="1:26" x14ac:dyDescent="0.35">
      <c r="A63" s="1" t="s">
        <v>793</v>
      </c>
      <c r="B63" s="1">
        <v>1</v>
      </c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5">
      <c r="A64" s="1" t="s">
        <v>794</v>
      </c>
      <c r="B64" s="1"/>
      <c r="C64" s="1">
        <v>1</v>
      </c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5">
      <c r="A65" s="1" t="s">
        <v>795</v>
      </c>
      <c r="B65" s="1"/>
      <c r="D65" s="1">
        <v>1</v>
      </c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5">
      <c r="A66" s="1" t="s">
        <v>796</v>
      </c>
      <c r="B66" s="1"/>
      <c r="E66" s="1">
        <v>1</v>
      </c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5">
      <c r="A67" s="1" t="s">
        <v>805</v>
      </c>
      <c r="B67" s="1"/>
      <c r="F67" s="1">
        <v>1</v>
      </c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5">
      <c r="A68" s="1" t="s">
        <v>807</v>
      </c>
      <c r="B68" s="1"/>
      <c r="G68" s="1">
        <v>1</v>
      </c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5">
      <c r="A69" s="1" t="s">
        <v>809</v>
      </c>
      <c r="B69" s="1"/>
      <c r="H69" s="1">
        <v>1</v>
      </c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5">
      <c r="A70" s="1" t="s">
        <v>811</v>
      </c>
      <c r="B70" s="1"/>
      <c r="I70" s="1">
        <v>1</v>
      </c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35">
      <c r="A71" s="1" t="s">
        <v>813</v>
      </c>
      <c r="B71" s="1"/>
      <c r="J71" s="1">
        <v>1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35">
      <c r="A72" s="1" t="s">
        <v>815</v>
      </c>
      <c r="B72" s="1"/>
      <c r="J72" s="1"/>
      <c r="K72" s="1">
        <v>1</v>
      </c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35">
      <c r="A73" s="1" t="s">
        <v>817</v>
      </c>
      <c r="B73" s="1"/>
      <c r="J73" s="1"/>
      <c r="K73" s="1"/>
      <c r="L73" s="1">
        <v>1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35">
      <c r="A74" s="1" t="s">
        <v>819</v>
      </c>
      <c r="B74" s="1"/>
      <c r="J74" s="1"/>
      <c r="K74" s="1"/>
      <c r="L74" s="1"/>
      <c r="M74" s="1">
        <v>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35">
      <c r="A75" s="1" t="s">
        <v>797</v>
      </c>
      <c r="B75" s="1"/>
      <c r="J75" s="1"/>
      <c r="K75" s="1"/>
      <c r="L75" s="1"/>
      <c r="M75" s="1"/>
      <c r="N75" s="1">
        <v>1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35">
      <c r="A76" s="1" t="s">
        <v>798</v>
      </c>
      <c r="B76" s="1"/>
      <c r="J76" s="1"/>
      <c r="K76" s="1"/>
      <c r="L76" s="1"/>
      <c r="M76" s="1"/>
      <c r="N76" s="1"/>
      <c r="O76" s="1">
        <v>1</v>
      </c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35">
      <c r="A77" s="1" t="s">
        <v>799</v>
      </c>
      <c r="B77" s="1"/>
      <c r="J77" s="1"/>
      <c r="K77" s="1"/>
      <c r="L77" s="1"/>
      <c r="M77" s="1"/>
      <c r="N77" s="1"/>
      <c r="O77" s="1"/>
      <c r="P77" s="1">
        <v>1</v>
      </c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35">
      <c r="A78" s="1" t="s">
        <v>800</v>
      </c>
      <c r="B78" s="1"/>
      <c r="J78" s="1"/>
      <c r="K78" s="1"/>
      <c r="L78" s="1"/>
      <c r="M78" s="1"/>
      <c r="N78" s="1"/>
      <c r="O78" s="1"/>
      <c r="P78" s="1"/>
      <c r="Q78" s="1">
        <v>1</v>
      </c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35">
      <c r="A79" s="1" t="s">
        <v>835</v>
      </c>
      <c r="B79" s="1">
        <v>1</v>
      </c>
      <c r="C79" s="1">
        <v>1</v>
      </c>
      <c r="D79" s="1">
        <v>1</v>
      </c>
      <c r="E79" s="1">
        <v>1</v>
      </c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35">
      <c r="A80" s="1" t="s">
        <v>831</v>
      </c>
      <c r="B80" s="1"/>
      <c r="F80" s="1">
        <v>1</v>
      </c>
      <c r="G80" s="1">
        <v>1</v>
      </c>
      <c r="H80" s="1">
        <v>1</v>
      </c>
      <c r="I80" s="1">
        <v>1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35">
      <c r="A81" s="1" t="s">
        <v>833</v>
      </c>
      <c r="B81" s="1"/>
      <c r="J81" s="1">
        <v>1</v>
      </c>
      <c r="K81" s="1">
        <v>1</v>
      </c>
      <c r="L81" s="1">
        <v>1</v>
      </c>
      <c r="M81" s="1">
        <v>1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35">
      <c r="A82" s="1" t="s">
        <v>837</v>
      </c>
      <c r="B82" s="1"/>
      <c r="J82" s="1"/>
      <c r="K82" s="1"/>
      <c r="L82" s="1"/>
      <c r="M82" s="1"/>
      <c r="N82" s="1">
        <v>1</v>
      </c>
      <c r="O82" s="1">
        <v>1</v>
      </c>
      <c r="P82" s="1">
        <v>1</v>
      </c>
      <c r="Q82" s="1">
        <v>1</v>
      </c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35">
      <c r="B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35">
      <c r="B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</sheetData>
  <phoneticPr fontId="68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5"/>
  <dimension ref="A1:Z70"/>
  <sheetViews>
    <sheetView workbookViewId="0">
      <pane xSplit="1" ySplit="1" topLeftCell="B20" activePane="bottomRight" state="frozen"/>
      <selection activeCell="E3" sqref="E3:I3"/>
      <selection pane="topRight" activeCell="E3" sqref="E3:I3"/>
      <selection pane="bottomLeft" activeCell="E3" sqref="E3:I3"/>
      <selection pane="bottomRight" activeCell="A2" sqref="A2:T50"/>
    </sheetView>
  </sheetViews>
  <sheetFormatPr defaultColWidth="8.7265625" defaultRowHeight="14.5" x14ac:dyDescent="0.35"/>
  <cols>
    <col min="1" max="1" width="31.1796875" style="54" bestFit="1" customWidth="1"/>
    <col min="2" max="2" width="17" style="1" bestFit="1" customWidth="1"/>
    <col min="3" max="3" width="105.7265625" style="54" bestFit="1" customWidth="1"/>
    <col min="4" max="4" width="42.54296875" bestFit="1" customWidth="1"/>
    <col min="5" max="6" width="38.7265625" bestFit="1" customWidth="1"/>
    <col min="7" max="7" width="39.54296875" bestFit="1" customWidth="1"/>
    <col min="8" max="8" width="38.26953125" bestFit="1" customWidth="1"/>
    <col min="9" max="10" width="38.26953125" customWidth="1"/>
    <col min="11" max="11" width="46.26953125" style="68" bestFit="1" customWidth="1"/>
    <col min="12" max="12" width="33" style="68" bestFit="1" customWidth="1"/>
    <col min="13" max="13" width="39.54296875" style="68" bestFit="1" customWidth="1"/>
    <col min="14" max="14" width="28.26953125" bestFit="1" customWidth="1"/>
    <col min="15" max="15" width="57.81640625" style="1" bestFit="1" customWidth="1"/>
    <col min="16" max="16" width="55.81640625" customWidth="1"/>
    <col min="17" max="17" width="12" style="1" bestFit="1" customWidth="1"/>
    <col min="18" max="18" width="8.7265625" style="56"/>
    <col min="19" max="19" width="31.7265625" style="1" customWidth="1"/>
    <col min="20" max="20" width="34.54296875" customWidth="1"/>
  </cols>
  <sheetData>
    <row r="1" spans="1:26" s="5" customFormat="1" x14ac:dyDescent="0.35">
      <c r="A1" s="5" t="s">
        <v>216</v>
      </c>
      <c r="B1" s="5" t="s">
        <v>217</v>
      </c>
      <c r="C1" s="5" t="s">
        <v>218</v>
      </c>
      <c r="D1" s="5" t="s">
        <v>219</v>
      </c>
      <c r="E1" s="5" t="s">
        <v>220</v>
      </c>
      <c r="F1" s="5" t="s">
        <v>221</v>
      </c>
      <c r="G1" s="5" t="s">
        <v>222</v>
      </c>
      <c r="H1" s="5" t="s">
        <v>223</v>
      </c>
      <c r="I1" s="5" t="s">
        <v>224</v>
      </c>
      <c r="J1" s="5" t="s">
        <v>734</v>
      </c>
      <c r="K1" s="5" t="s">
        <v>225</v>
      </c>
      <c r="L1" s="5" t="s">
        <v>226</v>
      </c>
      <c r="M1" s="5" t="s">
        <v>227</v>
      </c>
      <c r="N1" s="5" t="s">
        <v>228</v>
      </c>
      <c r="O1" s="5" t="s">
        <v>229</v>
      </c>
      <c r="P1" s="5" t="s">
        <v>230</v>
      </c>
      <c r="Q1" s="5" t="s">
        <v>231</v>
      </c>
      <c r="R1" s="53" t="s">
        <v>232</v>
      </c>
      <c r="S1" s="5" t="s">
        <v>233</v>
      </c>
      <c r="T1" s="5" t="s">
        <v>234</v>
      </c>
      <c r="Z1" s="5">
        <f>COUNTA(A:A)</f>
        <v>50</v>
      </c>
    </row>
    <row r="2" spans="1:26" x14ac:dyDescent="0.35">
      <c r="A2" s="54" t="s">
        <v>235</v>
      </c>
      <c r="B2" s="1" t="s">
        <v>236</v>
      </c>
      <c r="C2" s="54" t="s">
        <v>272</v>
      </c>
      <c r="D2" s="54" t="s">
        <v>237</v>
      </c>
      <c r="E2" s="54"/>
      <c r="F2" s="54" t="s">
        <v>238</v>
      </c>
      <c r="G2" s="54" t="s">
        <v>239</v>
      </c>
      <c r="H2" s="196" t="s">
        <v>240</v>
      </c>
      <c r="I2" s="196"/>
      <c r="J2" s="196" t="s">
        <v>789</v>
      </c>
      <c r="K2" s="197" t="s">
        <v>241</v>
      </c>
      <c r="L2" s="197" t="s">
        <v>242</v>
      </c>
      <c r="M2" s="197" t="s">
        <v>240</v>
      </c>
      <c r="N2" s="196" t="s">
        <v>243</v>
      </c>
      <c r="O2" s="1" t="s">
        <v>1128</v>
      </c>
      <c r="P2" t="s">
        <v>245</v>
      </c>
      <c r="Q2" s="1" t="s">
        <v>246</v>
      </c>
      <c r="R2" s="56" t="s">
        <v>247</v>
      </c>
      <c r="S2" s="1" t="s">
        <v>248</v>
      </c>
      <c r="T2" s="1" t="s">
        <v>949</v>
      </c>
    </row>
    <row r="3" spans="1:26" x14ac:dyDescent="0.35">
      <c r="A3" s="54" t="s">
        <v>249</v>
      </c>
      <c r="B3" s="1" t="s">
        <v>250</v>
      </c>
      <c r="C3" s="54" t="s">
        <v>947</v>
      </c>
      <c r="D3" t="s">
        <v>1119</v>
      </c>
      <c r="E3" t="s">
        <v>1120</v>
      </c>
      <c r="F3" t="s">
        <v>251</v>
      </c>
      <c r="G3" t="s">
        <v>252</v>
      </c>
      <c r="H3" s="196" t="s">
        <v>253</v>
      </c>
      <c r="I3" s="196"/>
      <c r="J3" s="196"/>
      <c r="K3" s="197" t="s">
        <v>1133</v>
      </c>
      <c r="L3" s="197" t="s">
        <v>1134</v>
      </c>
      <c r="M3" s="197" t="s">
        <v>1135</v>
      </c>
      <c r="N3" s="196" t="s">
        <v>254</v>
      </c>
      <c r="O3" s="1" t="s">
        <v>1128</v>
      </c>
      <c r="P3" t="s">
        <v>350</v>
      </c>
      <c r="Q3" s="1" t="s">
        <v>246</v>
      </c>
      <c r="R3" s="56" t="s">
        <v>247</v>
      </c>
      <c r="S3" s="1" t="s">
        <v>248</v>
      </c>
      <c r="T3" s="1"/>
    </row>
    <row r="4" spans="1:26" x14ac:dyDescent="0.35">
      <c r="A4" s="54" t="s">
        <v>255</v>
      </c>
      <c r="B4" s="1" t="s">
        <v>256</v>
      </c>
      <c r="C4" s="54" t="s">
        <v>947</v>
      </c>
      <c r="D4" t="s">
        <v>258</v>
      </c>
      <c r="F4" t="s">
        <v>259</v>
      </c>
      <c r="G4" t="s">
        <v>260</v>
      </c>
      <c r="H4" s="196" t="s">
        <v>261</v>
      </c>
      <c r="I4" s="196"/>
      <c r="J4" s="196"/>
      <c r="K4" s="197" t="s">
        <v>259</v>
      </c>
      <c r="L4" s="197" t="s">
        <v>260</v>
      </c>
      <c r="M4" s="197" t="s">
        <v>261</v>
      </c>
      <c r="N4" s="196" t="s">
        <v>262</v>
      </c>
      <c r="O4" s="1" t="s">
        <v>1128</v>
      </c>
      <c r="P4" t="s">
        <v>350</v>
      </c>
      <c r="Q4" s="1" t="s">
        <v>246</v>
      </c>
      <c r="R4" s="56" t="s">
        <v>247</v>
      </c>
      <c r="S4" s="1" t="s">
        <v>248</v>
      </c>
      <c r="T4" s="1"/>
    </row>
    <row r="5" spans="1:26" x14ac:dyDescent="0.35">
      <c r="A5" s="54" t="s">
        <v>263</v>
      </c>
      <c r="B5" s="1" t="s">
        <v>264</v>
      </c>
      <c r="C5" s="54" t="s">
        <v>947</v>
      </c>
      <c r="D5" t="s">
        <v>265</v>
      </c>
      <c r="F5" t="s">
        <v>266</v>
      </c>
      <c r="G5" t="s">
        <v>638</v>
      </c>
      <c r="H5" s="55" t="s">
        <v>1206</v>
      </c>
      <c r="I5" s="196"/>
      <c r="J5" s="196"/>
      <c r="K5" s="197"/>
      <c r="L5" s="197"/>
      <c r="M5" s="197"/>
      <c r="N5" s="196"/>
      <c r="O5" s="1" t="s">
        <v>1128</v>
      </c>
      <c r="P5" t="s">
        <v>350</v>
      </c>
      <c r="Q5" s="1" t="s">
        <v>267</v>
      </c>
      <c r="R5" s="56" t="s">
        <v>268</v>
      </c>
      <c r="S5" s="1" t="s">
        <v>269</v>
      </c>
      <c r="T5" s="1"/>
    </row>
    <row r="6" spans="1:26" x14ac:dyDescent="0.35">
      <c r="A6" s="54" t="s">
        <v>270</v>
      </c>
      <c r="B6" s="1" t="s">
        <v>271</v>
      </c>
      <c r="C6" s="54" t="s">
        <v>272</v>
      </c>
      <c r="D6" t="s">
        <v>273</v>
      </c>
      <c r="F6" t="s">
        <v>274</v>
      </c>
      <c r="G6" t="s">
        <v>275</v>
      </c>
      <c r="H6" s="196"/>
      <c r="I6" s="196"/>
      <c r="J6" s="196"/>
      <c r="K6" s="197" t="s">
        <v>639</v>
      </c>
      <c r="L6" s="197" t="s">
        <v>640</v>
      </c>
      <c r="M6" s="197" t="s">
        <v>276</v>
      </c>
      <c r="N6" s="196"/>
      <c r="O6" s="1" t="s">
        <v>1128</v>
      </c>
      <c r="P6" t="s">
        <v>350</v>
      </c>
      <c r="Q6" s="1" t="s">
        <v>246</v>
      </c>
      <c r="R6" s="56" t="s">
        <v>268</v>
      </c>
      <c r="S6" s="1" t="s">
        <v>269</v>
      </c>
      <c r="T6" s="1"/>
    </row>
    <row r="7" spans="1:26" x14ac:dyDescent="0.35">
      <c r="A7" s="54" t="s">
        <v>277</v>
      </c>
      <c r="B7" s="1" t="s">
        <v>278</v>
      </c>
      <c r="C7" s="54" t="s">
        <v>272</v>
      </c>
      <c r="D7" t="s">
        <v>277</v>
      </c>
      <c r="F7" t="s">
        <v>641</v>
      </c>
      <c r="G7" t="s">
        <v>279</v>
      </c>
      <c r="H7" s="196" t="s">
        <v>280</v>
      </c>
      <c r="I7" s="196"/>
      <c r="J7" s="196"/>
      <c r="K7" s="197"/>
      <c r="L7" s="197"/>
      <c r="M7" s="197"/>
      <c r="N7" s="196"/>
      <c r="O7" s="1" t="s">
        <v>1128</v>
      </c>
      <c r="P7" t="s">
        <v>350</v>
      </c>
      <c r="Q7" s="1" t="s">
        <v>246</v>
      </c>
      <c r="R7" s="56" t="s">
        <v>268</v>
      </c>
      <c r="S7" s="1" t="s">
        <v>269</v>
      </c>
      <c r="T7" s="1"/>
    </row>
    <row r="8" spans="1:26" x14ac:dyDescent="0.35">
      <c r="A8" s="54" t="s">
        <v>786</v>
      </c>
      <c r="B8" s="1" t="s">
        <v>29</v>
      </c>
      <c r="D8" t="s">
        <v>1121</v>
      </c>
      <c r="F8" t="s">
        <v>1122</v>
      </c>
      <c r="G8" t="s">
        <v>1123</v>
      </c>
      <c r="H8" t="s">
        <v>29</v>
      </c>
      <c r="I8" s="196"/>
      <c r="J8" s="55" t="s">
        <v>1124</v>
      </c>
      <c r="K8"/>
      <c r="L8"/>
      <c r="M8"/>
      <c r="N8" s="196"/>
      <c r="Q8" s="1" t="s">
        <v>246</v>
      </c>
      <c r="R8" s="56" t="s">
        <v>247</v>
      </c>
      <c r="S8" s="1" t="s">
        <v>248</v>
      </c>
      <c r="T8" s="1"/>
    </row>
    <row r="9" spans="1:26" x14ac:dyDescent="0.35">
      <c r="A9" s="54" t="s">
        <v>281</v>
      </c>
      <c r="B9" s="1" t="s">
        <v>282</v>
      </c>
      <c r="C9" s="54" t="s">
        <v>272</v>
      </c>
      <c r="D9" t="s">
        <v>283</v>
      </c>
      <c r="F9" t="s">
        <v>284</v>
      </c>
      <c r="G9" t="s">
        <v>285</v>
      </c>
      <c r="H9" s="196" t="s">
        <v>286</v>
      </c>
      <c r="I9" s="196"/>
      <c r="J9" s="196"/>
      <c r="K9" s="197"/>
      <c r="L9" s="197"/>
      <c r="M9" s="197"/>
      <c r="N9" s="196"/>
      <c r="O9" s="1" t="s">
        <v>1221</v>
      </c>
      <c r="P9" t="s">
        <v>350</v>
      </c>
      <c r="Q9" s="1" t="s">
        <v>267</v>
      </c>
      <c r="R9" s="56" t="s">
        <v>268</v>
      </c>
      <c r="S9" s="1" t="s">
        <v>269</v>
      </c>
      <c r="T9" s="1"/>
    </row>
    <row r="10" spans="1:26" x14ac:dyDescent="0.35">
      <c r="A10" s="54" t="s">
        <v>287</v>
      </c>
      <c r="B10" s="1" t="s">
        <v>288</v>
      </c>
      <c r="C10" s="54" t="s">
        <v>637</v>
      </c>
      <c r="D10" t="s">
        <v>289</v>
      </c>
      <c r="F10" t="s">
        <v>290</v>
      </c>
      <c r="G10" t="s">
        <v>642</v>
      </c>
      <c r="H10" s="196"/>
      <c r="I10" s="196"/>
      <c r="J10" s="196"/>
      <c r="K10" s="197"/>
      <c r="L10" s="197"/>
      <c r="M10" s="197"/>
      <c r="N10" s="196"/>
      <c r="O10" s="1" t="s">
        <v>1128</v>
      </c>
      <c r="Q10" s="1" t="s">
        <v>267</v>
      </c>
      <c r="R10" s="56" t="s">
        <v>268</v>
      </c>
      <c r="S10" s="1" t="s">
        <v>269</v>
      </c>
      <c r="T10" s="1"/>
    </row>
    <row r="11" spans="1:26" x14ac:dyDescent="0.35">
      <c r="A11" s="54" t="s">
        <v>291</v>
      </c>
      <c r="B11" s="1" t="s">
        <v>292</v>
      </c>
      <c r="C11" s="54" t="s">
        <v>272</v>
      </c>
      <c r="D11" t="s">
        <v>293</v>
      </c>
      <c r="F11" t="s">
        <v>643</v>
      </c>
      <c r="G11" t="s">
        <v>294</v>
      </c>
      <c r="H11" s="196" t="s">
        <v>295</v>
      </c>
      <c r="I11" s="196"/>
      <c r="J11" s="196"/>
      <c r="K11" s="197" t="s">
        <v>296</v>
      </c>
      <c r="L11" s="197" t="s">
        <v>297</v>
      </c>
      <c r="M11" s="197"/>
      <c r="N11" s="196" t="s">
        <v>298</v>
      </c>
      <c r="O11" s="1" t="s">
        <v>299</v>
      </c>
      <c r="P11" t="s">
        <v>245</v>
      </c>
      <c r="Q11" s="1" t="s">
        <v>246</v>
      </c>
      <c r="R11" s="56" t="s">
        <v>300</v>
      </c>
      <c r="S11" s="1" t="s">
        <v>301</v>
      </c>
      <c r="T11" s="1"/>
    </row>
    <row r="12" spans="1:26" x14ac:dyDescent="0.35">
      <c r="A12" s="54" t="s">
        <v>302</v>
      </c>
      <c r="B12" s="1" t="s">
        <v>303</v>
      </c>
      <c r="C12" s="54" t="s">
        <v>272</v>
      </c>
      <c r="D12" t="s">
        <v>304</v>
      </c>
      <c r="E12" t="s">
        <v>644</v>
      </c>
      <c r="F12" t="s">
        <v>645</v>
      </c>
      <c r="G12" t="s">
        <v>305</v>
      </c>
      <c r="H12" s="196" t="s">
        <v>306</v>
      </c>
      <c r="I12" s="196"/>
      <c r="J12" s="196"/>
      <c r="K12" s="197" t="s">
        <v>646</v>
      </c>
      <c r="L12" s="197" t="s">
        <v>307</v>
      </c>
      <c r="M12" s="197" t="s">
        <v>647</v>
      </c>
      <c r="N12" s="196" t="s">
        <v>308</v>
      </c>
      <c r="O12" s="1" t="s">
        <v>1022</v>
      </c>
      <c r="P12" t="s">
        <v>350</v>
      </c>
      <c r="Q12" s="1" t="s">
        <v>246</v>
      </c>
      <c r="R12" s="56" t="s">
        <v>247</v>
      </c>
      <c r="S12" s="1" t="s">
        <v>248</v>
      </c>
      <c r="T12" s="1"/>
    </row>
    <row r="13" spans="1:26" x14ac:dyDescent="0.35">
      <c r="A13" s="54" t="s">
        <v>310</v>
      </c>
      <c r="B13" s="1" t="s">
        <v>278</v>
      </c>
      <c r="C13" s="54" t="s">
        <v>272</v>
      </c>
      <c r="D13" t="s">
        <v>311</v>
      </c>
      <c r="F13" t="s">
        <v>312</v>
      </c>
      <c r="G13" t="s">
        <v>313</v>
      </c>
      <c r="H13" s="196" t="s">
        <v>314</v>
      </c>
      <c r="I13" s="196"/>
      <c r="J13" s="55" t="s">
        <v>1059</v>
      </c>
      <c r="K13" s="197" t="s">
        <v>648</v>
      </c>
      <c r="L13" s="197" t="s">
        <v>315</v>
      </c>
      <c r="M13" s="197" t="s">
        <v>316</v>
      </c>
      <c r="N13" s="196"/>
      <c r="O13" s="1" t="s">
        <v>1022</v>
      </c>
      <c r="P13" t="s">
        <v>350</v>
      </c>
      <c r="Q13" s="1" t="s">
        <v>246</v>
      </c>
      <c r="R13" s="56" t="s">
        <v>268</v>
      </c>
      <c r="S13" s="1" t="s">
        <v>269</v>
      </c>
      <c r="T13" s="1" t="s">
        <v>949</v>
      </c>
    </row>
    <row r="14" spans="1:26" x14ac:dyDescent="0.35">
      <c r="A14" s="54" t="s">
        <v>317</v>
      </c>
      <c r="B14" s="1" t="s">
        <v>318</v>
      </c>
      <c r="C14" s="54" t="s">
        <v>637</v>
      </c>
      <c r="D14" t="s">
        <v>319</v>
      </c>
      <c r="E14" t="s">
        <v>320</v>
      </c>
      <c r="H14" s="196"/>
      <c r="I14" s="196"/>
      <c r="J14" s="196"/>
      <c r="K14" s="197" t="s">
        <v>649</v>
      </c>
      <c r="L14" s="197" t="s">
        <v>650</v>
      </c>
      <c r="M14" s="197" t="s">
        <v>318</v>
      </c>
      <c r="N14" s="196"/>
      <c r="O14" s="1" t="s">
        <v>1128</v>
      </c>
      <c r="P14" t="s">
        <v>321</v>
      </c>
      <c r="Q14" s="1" t="s">
        <v>246</v>
      </c>
      <c r="R14" s="56" t="s">
        <v>268</v>
      </c>
      <c r="S14" s="1" t="s">
        <v>269</v>
      </c>
      <c r="T14" s="1"/>
    </row>
    <row r="15" spans="1:26" x14ac:dyDescent="0.35">
      <c r="A15" s="54" t="s">
        <v>788</v>
      </c>
      <c r="B15" s="1" t="s">
        <v>322</v>
      </c>
      <c r="C15" s="54" t="s">
        <v>272</v>
      </c>
      <c r="D15" t="s">
        <v>651</v>
      </c>
      <c r="H15" s="196"/>
      <c r="I15" s="196"/>
      <c r="J15" s="196"/>
      <c r="K15" s="197"/>
      <c r="L15" s="197"/>
      <c r="M15" s="197"/>
      <c r="N15" s="196"/>
      <c r="Q15" s="1" t="s">
        <v>246</v>
      </c>
      <c r="R15" s="56" t="s">
        <v>247</v>
      </c>
      <c r="S15" s="1" t="s">
        <v>248</v>
      </c>
      <c r="T15" s="1"/>
    </row>
    <row r="16" spans="1:26" x14ac:dyDescent="0.35">
      <c r="A16" s="54" t="s">
        <v>787</v>
      </c>
      <c r="B16" s="1" t="s">
        <v>957</v>
      </c>
      <c r="C16" s="54" t="s">
        <v>272</v>
      </c>
      <c r="D16" t="s">
        <v>651</v>
      </c>
      <c r="F16" s="197" t="s">
        <v>652</v>
      </c>
      <c r="G16" s="197" t="s">
        <v>653</v>
      </c>
      <c r="H16" s="197" t="s">
        <v>654</v>
      </c>
      <c r="I16" s="196"/>
      <c r="J16" s="55" t="s">
        <v>956</v>
      </c>
      <c r="K16" s="197" t="s">
        <v>652</v>
      </c>
      <c r="L16" s="197" t="s">
        <v>653</v>
      </c>
      <c r="M16" s="197" t="s">
        <v>654</v>
      </c>
      <c r="N16" s="196" t="s">
        <v>655</v>
      </c>
      <c r="O16" s="1" t="s">
        <v>1026</v>
      </c>
      <c r="P16" t="s">
        <v>245</v>
      </c>
      <c r="Q16" s="1" t="s">
        <v>657</v>
      </c>
      <c r="R16" s="56" t="s">
        <v>268</v>
      </c>
      <c r="S16" s="1" t="s">
        <v>269</v>
      </c>
      <c r="T16" s="1"/>
    </row>
    <row r="17" spans="1:20" x14ac:dyDescent="0.35">
      <c r="A17" s="54" t="s">
        <v>943</v>
      </c>
      <c r="B17" s="1" t="s">
        <v>944</v>
      </c>
      <c r="C17" s="54" t="s">
        <v>947</v>
      </c>
      <c r="D17" t="s">
        <v>943</v>
      </c>
      <c r="H17" s="196"/>
      <c r="I17" s="196"/>
      <c r="J17" s="196"/>
      <c r="K17" s="197" t="s">
        <v>945</v>
      </c>
      <c r="L17" s="197" t="s">
        <v>946</v>
      </c>
      <c r="M17" s="197" t="s">
        <v>944</v>
      </c>
      <c r="N17" s="196"/>
      <c r="O17" s="1" t="s">
        <v>1128</v>
      </c>
      <c r="P17" t="s">
        <v>350</v>
      </c>
      <c r="Q17" s="1" t="s">
        <v>246</v>
      </c>
      <c r="R17" s="56" t="s">
        <v>247</v>
      </c>
      <c r="S17" s="1" t="s">
        <v>248</v>
      </c>
      <c r="T17" s="1"/>
    </row>
    <row r="18" spans="1:20" x14ac:dyDescent="0.35">
      <c r="A18" s="54" t="s">
        <v>323</v>
      </c>
      <c r="B18" s="1" t="s">
        <v>324</v>
      </c>
      <c r="C18" s="54" t="s">
        <v>272</v>
      </c>
      <c r="D18" t="s">
        <v>658</v>
      </c>
      <c r="H18" s="196"/>
      <c r="I18" s="196"/>
      <c r="J18" s="196"/>
      <c r="K18" s="197" t="s">
        <v>659</v>
      </c>
      <c r="L18" s="197" t="s">
        <v>660</v>
      </c>
      <c r="M18" s="197" t="s">
        <v>661</v>
      </c>
      <c r="N18" s="196" t="s">
        <v>662</v>
      </c>
      <c r="O18" s="1" t="s">
        <v>1128</v>
      </c>
      <c r="P18" t="s">
        <v>350</v>
      </c>
      <c r="Q18" s="1" t="s">
        <v>267</v>
      </c>
      <c r="R18" s="56" t="s">
        <v>268</v>
      </c>
      <c r="S18" s="1" t="s">
        <v>269</v>
      </c>
      <c r="T18" s="1"/>
    </row>
    <row r="19" spans="1:20" x14ac:dyDescent="0.35">
      <c r="A19" s="54" t="s">
        <v>325</v>
      </c>
      <c r="B19" s="1" t="s">
        <v>326</v>
      </c>
      <c r="C19" s="54" t="s">
        <v>272</v>
      </c>
      <c r="D19" t="s">
        <v>327</v>
      </c>
      <c r="F19" t="s">
        <v>328</v>
      </c>
      <c r="G19" t="s">
        <v>329</v>
      </c>
      <c r="H19" s="196" t="s">
        <v>330</v>
      </c>
      <c r="I19" s="196"/>
      <c r="J19" s="196" t="s">
        <v>762</v>
      </c>
      <c r="K19" s="197" t="s">
        <v>328</v>
      </c>
      <c r="L19" s="197" t="s">
        <v>329</v>
      </c>
      <c r="M19" s="197" t="s">
        <v>330</v>
      </c>
      <c r="N19" s="196" t="s">
        <v>331</v>
      </c>
      <c r="O19" s="1" t="s">
        <v>1128</v>
      </c>
      <c r="P19" t="s">
        <v>350</v>
      </c>
      <c r="Q19" s="1" t="s">
        <v>246</v>
      </c>
      <c r="R19" s="56" t="s">
        <v>247</v>
      </c>
      <c r="S19" s="1" t="s">
        <v>248</v>
      </c>
      <c r="T19" s="1"/>
    </row>
    <row r="20" spans="1:20" x14ac:dyDescent="0.35">
      <c r="A20" s="54" t="s">
        <v>332</v>
      </c>
      <c r="B20" s="1" t="s">
        <v>303</v>
      </c>
      <c r="C20" s="54" t="s">
        <v>947</v>
      </c>
      <c r="D20" t="s">
        <v>333</v>
      </c>
      <c r="F20" t="s">
        <v>663</v>
      </c>
      <c r="G20" t="s">
        <v>664</v>
      </c>
      <c r="H20" s="196" t="s">
        <v>303</v>
      </c>
      <c r="I20" s="196"/>
      <c r="J20" s="196"/>
      <c r="K20" s="197"/>
      <c r="L20" s="197"/>
      <c r="M20" s="197"/>
      <c r="N20" s="196" t="s">
        <v>334</v>
      </c>
      <c r="O20" s="1" t="s">
        <v>1128</v>
      </c>
      <c r="P20" t="s">
        <v>350</v>
      </c>
      <c r="Q20" s="1" t="s">
        <v>246</v>
      </c>
      <c r="R20" s="56" t="s">
        <v>247</v>
      </c>
      <c r="S20" s="1" t="s">
        <v>248</v>
      </c>
      <c r="T20" s="1"/>
    </row>
    <row r="21" spans="1:20" x14ac:dyDescent="0.35">
      <c r="A21" s="54" t="s">
        <v>335</v>
      </c>
      <c r="B21" s="1" t="s">
        <v>29</v>
      </c>
      <c r="C21" s="54" t="s">
        <v>336</v>
      </c>
      <c r="D21" t="s">
        <v>337</v>
      </c>
      <c r="F21" t="s">
        <v>739</v>
      </c>
      <c r="G21" t="s">
        <v>740</v>
      </c>
      <c r="H21" s="196" t="s">
        <v>340</v>
      </c>
      <c r="I21" s="196"/>
      <c r="J21" s="196" t="s">
        <v>928</v>
      </c>
      <c r="K21" s="197" t="s">
        <v>338</v>
      </c>
      <c r="L21" s="197" t="s">
        <v>339</v>
      </c>
      <c r="M21" s="197" t="s">
        <v>340</v>
      </c>
      <c r="N21" s="196" t="s">
        <v>341</v>
      </c>
      <c r="O21" s="1" t="s">
        <v>1017</v>
      </c>
      <c r="P21" t="s">
        <v>666</v>
      </c>
      <c r="Q21" s="1" t="s">
        <v>246</v>
      </c>
      <c r="R21" s="56" t="s">
        <v>247</v>
      </c>
      <c r="S21" s="1" t="s">
        <v>248</v>
      </c>
      <c r="T21" s="1" t="s">
        <v>1020</v>
      </c>
    </row>
    <row r="22" spans="1:20" x14ac:dyDescent="0.35">
      <c r="A22" s="54" t="s">
        <v>1136</v>
      </c>
      <c r="B22" s="1" t="s">
        <v>278</v>
      </c>
      <c r="C22" s="54" t="s">
        <v>272</v>
      </c>
      <c r="D22" t="s">
        <v>1137</v>
      </c>
      <c r="F22" t="s">
        <v>1138</v>
      </c>
      <c r="G22" t="s">
        <v>1139</v>
      </c>
      <c r="H22" s="196"/>
      <c r="I22" s="196"/>
      <c r="J22" s="196" t="s">
        <v>1059</v>
      </c>
      <c r="K22" s="197"/>
      <c r="L22" s="197"/>
      <c r="M22" s="197"/>
      <c r="N22" s="196"/>
      <c r="O22" s="1" t="s">
        <v>1022</v>
      </c>
      <c r="P22" t="s">
        <v>350</v>
      </c>
      <c r="Q22" s="1" t="s">
        <v>246</v>
      </c>
      <c r="R22" s="56" t="s">
        <v>268</v>
      </c>
      <c r="S22" s="1" t="s">
        <v>269</v>
      </c>
      <c r="T22" s="1"/>
    </row>
    <row r="23" spans="1:20" x14ac:dyDescent="0.35">
      <c r="A23" s="54" t="s">
        <v>342</v>
      </c>
      <c r="B23" s="1" t="s">
        <v>343</v>
      </c>
      <c r="C23" s="54" t="s">
        <v>272</v>
      </c>
      <c r="D23" t="s">
        <v>344</v>
      </c>
      <c r="H23" s="196"/>
      <c r="I23" s="196"/>
      <c r="J23" s="196"/>
      <c r="K23" s="197" t="s">
        <v>667</v>
      </c>
      <c r="L23" s="197" t="s">
        <v>668</v>
      </c>
      <c r="M23" s="197"/>
      <c r="N23" s="196" t="s">
        <v>345</v>
      </c>
      <c r="O23" s="1" t="s">
        <v>1128</v>
      </c>
      <c r="P23" t="s">
        <v>669</v>
      </c>
      <c r="Q23" s="1" t="s">
        <v>246</v>
      </c>
      <c r="R23" s="56" t="s">
        <v>247</v>
      </c>
      <c r="S23" s="1" t="s">
        <v>248</v>
      </c>
      <c r="T23" s="1"/>
    </row>
    <row r="24" spans="1:20" x14ac:dyDescent="0.35">
      <c r="A24" s="54" t="s">
        <v>1140</v>
      </c>
      <c r="B24" s="1" t="s">
        <v>372</v>
      </c>
      <c r="C24" s="54" t="s">
        <v>637</v>
      </c>
      <c r="D24" t="s">
        <v>1141</v>
      </c>
      <c r="F24" t="s">
        <v>1142</v>
      </c>
      <c r="G24" t="s">
        <v>1143</v>
      </c>
      <c r="H24" s="196" t="s">
        <v>372</v>
      </c>
      <c r="I24" s="196"/>
      <c r="J24" s="196"/>
      <c r="K24" s="197"/>
      <c r="L24" s="197"/>
      <c r="M24" s="197"/>
      <c r="N24" s="196"/>
      <c r="T24" s="1"/>
    </row>
    <row r="25" spans="1:20" x14ac:dyDescent="0.35">
      <c r="A25" s="54" t="s">
        <v>346</v>
      </c>
      <c r="B25" s="1" t="s">
        <v>347</v>
      </c>
      <c r="C25" s="54" t="s">
        <v>637</v>
      </c>
      <c r="H25" s="196"/>
      <c r="I25" s="196"/>
      <c r="J25" s="196"/>
      <c r="K25" s="197"/>
      <c r="L25" s="197"/>
      <c r="M25" s="197"/>
      <c r="N25" s="196"/>
      <c r="T25" s="1"/>
    </row>
    <row r="26" spans="1:20" x14ac:dyDescent="0.35">
      <c r="A26" s="54" t="s">
        <v>348</v>
      </c>
      <c r="B26" s="1" t="s">
        <v>347</v>
      </c>
      <c r="C26" s="54" t="s">
        <v>637</v>
      </c>
      <c r="H26" s="196"/>
      <c r="I26" s="196"/>
      <c r="J26" s="196"/>
      <c r="K26"/>
      <c r="L26"/>
      <c r="M26" s="196"/>
      <c r="N26" s="196"/>
      <c r="T26" s="1"/>
    </row>
    <row r="27" spans="1:20" x14ac:dyDescent="0.35">
      <c r="A27" s="54" t="s">
        <v>670</v>
      </c>
      <c r="B27" s="1" t="s">
        <v>629</v>
      </c>
      <c r="C27" s="54" t="s">
        <v>947</v>
      </c>
      <c r="D27" t="s">
        <v>630</v>
      </c>
      <c r="F27" t="s">
        <v>631</v>
      </c>
      <c r="G27" t="s">
        <v>632</v>
      </c>
      <c r="H27" s="196" t="s">
        <v>629</v>
      </c>
      <c r="I27" s="196"/>
      <c r="J27" s="196" t="s">
        <v>763</v>
      </c>
      <c r="K27" s="197" t="s">
        <v>631</v>
      </c>
      <c r="L27" s="197" t="s">
        <v>632</v>
      </c>
      <c r="M27" s="197" t="s">
        <v>629</v>
      </c>
      <c r="N27" s="196"/>
      <c r="O27" s="1" t="s">
        <v>1128</v>
      </c>
      <c r="P27" t="s">
        <v>350</v>
      </c>
      <c r="Q27" s="1" t="s">
        <v>246</v>
      </c>
      <c r="R27" s="56" t="s">
        <v>268</v>
      </c>
      <c r="S27" s="1" t="s">
        <v>269</v>
      </c>
      <c r="T27" s="1"/>
    </row>
    <row r="28" spans="1:20" x14ac:dyDescent="0.35">
      <c r="A28" s="54" t="s">
        <v>349</v>
      </c>
      <c r="B28" s="1" t="s">
        <v>961</v>
      </c>
      <c r="C28" s="54" t="s">
        <v>947</v>
      </c>
      <c r="D28" t="s">
        <v>1125</v>
      </c>
      <c r="F28" t="s">
        <v>671</v>
      </c>
      <c r="G28" t="s">
        <v>672</v>
      </c>
      <c r="H28" s="55" t="s">
        <v>1207</v>
      </c>
      <c r="I28" s="196"/>
      <c r="J28" s="55" t="s">
        <v>674</v>
      </c>
      <c r="K28" s="197" t="s">
        <v>671</v>
      </c>
      <c r="L28" s="269" t="s">
        <v>672</v>
      </c>
      <c r="M28" s="197" t="s">
        <v>673</v>
      </c>
      <c r="N28" s="196"/>
      <c r="O28" s="1" t="s">
        <v>1019</v>
      </c>
      <c r="P28" t="s">
        <v>350</v>
      </c>
      <c r="Q28" s="1" t="s">
        <v>246</v>
      </c>
      <c r="R28" s="56" t="s">
        <v>268</v>
      </c>
      <c r="S28" s="1" t="s">
        <v>269</v>
      </c>
      <c r="T28" s="1"/>
    </row>
    <row r="29" spans="1:20" x14ac:dyDescent="0.35">
      <c r="A29" s="54" t="s">
        <v>351</v>
      </c>
      <c r="B29" s="1" t="s">
        <v>322</v>
      </c>
      <c r="C29" s="54" t="s">
        <v>637</v>
      </c>
      <c r="D29" s="54"/>
      <c r="H29" s="196"/>
      <c r="I29" s="196"/>
      <c r="J29" s="196"/>
      <c r="K29" s="197"/>
      <c r="L29" s="197"/>
      <c r="M29" s="197"/>
      <c r="N29" s="196"/>
      <c r="T29" s="1"/>
    </row>
    <row r="30" spans="1:20" x14ac:dyDescent="0.35">
      <c r="A30" s="54" t="s">
        <v>352</v>
      </c>
      <c r="B30" s="1" t="s">
        <v>353</v>
      </c>
      <c r="C30" s="54" t="s">
        <v>272</v>
      </c>
      <c r="D30" t="s">
        <v>675</v>
      </c>
      <c r="F30" t="s">
        <v>676</v>
      </c>
      <c r="G30" t="s">
        <v>967</v>
      </c>
      <c r="H30" s="196" t="s">
        <v>677</v>
      </c>
      <c r="I30" s="196"/>
      <c r="J30" s="196" t="s">
        <v>954</v>
      </c>
      <c r="K30" s="197" t="s">
        <v>676</v>
      </c>
      <c r="L30" s="197" t="s">
        <v>967</v>
      </c>
      <c r="M30" s="269"/>
      <c r="N30" s="197" t="s">
        <v>677</v>
      </c>
      <c r="O30" s="1" t="s">
        <v>955</v>
      </c>
      <c r="P30" t="s">
        <v>245</v>
      </c>
      <c r="Q30" s="1" t="s">
        <v>267</v>
      </c>
      <c r="R30" s="56" t="s">
        <v>268</v>
      </c>
      <c r="S30" s="1" t="s">
        <v>269</v>
      </c>
      <c r="T30" s="409"/>
    </row>
    <row r="31" spans="1:20" x14ac:dyDescent="0.35">
      <c r="A31" s="54" t="s">
        <v>354</v>
      </c>
      <c r="B31" s="1" t="s">
        <v>355</v>
      </c>
      <c r="C31" s="54" t="s">
        <v>637</v>
      </c>
      <c r="H31" s="196"/>
      <c r="I31" s="196"/>
      <c r="J31" s="196"/>
      <c r="K31" s="197"/>
      <c r="L31" s="197"/>
      <c r="M31" s="197"/>
      <c r="N31" s="196"/>
      <c r="T31" s="1"/>
    </row>
    <row r="32" spans="1:20" x14ac:dyDescent="0.35">
      <c r="A32" s="54" t="s">
        <v>356</v>
      </c>
      <c r="B32" s="1" t="s">
        <v>357</v>
      </c>
      <c r="C32" s="54" t="s">
        <v>947</v>
      </c>
      <c r="D32" t="s">
        <v>678</v>
      </c>
      <c r="H32" s="196"/>
      <c r="I32" s="196"/>
      <c r="J32" s="196"/>
      <c r="K32" s="197" t="s">
        <v>679</v>
      </c>
      <c r="L32" s="197" t="s">
        <v>680</v>
      </c>
      <c r="M32" s="197"/>
      <c r="N32" s="196" t="s">
        <v>785</v>
      </c>
      <c r="O32" s="1" t="s">
        <v>1128</v>
      </c>
      <c r="P32" t="s">
        <v>350</v>
      </c>
      <c r="Q32" s="1" t="s">
        <v>246</v>
      </c>
      <c r="R32" s="56" t="s">
        <v>268</v>
      </c>
      <c r="S32" s="1" t="s">
        <v>269</v>
      </c>
      <c r="T32" s="1"/>
    </row>
    <row r="33" spans="1:20" x14ac:dyDescent="0.35">
      <c r="A33" s="54" t="s">
        <v>769</v>
      </c>
      <c r="B33" s="1" t="s">
        <v>322</v>
      </c>
      <c r="C33" s="54" t="s">
        <v>947</v>
      </c>
      <c r="D33" t="s">
        <v>681</v>
      </c>
      <c r="F33" t="s">
        <v>770</v>
      </c>
      <c r="G33" t="s">
        <v>771</v>
      </c>
      <c r="H33" s="196" t="s">
        <v>322</v>
      </c>
      <c r="I33" s="196"/>
      <c r="J33" s="196" t="s">
        <v>772</v>
      </c>
      <c r="K33" s="197" t="s">
        <v>682</v>
      </c>
      <c r="L33" s="197" t="s">
        <v>683</v>
      </c>
      <c r="M33" s="197"/>
      <c r="N33" s="196" t="s">
        <v>358</v>
      </c>
      <c r="O33" s="1" t="s">
        <v>1016</v>
      </c>
      <c r="P33" t="s">
        <v>360</v>
      </c>
      <c r="Q33" s="1" t="s">
        <v>246</v>
      </c>
      <c r="R33" s="56" t="s">
        <v>247</v>
      </c>
      <c r="S33" s="1" t="s">
        <v>248</v>
      </c>
      <c r="T33" s="1" t="s">
        <v>1021</v>
      </c>
    </row>
    <row r="34" spans="1:20" x14ac:dyDescent="0.35">
      <c r="A34" s="54" t="s">
        <v>764</v>
      </c>
      <c r="B34" s="1" t="s">
        <v>322</v>
      </c>
      <c r="C34" s="54" t="s">
        <v>947</v>
      </c>
      <c r="D34" t="s">
        <v>681</v>
      </c>
      <c r="F34" t="s">
        <v>765</v>
      </c>
      <c r="G34" t="s">
        <v>766</v>
      </c>
      <c r="H34" s="196" t="s">
        <v>322</v>
      </c>
      <c r="I34" s="196"/>
      <c r="J34" s="196" t="s">
        <v>767</v>
      </c>
      <c r="K34" s="197" t="s">
        <v>682</v>
      </c>
      <c r="L34" s="197" t="s">
        <v>683</v>
      </c>
      <c r="M34" s="197"/>
      <c r="N34" s="196" t="s">
        <v>358</v>
      </c>
      <c r="O34" s="1" t="s">
        <v>1016</v>
      </c>
      <c r="P34" t="s">
        <v>768</v>
      </c>
      <c r="Q34" s="1" t="s">
        <v>246</v>
      </c>
      <c r="R34" s="56" t="s">
        <v>247</v>
      </c>
      <c r="S34" s="1" t="s">
        <v>248</v>
      </c>
      <c r="T34" s="1" t="s">
        <v>1021</v>
      </c>
    </row>
    <row r="35" spans="1:20" x14ac:dyDescent="0.35">
      <c r="A35" s="54" t="s">
        <v>791</v>
      </c>
      <c r="B35" s="1" t="s">
        <v>792</v>
      </c>
      <c r="C35" s="54" t="s">
        <v>272</v>
      </c>
      <c r="D35" t="s">
        <v>1144</v>
      </c>
      <c r="F35" t="s">
        <v>1145</v>
      </c>
      <c r="G35" t="s">
        <v>1146</v>
      </c>
      <c r="H35" s="196" t="s">
        <v>1147</v>
      </c>
      <c r="I35" s="196"/>
      <c r="J35" s="196"/>
      <c r="K35" s="197"/>
      <c r="L35" s="197"/>
      <c r="M35" s="197"/>
      <c r="N35" s="196"/>
      <c r="O35" s="1" t="s">
        <v>1022</v>
      </c>
      <c r="T35" s="1"/>
    </row>
    <row r="36" spans="1:20" x14ac:dyDescent="0.35">
      <c r="A36" s="54" t="s">
        <v>361</v>
      </c>
      <c r="B36" s="1" t="s">
        <v>362</v>
      </c>
      <c r="C36" s="54" t="s">
        <v>336</v>
      </c>
      <c r="D36" t="s">
        <v>1148</v>
      </c>
      <c r="H36" s="196"/>
      <c r="I36" s="196"/>
      <c r="J36" s="196"/>
      <c r="K36" s="197" t="s">
        <v>684</v>
      </c>
      <c r="L36" s="197" t="s">
        <v>685</v>
      </c>
      <c r="M36" s="197"/>
      <c r="N36" s="196" t="s">
        <v>686</v>
      </c>
      <c r="O36" s="1" t="s">
        <v>1128</v>
      </c>
      <c r="P36" t="s">
        <v>687</v>
      </c>
      <c r="Q36" s="1" t="s">
        <v>246</v>
      </c>
      <c r="R36" s="56" t="s">
        <v>247</v>
      </c>
      <c r="S36" s="1" t="s">
        <v>248</v>
      </c>
      <c r="T36" s="1"/>
    </row>
    <row r="37" spans="1:20" x14ac:dyDescent="0.35">
      <c r="A37" s="54" t="s">
        <v>1224</v>
      </c>
      <c r="B37" s="1" t="s">
        <v>318</v>
      </c>
      <c r="C37" s="54" t="s">
        <v>637</v>
      </c>
      <c r="H37" s="55"/>
      <c r="I37" s="55" t="s">
        <v>318</v>
      </c>
      <c r="J37" s="55"/>
      <c r="K37" s="269"/>
      <c r="L37" s="269"/>
      <c r="M37" s="269" t="s">
        <v>318</v>
      </c>
      <c r="N37" s="55"/>
      <c r="O37" s="1" t="s">
        <v>637</v>
      </c>
      <c r="P37" t="s">
        <v>637</v>
      </c>
      <c r="Q37" s="1" t="s">
        <v>246</v>
      </c>
      <c r="R37" s="56" t="s">
        <v>268</v>
      </c>
      <c r="S37" s="1" t="s">
        <v>269</v>
      </c>
      <c r="T37" s="1" t="s">
        <v>949</v>
      </c>
    </row>
    <row r="38" spans="1:20" x14ac:dyDescent="0.35">
      <c r="A38" s="54" t="s">
        <v>724</v>
      </c>
      <c r="B38" s="1" t="s">
        <v>367</v>
      </c>
      <c r="D38" t="s">
        <v>948</v>
      </c>
      <c r="E38" t="s">
        <v>949</v>
      </c>
      <c r="F38" t="s">
        <v>950</v>
      </c>
      <c r="G38" t="s">
        <v>951</v>
      </c>
      <c r="H38" s="196" t="s">
        <v>952</v>
      </c>
      <c r="I38" s="196"/>
      <c r="J38" s="196"/>
      <c r="K38" s="197"/>
      <c r="L38" s="197"/>
      <c r="M38" s="197"/>
      <c r="N38" s="196"/>
      <c r="T38" s="1"/>
    </row>
    <row r="39" spans="1:20" x14ac:dyDescent="0.35">
      <c r="A39" s="54" t="s">
        <v>363</v>
      </c>
      <c r="B39" s="1" t="s">
        <v>343</v>
      </c>
      <c r="C39" s="54" t="s">
        <v>637</v>
      </c>
      <c r="H39" s="196"/>
      <c r="I39" s="196"/>
      <c r="J39" s="196"/>
      <c r="K39" s="197"/>
      <c r="L39" s="197"/>
      <c r="M39" s="197"/>
      <c r="N39" s="196"/>
      <c r="T39" s="1"/>
    </row>
    <row r="40" spans="1:20" x14ac:dyDescent="0.35">
      <c r="A40" s="54" t="s">
        <v>364</v>
      </c>
      <c r="B40" s="1" t="s">
        <v>365</v>
      </c>
      <c r="C40" s="54" t="s">
        <v>637</v>
      </c>
      <c r="H40" s="196"/>
      <c r="I40" s="196"/>
      <c r="J40" s="196"/>
      <c r="K40" s="197"/>
      <c r="L40" s="197"/>
      <c r="M40" s="197"/>
      <c r="N40" s="196"/>
      <c r="T40" s="1"/>
    </row>
    <row r="41" spans="1:20" x14ac:dyDescent="0.35">
      <c r="A41" s="54" t="s">
        <v>716</v>
      </c>
      <c r="B41" s="1" t="s">
        <v>717</v>
      </c>
      <c r="C41" s="54" t="s">
        <v>272</v>
      </c>
      <c r="D41" t="s">
        <v>720</v>
      </c>
      <c r="H41" s="55"/>
      <c r="I41" s="196"/>
      <c r="J41" s="55"/>
      <c r="K41" s="197"/>
      <c r="L41" s="197"/>
      <c r="M41" s="197"/>
      <c r="N41" s="196"/>
      <c r="T41" s="1"/>
    </row>
    <row r="42" spans="1:20" x14ac:dyDescent="0.35">
      <c r="A42" s="54" t="s">
        <v>718</v>
      </c>
      <c r="B42" s="1" t="s">
        <v>719</v>
      </c>
      <c r="C42" s="54" t="s">
        <v>272</v>
      </c>
      <c r="D42" t="s">
        <v>720</v>
      </c>
      <c r="H42" s="196"/>
      <c r="I42" s="196"/>
      <c r="J42" s="196"/>
      <c r="K42" s="197"/>
      <c r="L42" s="197"/>
      <c r="M42" s="197"/>
      <c r="N42" s="196"/>
      <c r="T42" s="1"/>
    </row>
    <row r="43" spans="1:20" x14ac:dyDescent="0.35">
      <c r="A43" s="54" t="s">
        <v>714</v>
      </c>
      <c r="B43" s="1" t="s">
        <v>715</v>
      </c>
      <c r="C43" s="54" t="s">
        <v>272</v>
      </c>
      <c r="D43" t="s">
        <v>720</v>
      </c>
      <c r="F43" t="s">
        <v>722</v>
      </c>
      <c r="G43" t="s">
        <v>723</v>
      </c>
      <c r="H43" s="55" t="s">
        <v>1205</v>
      </c>
      <c r="I43" s="196"/>
      <c r="J43" s="196" t="s">
        <v>1074</v>
      </c>
      <c r="K43" s="269" t="s">
        <v>722</v>
      </c>
      <c r="L43" s="269" t="s">
        <v>723</v>
      </c>
      <c r="M43" s="55" t="s">
        <v>1205</v>
      </c>
      <c r="N43" t="s">
        <v>721</v>
      </c>
      <c r="O43" s="1" t="s">
        <v>1128</v>
      </c>
      <c r="P43" t="s">
        <v>350</v>
      </c>
      <c r="Q43" s="1" t="s">
        <v>267</v>
      </c>
      <c r="R43" s="56" t="s">
        <v>268</v>
      </c>
      <c r="S43" s="1" t="s">
        <v>269</v>
      </c>
      <c r="T43" s="1"/>
    </row>
    <row r="44" spans="1:20" x14ac:dyDescent="0.35">
      <c r="A44" s="54" t="s">
        <v>366</v>
      </c>
      <c r="B44" s="1" t="s">
        <v>367</v>
      </c>
      <c r="C44" s="54" t="s">
        <v>336</v>
      </c>
      <c r="D44" t="s">
        <v>688</v>
      </c>
      <c r="H44" s="196"/>
      <c r="I44" s="196"/>
      <c r="J44" s="196"/>
      <c r="K44" s="197" t="s">
        <v>689</v>
      </c>
      <c r="L44" s="197" t="s">
        <v>690</v>
      </c>
      <c r="M44" s="197"/>
      <c r="N44" s="196" t="s">
        <v>691</v>
      </c>
      <c r="O44" s="1" t="s">
        <v>1128</v>
      </c>
      <c r="P44" t="s">
        <v>350</v>
      </c>
      <c r="Q44" s="1" t="s">
        <v>246</v>
      </c>
      <c r="R44" s="56" t="s">
        <v>247</v>
      </c>
      <c r="S44" s="1" t="s">
        <v>248</v>
      </c>
      <c r="T44" s="1"/>
    </row>
    <row r="45" spans="1:20" x14ac:dyDescent="0.35">
      <c r="A45" s="54" t="s">
        <v>368</v>
      </c>
      <c r="B45" s="1" t="s">
        <v>957</v>
      </c>
      <c r="C45" s="54" t="s">
        <v>272</v>
      </c>
      <c r="D45" t="s">
        <v>692</v>
      </c>
      <c r="F45" t="s">
        <v>773</v>
      </c>
      <c r="G45" t="s">
        <v>774</v>
      </c>
      <c r="H45" s="196" t="s">
        <v>775</v>
      </c>
      <c r="I45" s="196"/>
      <c r="J45" s="196" t="s">
        <v>776</v>
      </c>
      <c r="K45" s="197" t="s">
        <v>962</v>
      </c>
      <c r="L45" s="197" t="s">
        <v>963</v>
      </c>
      <c r="M45" s="197" t="s">
        <v>964</v>
      </c>
      <c r="N45" s="196" t="s">
        <v>693</v>
      </c>
      <c r="O45" s="1" t="s">
        <v>1016</v>
      </c>
      <c r="P45" t="s">
        <v>350</v>
      </c>
      <c r="Q45" s="1" t="s">
        <v>657</v>
      </c>
      <c r="R45" s="56" t="s">
        <v>268</v>
      </c>
      <c r="S45" s="1" t="s">
        <v>269</v>
      </c>
      <c r="T45" s="1"/>
    </row>
    <row r="46" spans="1:20" x14ac:dyDescent="0.35">
      <c r="A46" s="54" t="s">
        <v>369</v>
      </c>
      <c r="B46" s="1" t="s">
        <v>355</v>
      </c>
      <c r="C46" s="54" t="s">
        <v>947</v>
      </c>
      <c r="D46" t="s">
        <v>694</v>
      </c>
      <c r="F46" t="s">
        <v>695</v>
      </c>
      <c r="G46" t="s">
        <v>696</v>
      </c>
      <c r="H46" s="196"/>
      <c r="I46" s="196"/>
      <c r="J46" s="196" t="s">
        <v>777</v>
      </c>
      <c r="K46" s="197" t="s">
        <v>778</v>
      </c>
      <c r="L46" s="197" t="s">
        <v>779</v>
      </c>
      <c r="M46" s="197"/>
      <c r="N46" s="196" t="s">
        <v>370</v>
      </c>
      <c r="O46" s="1" t="s">
        <v>1128</v>
      </c>
      <c r="P46" t="s">
        <v>350</v>
      </c>
      <c r="Q46" s="1" t="s">
        <v>246</v>
      </c>
      <c r="R46" s="56" t="s">
        <v>247</v>
      </c>
      <c r="S46" s="1" t="s">
        <v>248</v>
      </c>
      <c r="T46" s="1" t="s">
        <v>949</v>
      </c>
    </row>
    <row r="47" spans="1:20" x14ac:dyDescent="0.35">
      <c r="A47" s="54" t="s">
        <v>371</v>
      </c>
      <c r="B47" s="1" t="s">
        <v>372</v>
      </c>
      <c r="C47" s="54" t="s">
        <v>947</v>
      </c>
      <c r="D47" t="s">
        <v>697</v>
      </c>
      <c r="H47" s="196"/>
      <c r="I47" s="196"/>
      <c r="J47" s="196"/>
      <c r="K47" s="197" t="s">
        <v>698</v>
      </c>
      <c r="L47" s="197" t="s">
        <v>699</v>
      </c>
      <c r="M47" s="197" t="s">
        <v>700</v>
      </c>
      <c r="N47" s="196" t="s">
        <v>701</v>
      </c>
      <c r="O47" s="1" t="s">
        <v>1128</v>
      </c>
      <c r="P47" t="s">
        <v>350</v>
      </c>
      <c r="Q47" s="1" t="s">
        <v>246</v>
      </c>
      <c r="R47" s="56" t="s">
        <v>247</v>
      </c>
      <c r="S47" s="1" t="s">
        <v>248</v>
      </c>
      <c r="T47" s="1"/>
    </row>
    <row r="48" spans="1:20" x14ac:dyDescent="0.35">
      <c r="A48" s="54" t="s">
        <v>373</v>
      </c>
      <c r="B48" s="1" t="s">
        <v>374</v>
      </c>
      <c r="C48" s="54" t="s">
        <v>637</v>
      </c>
      <c r="H48" s="196"/>
      <c r="I48" s="196"/>
      <c r="J48" s="196"/>
      <c r="K48" s="197"/>
      <c r="L48" s="197"/>
      <c r="M48" s="197"/>
      <c r="N48" s="196"/>
      <c r="T48" s="1"/>
    </row>
    <row r="49" spans="1:20" x14ac:dyDescent="0.35">
      <c r="A49" s="54" t="s">
        <v>375</v>
      </c>
      <c r="B49" s="1" t="s">
        <v>376</v>
      </c>
      <c r="C49" s="54" t="s">
        <v>272</v>
      </c>
      <c r="D49" t="s">
        <v>702</v>
      </c>
      <c r="E49" t="s">
        <v>703</v>
      </c>
      <c r="F49" t="s">
        <v>703</v>
      </c>
      <c r="G49" s="55" t="s">
        <v>704</v>
      </c>
      <c r="H49" s="55" t="s">
        <v>1211</v>
      </c>
      <c r="I49" s="55"/>
      <c r="J49" s="55" t="s">
        <v>1203</v>
      </c>
      <c r="K49" s="269" t="s">
        <v>704</v>
      </c>
      <c r="L49" s="269" t="s">
        <v>1211</v>
      </c>
      <c r="M49" s="269"/>
      <c r="N49" s="55" t="s">
        <v>1210</v>
      </c>
      <c r="O49" s="1" t="s">
        <v>705</v>
      </c>
      <c r="P49" t="s">
        <v>350</v>
      </c>
      <c r="Q49" s="1" t="s">
        <v>246</v>
      </c>
      <c r="R49" s="56" t="s">
        <v>268</v>
      </c>
      <c r="S49" s="1" t="s">
        <v>269</v>
      </c>
      <c r="T49" s="1" t="s">
        <v>949</v>
      </c>
    </row>
    <row r="50" spans="1:20" x14ac:dyDescent="0.35">
      <c r="A50" s="54" t="s">
        <v>377</v>
      </c>
      <c r="B50" s="1" t="s">
        <v>378</v>
      </c>
      <c r="C50" s="54" t="s">
        <v>947</v>
      </c>
      <c r="D50" t="s">
        <v>706</v>
      </c>
      <c r="H50" s="55"/>
      <c r="I50" s="55"/>
      <c r="J50" s="55"/>
      <c r="K50" s="269" t="s">
        <v>707</v>
      </c>
      <c r="L50" s="269" t="s">
        <v>708</v>
      </c>
      <c r="M50" s="269" t="s">
        <v>709</v>
      </c>
      <c r="N50" s="55" t="s">
        <v>710</v>
      </c>
      <c r="O50" s="1" t="s">
        <v>1016</v>
      </c>
      <c r="P50" t="s">
        <v>711</v>
      </c>
      <c r="Q50" s="1" t="s">
        <v>246</v>
      </c>
      <c r="R50" s="56" t="s">
        <v>247</v>
      </c>
      <c r="S50" s="1" t="s">
        <v>248</v>
      </c>
      <c r="T50" s="1"/>
    </row>
    <row r="51" spans="1:20" x14ac:dyDescent="0.35">
      <c r="B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</row>
    <row r="52" spans="1:20" x14ac:dyDescent="0.35">
      <c r="I52" t="str">
        <f t="shared" ref="I52:N52" si="0">UPPER(I35)</f>
        <v/>
      </c>
      <c r="J52" t="str">
        <f t="shared" si="0"/>
        <v/>
      </c>
      <c r="K52" t="str">
        <f t="shared" si="0"/>
        <v/>
      </c>
      <c r="L52" t="str">
        <f t="shared" si="0"/>
        <v/>
      </c>
      <c r="M52" t="str">
        <f t="shared" si="0"/>
        <v/>
      </c>
      <c r="N52" t="str">
        <f t="shared" si="0"/>
        <v/>
      </c>
      <c r="O52"/>
      <c r="T52" s="1"/>
    </row>
    <row r="53" spans="1:20" x14ac:dyDescent="0.35">
      <c r="H53" s="196"/>
      <c r="I53" s="196"/>
      <c r="J53" s="196"/>
      <c r="K53" s="197"/>
      <c r="L53" s="197"/>
      <c r="M53" s="197"/>
      <c r="N53" s="196"/>
      <c r="T53" s="1"/>
    </row>
    <row r="54" spans="1:20" x14ac:dyDescent="0.35">
      <c r="H54" s="196"/>
      <c r="I54" s="196"/>
      <c r="J54" s="196"/>
      <c r="K54" s="197"/>
      <c r="L54" s="197"/>
      <c r="M54" s="197"/>
      <c r="N54" s="196"/>
      <c r="T54" s="1"/>
    </row>
    <row r="55" spans="1:20" x14ac:dyDescent="0.35">
      <c r="H55" s="196"/>
      <c r="I55" s="196"/>
      <c r="J55" s="196"/>
      <c r="K55" s="197"/>
      <c r="L55" s="197"/>
      <c r="M55" s="197"/>
      <c r="N55" s="196"/>
      <c r="T55" s="1"/>
    </row>
    <row r="56" spans="1:20" x14ac:dyDescent="0.35">
      <c r="H56" s="196"/>
      <c r="I56" s="196"/>
      <c r="J56" s="196"/>
      <c r="K56" s="197"/>
      <c r="L56" s="197"/>
      <c r="M56" s="197"/>
      <c r="N56" s="196"/>
      <c r="T56" s="1"/>
    </row>
    <row r="57" spans="1:20" x14ac:dyDescent="0.35">
      <c r="A57"/>
      <c r="B57"/>
      <c r="C57"/>
      <c r="K57"/>
      <c r="L57"/>
      <c r="M57"/>
      <c r="O57"/>
      <c r="Q57"/>
      <c r="R57"/>
      <c r="S57"/>
    </row>
    <row r="58" spans="1:20" x14ac:dyDescent="0.35">
      <c r="H58" s="196"/>
      <c r="I58" s="196"/>
      <c r="J58" s="196"/>
      <c r="K58" s="197"/>
      <c r="L58" s="197"/>
      <c r="M58" s="197"/>
      <c r="N58" s="196"/>
      <c r="T58" s="1"/>
    </row>
    <row r="59" spans="1:20" x14ac:dyDescent="0.35">
      <c r="H59" s="196"/>
      <c r="I59" s="196"/>
      <c r="J59" s="196"/>
      <c r="K59" s="197"/>
      <c r="L59" s="197"/>
      <c r="M59" s="197"/>
      <c r="N59" s="196"/>
      <c r="T59" s="1"/>
    </row>
    <row r="60" spans="1:20" x14ac:dyDescent="0.35">
      <c r="H60" s="196"/>
      <c r="I60" s="196"/>
      <c r="J60" s="196"/>
      <c r="K60" s="197"/>
      <c r="L60" s="197"/>
      <c r="M60" s="197"/>
      <c r="N60" s="196"/>
      <c r="T60" s="1"/>
    </row>
    <row r="61" spans="1:20" x14ac:dyDescent="0.35">
      <c r="H61" s="196"/>
      <c r="I61" s="196"/>
      <c r="J61" s="196"/>
      <c r="K61" s="197"/>
      <c r="L61" s="197"/>
      <c r="M61" s="197"/>
      <c r="N61" s="196"/>
      <c r="T61" s="1"/>
    </row>
    <row r="62" spans="1:20" x14ac:dyDescent="0.35">
      <c r="H62" s="196"/>
      <c r="I62" s="196"/>
      <c r="J62" s="196"/>
      <c r="K62" s="197"/>
      <c r="L62" s="197"/>
      <c r="M62" s="197"/>
      <c r="N62" s="196"/>
      <c r="T62" s="1"/>
    </row>
    <row r="63" spans="1:20" x14ac:dyDescent="0.35">
      <c r="H63" s="196"/>
      <c r="I63" s="196"/>
      <c r="J63" s="196"/>
      <c r="K63" s="197"/>
      <c r="L63" s="197"/>
      <c r="M63" s="197"/>
      <c r="N63" s="196"/>
      <c r="T63" s="1"/>
    </row>
    <row r="64" spans="1:20" x14ac:dyDescent="0.35">
      <c r="H64" s="196"/>
      <c r="I64" s="196"/>
      <c r="J64" s="196"/>
      <c r="K64" s="197"/>
      <c r="L64" s="197"/>
      <c r="M64" s="197"/>
      <c r="N64" s="196"/>
      <c r="T64" s="1"/>
    </row>
    <row r="65" spans="8:20" x14ac:dyDescent="0.35">
      <c r="H65" s="196"/>
      <c r="I65" s="196"/>
      <c r="J65" s="196"/>
      <c r="K65" s="197"/>
      <c r="L65" s="197"/>
      <c r="M65" s="197"/>
      <c r="N65" s="196"/>
      <c r="T65" s="1"/>
    </row>
    <row r="66" spans="8:20" x14ac:dyDescent="0.35">
      <c r="H66" s="196"/>
      <c r="I66" s="196"/>
      <c r="J66" s="196"/>
      <c r="K66" s="197"/>
      <c r="L66" s="197"/>
      <c r="M66" s="197"/>
      <c r="N66" s="196"/>
      <c r="T66" s="1"/>
    </row>
    <row r="67" spans="8:20" x14ac:dyDescent="0.35">
      <c r="H67" s="196"/>
      <c r="I67" s="196"/>
      <c r="J67" s="196"/>
      <c r="K67" s="197"/>
      <c r="L67" s="197"/>
      <c r="M67" s="197"/>
      <c r="N67" s="196"/>
      <c r="T67" s="1"/>
    </row>
    <row r="68" spans="8:20" x14ac:dyDescent="0.35">
      <c r="H68" s="196"/>
      <c r="I68" s="196"/>
      <c r="J68" s="196"/>
      <c r="K68" s="197"/>
      <c r="L68" s="197"/>
      <c r="M68" s="197"/>
      <c r="N68" s="196"/>
      <c r="T68" s="1"/>
    </row>
    <row r="69" spans="8:20" x14ac:dyDescent="0.35">
      <c r="H69" s="196"/>
      <c r="I69" s="196"/>
      <c r="J69" s="196"/>
      <c r="K69" s="197"/>
      <c r="L69" s="197"/>
      <c r="M69" s="197"/>
      <c r="N69" s="196"/>
      <c r="T69" s="1"/>
    </row>
    <row r="70" spans="8:20" x14ac:dyDescent="0.35">
      <c r="H70" s="196"/>
      <c r="I70" s="196"/>
      <c r="J70" s="196"/>
      <c r="K70" s="197"/>
      <c r="L70" s="197"/>
      <c r="M70" s="197"/>
      <c r="N70" s="196"/>
      <c r="T70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7"/>
  <dimension ref="A1:S62"/>
  <sheetViews>
    <sheetView workbookViewId="0">
      <selection activeCell="O23" sqref="O23"/>
    </sheetView>
  </sheetViews>
  <sheetFormatPr defaultRowHeight="14.5" x14ac:dyDescent="0.35"/>
  <cols>
    <col min="1" max="3" width="12.81640625" customWidth="1"/>
    <col min="4" max="7" width="8.453125" customWidth="1"/>
    <col min="8" max="8" width="20.1796875" customWidth="1"/>
    <col min="9" max="9" width="7.7265625" bestFit="1" customWidth="1"/>
    <col min="10" max="10" width="20.1796875" customWidth="1"/>
    <col min="11" max="11" width="7.7265625" bestFit="1" customWidth="1"/>
    <col min="12" max="12" width="20.1796875" customWidth="1"/>
    <col min="13" max="13" width="7.7265625" bestFit="1" customWidth="1"/>
    <col min="14" max="14" width="20.1796875" customWidth="1"/>
    <col min="15" max="15" width="7.7265625" bestFit="1" customWidth="1"/>
    <col min="16" max="18" width="20.1796875" customWidth="1"/>
    <col min="19" max="19" width="8.7265625" style="1"/>
  </cols>
  <sheetData>
    <row r="1" spans="1:19" s="383" customFormat="1" ht="29" x14ac:dyDescent="0.35">
      <c r="A1" s="382" t="s">
        <v>1090</v>
      </c>
      <c r="B1" s="382" t="s">
        <v>1091</v>
      </c>
      <c r="C1" s="382" t="s">
        <v>1092</v>
      </c>
      <c r="D1" s="382"/>
      <c r="H1" s="382" t="s">
        <v>1161</v>
      </c>
      <c r="I1" s="382" t="s">
        <v>1160</v>
      </c>
      <c r="J1" s="382" t="s">
        <v>1162</v>
      </c>
      <c r="K1" s="382" t="s">
        <v>1160</v>
      </c>
      <c r="L1" s="382" t="s">
        <v>1163</v>
      </c>
      <c r="M1" s="382" t="s">
        <v>1160</v>
      </c>
      <c r="N1" s="382" t="s">
        <v>1164</v>
      </c>
      <c r="O1" s="382" t="s">
        <v>1160</v>
      </c>
      <c r="P1" s="382" t="s">
        <v>1165</v>
      </c>
      <c r="Q1" s="382" t="s">
        <v>1160</v>
      </c>
      <c r="R1" s="382" t="s">
        <v>1166</v>
      </c>
      <c r="S1" s="382" t="s">
        <v>1160</v>
      </c>
    </row>
    <row r="2" spans="1:19" x14ac:dyDescent="0.35">
      <c r="A2" s="4" t="s">
        <v>61</v>
      </c>
      <c r="B2" s="4" t="s">
        <v>157</v>
      </c>
      <c r="C2" s="4" t="s">
        <v>176</v>
      </c>
      <c r="D2" s="4"/>
      <c r="H2" s="4" t="s">
        <v>61</v>
      </c>
      <c r="I2" s="4">
        <v>1</v>
      </c>
      <c r="J2" s="4" t="s">
        <v>99</v>
      </c>
      <c r="K2" s="4">
        <v>1</v>
      </c>
      <c r="L2" s="4" t="s">
        <v>157</v>
      </c>
      <c r="M2" s="4">
        <v>1</v>
      </c>
      <c r="N2" s="4" t="s">
        <v>168</v>
      </c>
      <c r="O2" s="4">
        <v>1</v>
      </c>
      <c r="P2" s="4" t="s">
        <v>96</v>
      </c>
      <c r="Q2" s="4">
        <v>0.4</v>
      </c>
      <c r="R2" s="4" t="s">
        <v>176</v>
      </c>
      <c r="S2" s="1">
        <v>1</v>
      </c>
    </row>
    <row r="3" spans="1:19" x14ac:dyDescent="0.35">
      <c r="A3" s="4" t="s">
        <v>66</v>
      </c>
      <c r="B3" s="4" t="s">
        <v>162</v>
      </c>
      <c r="C3" s="4" t="s">
        <v>181</v>
      </c>
      <c r="D3" s="4"/>
      <c r="H3" s="4" t="s">
        <v>66</v>
      </c>
      <c r="I3" s="4">
        <v>1</v>
      </c>
      <c r="J3" s="4" t="s">
        <v>101</v>
      </c>
      <c r="K3" s="4">
        <v>1</v>
      </c>
      <c r="L3" s="4" t="s">
        <v>162</v>
      </c>
      <c r="M3" s="4">
        <v>1</v>
      </c>
      <c r="N3" s="4" t="s">
        <v>170</v>
      </c>
      <c r="O3" s="4">
        <v>1</v>
      </c>
      <c r="P3" s="309" t="s">
        <v>750</v>
      </c>
      <c r="Q3" s="309">
        <v>1</v>
      </c>
      <c r="R3" s="4" t="s">
        <v>181</v>
      </c>
      <c r="S3" s="1">
        <v>1</v>
      </c>
    </row>
    <row r="4" spans="1:19" x14ac:dyDescent="0.35">
      <c r="A4" s="4" t="s">
        <v>68</v>
      </c>
      <c r="B4" s="4" t="s">
        <v>164</v>
      </c>
      <c r="C4" s="4" t="s">
        <v>183</v>
      </c>
      <c r="D4" s="4"/>
      <c r="H4" s="4" t="s">
        <v>68</v>
      </c>
      <c r="I4" s="4">
        <v>1</v>
      </c>
      <c r="J4" s="4" t="s">
        <v>103</v>
      </c>
      <c r="K4" s="4">
        <v>1</v>
      </c>
      <c r="L4" s="4" t="s">
        <v>164</v>
      </c>
      <c r="M4" s="4">
        <v>1</v>
      </c>
      <c r="N4" s="4" t="s">
        <v>172</v>
      </c>
      <c r="O4" s="4">
        <v>1</v>
      </c>
      <c r="P4" s="309" t="s">
        <v>752</v>
      </c>
      <c r="Q4" s="309">
        <v>1</v>
      </c>
      <c r="R4" s="4" t="s">
        <v>183</v>
      </c>
      <c r="S4" s="1">
        <v>1</v>
      </c>
    </row>
    <row r="5" spans="1:19" x14ac:dyDescent="0.35">
      <c r="A5" s="4" t="s">
        <v>70</v>
      </c>
      <c r="B5" s="4" t="s">
        <v>166</v>
      </c>
      <c r="C5" s="4" t="s">
        <v>185</v>
      </c>
      <c r="D5" s="4"/>
      <c r="H5" s="4" t="s">
        <v>70</v>
      </c>
      <c r="I5" s="4">
        <v>1</v>
      </c>
      <c r="J5" s="4" t="s">
        <v>105</v>
      </c>
      <c r="K5" s="4">
        <v>1</v>
      </c>
      <c r="L5" s="4" t="s">
        <v>166</v>
      </c>
      <c r="M5" s="4">
        <v>1</v>
      </c>
      <c r="N5" s="4" t="s">
        <v>174</v>
      </c>
      <c r="O5" s="4">
        <v>1</v>
      </c>
      <c r="P5" s="309" t="s">
        <v>754</v>
      </c>
      <c r="Q5" s="309">
        <v>1</v>
      </c>
      <c r="R5" s="4" t="s">
        <v>185</v>
      </c>
      <c r="S5" s="1">
        <v>1</v>
      </c>
    </row>
    <row r="6" spans="1:19" x14ac:dyDescent="0.35">
      <c r="A6" s="4" t="s">
        <v>72</v>
      </c>
      <c r="B6" s="4" t="s">
        <v>168</v>
      </c>
      <c r="C6" s="305"/>
      <c r="D6" s="305"/>
      <c r="H6" s="4" t="s">
        <v>72</v>
      </c>
      <c r="I6" s="4">
        <v>1</v>
      </c>
      <c r="J6" s="4" t="s">
        <v>107</v>
      </c>
      <c r="K6" s="4">
        <v>1</v>
      </c>
      <c r="L6" s="4" t="s">
        <v>36</v>
      </c>
      <c r="M6" s="4">
        <v>0.45</v>
      </c>
      <c r="N6" s="4" t="s">
        <v>80</v>
      </c>
      <c r="O6" s="4">
        <v>0.45</v>
      </c>
      <c r="P6" s="309" t="s">
        <v>756</v>
      </c>
      <c r="Q6" s="309">
        <v>1</v>
      </c>
      <c r="R6" s="305"/>
    </row>
    <row r="7" spans="1:19" x14ac:dyDescent="0.35">
      <c r="A7" s="4" t="s">
        <v>74</v>
      </c>
      <c r="B7" s="4" t="s">
        <v>170</v>
      </c>
      <c r="C7" s="305"/>
      <c r="D7" s="305"/>
      <c r="H7" s="4" t="s">
        <v>74</v>
      </c>
      <c r="I7" s="4">
        <v>1</v>
      </c>
      <c r="J7" s="4" t="s">
        <v>109</v>
      </c>
      <c r="K7" s="4">
        <v>1</v>
      </c>
      <c r="L7" s="4" t="s">
        <v>39</v>
      </c>
      <c r="M7" s="4">
        <v>0.45</v>
      </c>
      <c r="N7" s="4" t="s">
        <v>82</v>
      </c>
      <c r="O7" s="4">
        <v>0.45</v>
      </c>
      <c r="P7" s="305"/>
      <c r="Q7" s="305"/>
      <c r="R7" s="305"/>
    </row>
    <row r="8" spans="1:19" x14ac:dyDescent="0.35">
      <c r="A8" s="4" t="s">
        <v>76</v>
      </c>
      <c r="B8" s="4" t="s">
        <v>172</v>
      </c>
      <c r="C8" s="305"/>
      <c r="D8" s="305"/>
      <c r="H8" s="4" t="s">
        <v>76</v>
      </c>
      <c r="I8" s="4">
        <v>1</v>
      </c>
      <c r="J8" s="4" t="s">
        <v>111</v>
      </c>
      <c r="K8" s="4">
        <v>1</v>
      </c>
      <c r="L8" s="4" t="s">
        <v>41</v>
      </c>
      <c r="M8" s="4">
        <v>0.45</v>
      </c>
      <c r="N8" s="4" t="s">
        <v>84</v>
      </c>
      <c r="O8" s="4">
        <v>0.45</v>
      </c>
      <c r="P8" s="305"/>
      <c r="Q8" s="305"/>
      <c r="R8" s="305"/>
    </row>
    <row r="9" spans="1:19" x14ac:dyDescent="0.35">
      <c r="A9" s="4" t="s">
        <v>78</v>
      </c>
      <c r="B9" s="4" t="s">
        <v>174</v>
      </c>
      <c r="C9" s="305"/>
      <c r="D9" s="305"/>
      <c r="H9" s="4" t="s">
        <v>78</v>
      </c>
      <c r="I9" s="4">
        <v>1</v>
      </c>
      <c r="J9" s="4" t="s">
        <v>113</v>
      </c>
      <c r="K9" s="4">
        <v>1</v>
      </c>
      <c r="L9" s="4" t="s">
        <v>43</v>
      </c>
      <c r="M9" s="4">
        <v>0.45</v>
      </c>
      <c r="N9" s="4" t="s">
        <v>86</v>
      </c>
      <c r="O9" s="4">
        <v>0.45</v>
      </c>
      <c r="P9" s="305"/>
      <c r="Q9" s="305"/>
      <c r="R9" s="305"/>
    </row>
    <row r="10" spans="1:19" x14ac:dyDescent="0.35">
      <c r="A10" s="4" t="s">
        <v>24</v>
      </c>
      <c r="B10" s="4" t="s">
        <v>80</v>
      </c>
      <c r="C10" s="305"/>
      <c r="D10" s="305"/>
      <c r="H10" s="4" t="s">
        <v>24</v>
      </c>
      <c r="I10" s="4">
        <v>0.55000000000000004</v>
      </c>
      <c r="J10" s="4" t="s">
        <v>115</v>
      </c>
      <c r="K10" s="4">
        <v>1</v>
      </c>
      <c r="L10" s="4" t="s">
        <v>88</v>
      </c>
      <c r="M10" s="4">
        <v>0.45</v>
      </c>
      <c r="N10" s="4" t="s">
        <v>24</v>
      </c>
      <c r="O10" s="4">
        <v>0.45</v>
      </c>
      <c r="P10" s="305"/>
      <c r="Q10" s="305"/>
      <c r="R10" s="305"/>
    </row>
    <row r="11" spans="1:19" x14ac:dyDescent="0.35">
      <c r="A11" s="4" t="s">
        <v>30</v>
      </c>
      <c r="B11" s="4" t="s">
        <v>82</v>
      </c>
      <c r="C11" s="305"/>
      <c r="D11" s="305"/>
      <c r="H11" s="4" t="s">
        <v>30</v>
      </c>
      <c r="I11" s="4">
        <v>0.55000000000000004</v>
      </c>
      <c r="J11" s="4" t="s">
        <v>118</v>
      </c>
      <c r="K11" s="4">
        <v>1</v>
      </c>
      <c r="L11" s="4" t="s">
        <v>90</v>
      </c>
      <c r="M11" s="4">
        <v>0.45</v>
      </c>
      <c r="N11" s="4" t="s">
        <v>30</v>
      </c>
      <c r="O11" s="4">
        <v>0.45</v>
      </c>
      <c r="P11" s="305"/>
      <c r="Q11" s="305"/>
      <c r="R11" s="305"/>
    </row>
    <row r="12" spans="1:19" x14ac:dyDescent="0.35">
      <c r="A12" s="4" t="s">
        <v>32</v>
      </c>
      <c r="B12" s="4" t="s">
        <v>84</v>
      </c>
      <c r="C12" s="305"/>
      <c r="D12" s="305"/>
      <c r="H12" s="4" t="s">
        <v>32</v>
      </c>
      <c r="I12" s="4">
        <v>0.55000000000000004</v>
      </c>
      <c r="J12" s="4" t="s">
        <v>120</v>
      </c>
      <c r="K12" s="4">
        <v>1</v>
      </c>
      <c r="L12" s="4" t="s">
        <v>92</v>
      </c>
      <c r="M12" s="4">
        <v>0.45</v>
      </c>
      <c r="N12" s="4" t="s">
        <v>32</v>
      </c>
      <c r="O12" s="4">
        <v>0.45</v>
      </c>
      <c r="P12" s="305"/>
      <c r="Q12" s="305"/>
      <c r="R12" s="305"/>
    </row>
    <row r="13" spans="1:19" x14ac:dyDescent="0.35">
      <c r="A13" s="4" t="s">
        <v>34</v>
      </c>
      <c r="B13" s="4" t="s">
        <v>86</v>
      </c>
      <c r="C13" s="305"/>
      <c r="D13" s="305"/>
      <c r="H13" s="4" t="s">
        <v>34</v>
      </c>
      <c r="I13" s="4">
        <v>0.55000000000000004</v>
      </c>
      <c r="J13" s="4" t="s">
        <v>122</v>
      </c>
      <c r="K13" s="4">
        <v>1</v>
      </c>
      <c r="L13" s="4" t="s">
        <v>94</v>
      </c>
      <c r="M13" s="4">
        <v>0.45</v>
      </c>
      <c r="N13" s="4" t="s">
        <v>34</v>
      </c>
      <c r="O13" s="4">
        <v>0.45</v>
      </c>
      <c r="P13" s="305"/>
      <c r="Q13" s="305"/>
      <c r="R13" s="305"/>
    </row>
    <row r="14" spans="1:19" x14ac:dyDescent="0.35">
      <c r="A14" s="4" t="s">
        <v>36</v>
      </c>
      <c r="B14" s="4" t="s">
        <v>24</v>
      </c>
      <c r="C14" s="305"/>
      <c r="D14" s="305"/>
      <c r="H14" s="4" t="s">
        <v>36</v>
      </c>
      <c r="I14" s="4">
        <v>0.55000000000000004</v>
      </c>
      <c r="J14" s="4" t="s">
        <v>124</v>
      </c>
      <c r="K14" s="4">
        <v>1</v>
      </c>
      <c r="L14" s="306" t="s">
        <v>53</v>
      </c>
      <c r="M14" s="306">
        <v>0.45</v>
      </c>
      <c r="N14" s="306" t="s">
        <v>45</v>
      </c>
      <c r="O14" s="306">
        <v>0.45</v>
      </c>
      <c r="P14" s="305"/>
      <c r="Q14" s="305"/>
      <c r="R14" s="305"/>
    </row>
    <row r="15" spans="1:19" x14ac:dyDescent="0.35">
      <c r="A15" s="4" t="s">
        <v>39</v>
      </c>
      <c r="B15" s="4" t="s">
        <v>30</v>
      </c>
      <c r="C15" s="305"/>
      <c r="D15" s="305"/>
      <c r="H15" s="4" t="s">
        <v>39</v>
      </c>
      <c r="I15" s="4">
        <v>0.55000000000000004</v>
      </c>
      <c r="J15" s="4" t="s">
        <v>126</v>
      </c>
      <c r="K15" s="4">
        <v>1</v>
      </c>
      <c r="L15" s="306" t="s">
        <v>55</v>
      </c>
      <c r="M15" s="306">
        <v>0.45</v>
      </c>
      <c r="N15" s="306" t="s">
        <v>47</v>
      </c>
      <c r="O15" s="306">
        <v>0.45</v>
      </c>
      <c r="P15" s="305"/>
      <c r="Q15" s="305"/>
      <c r="R15" s="305"/>
    </row>
    <row r="16" spans="1:19" x14ac:dyDescent="0.35">
      <c r="A16" s="4" t="s">
        <v>41</v>
      </c>
      <c r="B16" s="4" t="s">
        <v>32</v>
      </c>
      <c r="C16" s="305"/>
      <c r="D16" s="305"/>
      <c r="H16" s="4" t="s">
        <v>41</v>
      </c>
      <c r="I16" s="4">
        <v>0.55000000000000004</v>
      </c>
      <c r="J16" s="4" t="s">
        <v>128</v>
      </c>
      <c r="K16" s="4">
        <v>1</v>
      </c>
      <c r="L16" s="306" t="s">
        <v>57</v>
      </c>
      <c r="M16" s="306">
        <v>0.45</v>
      </c>
      <c r="N16" s="306" t="s">
        <v>49</v>
      </c>
      <c r="O16" s="306">
        <v>0.45</v>
      </c>
      <c r="P16" s="305"/>
      <c r="Q16" s="305"/>
      <c r="R16" s="305"/>
    </row>
    <row r="17" spans="1:18" x14ac:dyDescent="0.35">
      <c r="A17" s="4" t="s">
        <v>43</v>
      </c>
      <c r="B17" s="4" t="s">
        <v>34</v>
      </c>
      <c r="C17" s="305"/>
      <c r="D17" s="305"/>
      <c r="H17" s="4" t="s">
        <v>43</v>
      </c>
      <c r="I17" s="4">
        <v>0.55000000000000004</v>
      </c>
      <c r="J17" s="4" t="s">
        <v>130</v>
      </c>
      <c r="K17" s="4">
        <v>1</v>
      </c>
      <c r="L17" s="306" t="s">
        <v>59</v>
      </c>
      <c r="M17" s="306">
        <v>0.45</v>
      </c>
      <c r="N17" s="306" t="s">
        <v>51</v>
      </c>
      <c r="O17" s="306">
        <v>0.45</v>
      </c>
      <c r="P17" s="305"/>
      <c r="Q17" s="305"/>
      <c r="R17" s="305"/>
    </row>
    <row r="18" spans="1:18" x14ac:dyDescent="0.35">
      <c r="A18" s="4" t="s">
        <v>99</v>
      </c>
      <c r="B18" s="4" t="s">
        <v>36</v>
      </c>
      <c r="C18" s="305"/>
      <c r="D18" s="305"/>
      <c r="H18" s="306" t="s">
        <v>45</v>
      </c>
      <c r="I18" s="306">
        <v>0.55000000000000004</v>
      </c>
      <c r="J18" s="4" t="s">
        <v>149</v>
      </c>
      <c r="K18" s="4">
        <v>1</v>
      </c>
      <c r="L18" s="305"/>
      <c r="M18" s="305"/>
      <c r="N18" s="305"/>
      <c r="O18" s="305"/>
      <c r="P18" s="305"/>
      <c r="Q18" s="305"/>
      <c r="R18" s="305"/>
    </row>
    <row r="19" spans="1:18" x14ac:dyDescent="0.35">
      <c r="A19" s="4" t="s">
        <v>101</v>
      </c>
      <c r="B19" s="4" t="s">
        <v>39</v>
      </c>
      <c r="C19" s="305"/>
      <c r="D19" s="305"/>
      <c r="H19" s="306" t="s">
        <v>47</v>
      </c>
      <c r="I19" s="306">
        <v>0.55000000000000004</v>
      </c>
      <c r="J19" s="4" t="s">
        <v>151</v>
      </c>
      <c r="K19" s="4">
        <v>1</v>
      </c>
      <c r="L19" s="305"/>
      <c r="M19" s="305"/>
      <c r="N19" s="305"/>
      <c r="O19" s="305"/>
      <c r="P19" s="305"/>
      <c r="Q19" s="305"/>
      <c r="R19" s="305"/>
    </row>
    <row r="20" spans="1:18" x14ac:dyDescent="0.35">
      <c r="A20" s="4" t="s">
        <v>103</v>
      </c>
      <c r="B20" s="4" t="s">
        <v>41</v>
      </c>
      <c r="C20" s="305"/>
      <c r="D20" s="305"/>
      <c r="H20" s="306" t="s">
        <v>49</v>
      </c>
      <c r="I20" s="306">
        <v>0.55000000000000004</v>
      </c>
      <c r="J20" s="4" t="s">
        <v>132</v>
      </c>
      <c r="K20" s="4">
        <v>1</v>
      </c>
      <c r="L20" s="305"/>
      <c r="M20" s="305"/>
      <c r="N20" s="305"/>
      <c r="O20" s="305"/>
      <c r="P20" s="305"/>
      <c r="Q20" s="305"/>
      <c r="R20" s="305"/>
    </row>
    <row r="21" spans="1:18" x14ac:dyDescent="0.35">
      <c r="A21" s="4" t="s">
        <v>105</v>
      </c>
      <c r="B21" s="4" t="s">
        <v>43</v>
      </c>
      <c r="C21" s="305"/>
      <c r="D21" s="305"/>
      <c r="H21" s="306" t="s">
        <v>51</v>
      </c>
      <c r="I21" s="306">
        <v>0.55000000000000004</v>
      </c>
      <c r="J21" s="4" t="s">
        <v>135</v>
      </c>
      <c r="K21" s="4">
        <v>1</v>
      </c>
      <c r="L21" s="305"/>
      <c r="M21" s="305"/>
      <c r="N21" s="305"/>
      <c r="O21" s="305"/>
      <c r="P21" s="305"/>
      <c r="Q21" s="305"/>
      <c r="R21" s="305"/>
    </row>
    <row r="22" spans="1:18" x14ac:dyDescent="0.35">
      <c r="A22" s="4" t="s">
        <v>107</v>
      </c>
      <c r="B22" s="4" t="s">
        <v>88</v>
      </c>
      <c r="C22" s="305"/>
      <c r="D22" s="305"/>
      <c r="H22" s="306" t="s">
        <v>53</v>
      </c>
      <c r="I22" s="306">
        <v>0.55000000000000004</v>
      </c>
      <c r="J22" s="4" t="s">
        <v>137</v>
      </c>
      <c r="K22" s="4">
        <v>1</v>
      </c>
      <c r="L22" s="305"/>
      <c r="M22" s="305"/>
      <c r="N22" s="305"/>
      <c r="O22" s="305"/>
      <c r="P22" s="305"/>
      <c r="Q22" s="305"/>
      <c r="R22" s="305"/>
    </row>
    <row r="23" spans="1:18" x14ac:dyDescent="0.35">
      <c r="A23" s="4" t="s">
        <v>109</v>
      </c>
      <c r="B23" s="4" t="s">
        <v>90</v>
      </c>
      <c r="C23" s="305"/>
      <c r="D23" s="305"/>
      <c r="H23" s="306" t="s">
        <v>55</v>
      </c>
      <c r="I23" s="306">
        <v>0.55000000000000004</v>
      </c>
      <c r="J23" s="4" t="s">
        <v>139</v>
      </c>
      <c r="K23" s="4">
        <v>1</v>
      </c>
      <c r="L23" s="305"/>
      <c r="M23" s="305"/>
      <c r="N23" s="305"/>
      <c r="O23" s="305"/>
      <c r="P23" s="305"/>
      <c r="Q23" s="305"/>
      <c r="R23" s="305"/>
    </row>
    <row r="24" spans="1:18" x14ac:dyDescent="0.35">
      <c r="A24" s="4" t="s">
        <v>111</v>
      </c>
      <c r="B24" s="4" t="s">
        <v>92</v>
      </c>
      <c r="C24" s="305"/>
      <c r="D24" s="305"/>
      <c r="H24" s="306" t="s">
        <v>57</v>
      </c>
      <c r="I24" s="306">
        <v>0.55000000000000004</v>
      </c>
      <c r="J24" s="4" t="s">
        <v>141</v>
      </c>
      <c r="K24" s="4">
        <v>1</v>
      </c>
      <c r="L24" s="305"/>
      <c r="M24" s="305"/>
      <c r="N24" s="305"/>
      <c r="O24" s="305"/>
      <c r="P24" s="305"/>
      <c r="Q24" s="305"/>
      <c r="R24" s="305"/>
    </row>
    <row r="25" spans="1:18" x14ac:dyDescent="0.35">
      <c r="A25" s="4" t="s">
        <v>113</v>
      </c>
      <c r="B25" s="4" t="s">
        <v>94</v>
      </c>
      <c r="C25" s="305"/>
      <c r="D25" s="305"/>
      <c r="H25" s="306" t="s">
        <v>59</v>
      </c>
      <c r="I25" s="306">
        <v>0.55000000000000004</v>
      </c>
      <c r="J25" s="4" t="s">
        <v>143</v>
      </c>
      <c r="K25" s="4">
        <v>1</v>
      </c>
      <c r="L25" s="305"/>
      <c r="M25" s="305"/>
      <c r="N25" s="305"/>
      <c r="O25" s="305"/>
      <c r="P25" s="305"/>
      <c r="Q25" s="305"/>
      <c r="R25" s="305"/>
    </row>
    <row r="26" spans="1:18" x14ac:dyDescent="0.35">
      <c r="A26" s="4" t="s">
        <v>115</v>
      </c>
      <c r="B26" s="5" t="s">
        <v>45</v>
      </c>
      <c r="C26" s="305"/>
      <c r="D26" s="305"/>
      <c r="H26" s="305"/>
      <c r="I26" s="305"/>
      <c r="J26" s="4" t="s">
        <v>145</v>
      </c>
      <c r="K26" s="4">
        <v>1</v>
      </c>
      <c r="L26" s="305"/>
      <c r="M26" s="305"/>
      <c r="N26" s="305"/>
      <c r="O26" s="305"/>
      <c r="P26" s="305"/>
      <c r="Q26" s="305"/>
      <c r="R26" s="305"/>
    </row>
    <row r="27" spans="1:18" x14ac:dyDescent="0.35">
      <c r="A27" s="4" t="s">
        <v>118</v>
      </c>
      <c r="B27" s="5" t="s">
        <v>47</v>
      </c>
      <c r="C27" s="305"/>
      <c r="D27" s="305"/>
      <c r="J27" s="4" t="s">
        <v>147</v>
      </c>
      <c r="K27" s="4">
        <v>1</v>
      </c>
      <c r="L27" s="305"/>
      <c r="M27" s="305"/>
      <c r="N27" s="305"/>
      <c r="O27" s="305"/>
      <c r="P27" s="305"/>
      <c r="Q27" s="305"/>
      <c r="R27" s="305"/>
    </row>
    <row r="28" spans="1:18" x14ac:dyDescent="0.35">
      <c r="A28" s="4" t="s">
        <v>120</v>
      </c>
      <c r="B28" s="5" t="s">
        <v>49</v>
      </c>
      <c r="C28" s="305"/>
      <c r="D28" s="305"/>
      <c r="J28" s="4" t="s">
        <v>153</v>
      </c>
      <c r="K28" s="4">
        <v>1</v>
      </c>
      <c r="L28" s="305"/>
      <c r="M28" s="305"/>
      <c r="N28" s="305"/>
      <c r="O28" s="305"/>
      <c r="P28" s="305"/>
      <c r="Q28" s="305"/>
      <c r="R28" s="305"/>
    </row>
    <row r="29" spans="1:18" x14ac:dyDescent="0.35">
      <c r="A29" s="4" t="s">
        <v>122</v>
      </c>
      <c r="B29" s="5" t="s">
        <v>51</v>
      </c>
      <c r="C29" s="305"/>
      <c r="D29" s="305"/>
      <c r="J29" s="4" t="s">
        <v>155</v>
      </c>
      <c r="K29" s="4">
        <v>1</v>
      </c>
      <c r="L29" s="305"/>
      <c r="M29" s="305"/>
      <c r="N29" s="305"/>
      <c r="O29" s="305"/>
      <c r="P29" s="305"/>
      <c r="Q29" s="305"/>
      <c r="R29" s="305"/>
    </row>
    <row r="30" spans="1:18" x14ac:dyDescent="0.35">
      <c r="A30" s="4" t="s">
        <v>124</v>
      </c>
      <c r="B30" s="5" t="s">
        <v>53</v>
      </c>
      <c r="C30" s="305"/>
      <c r="D30" s="305"/>
      <c r="J30" s="4" t="s">
        <v>80</v>
      </c>
      <c r="K30" s="4">
        <v>0.55000000000000004</v>
      </c>
      <c r="L30" s="305"/>
      <c r="M30" s="305"/>
      <c r="N30" s="305"/>
      <c r="O30" s="305"/>
      <c r="P30" s="305"/>
      <c r="Q30" s="305"/>
      <c r="R30" s="305"/>
    </row>
    <row r="31" spans="1:18" x14ac:dyDescent="0.35">
      <c r="A31" s="4" t="s">
        <v>126</v>
      </c>
      <c r="B31" s="5" t="s">
        <v>55</v>
      </c>
      <c r="C31" s="305"/>
      <c r="D31" s="305"/>
      <c r="J31" s="4" t="s">
        <v>82</v>
      </c>
      <c r="K31" s="4">
        <v>0.55000000000000004</v>
      </c>
      <c r="L31" s="305"/>
      <c r="M31" s="305"/>
      <c r="N31" s="305"/>
      <c r="O31" s="305"/>
      <c r="P31" s="305"/>
      <c r="Q31" s="305"/>
      <c r="R31" s="305"/>
    </row>
    <row r="32" spans="1:18" x14ac:dyDescent="0.35">
      <c r="A32" s="4" t="s">
        <v>128</v>
      </c>
      <c r="B32" s="5" t="s">
        <v>57</v>
      </c>
      <c r="C32" s="305"/>
      <c r="D32" s="305"/>
      <c r="J32" s="4" t="s">
        <v>84</v>
      </c>
      <c r="K32" s="4">
        <v>0.55000000000000004</v>
      </c>
      <c r="L32" s="305"/>
      <c r="M32" s="305"/>
      <c r="N32" s="305"/>
      <c r="O32" s="305"/>
      <c r="P32" s="305"/>
      <c r="Q32" s="305"/>
      <c r="R32" s="305"/>
    </row>
    <row r="33" spans="1:18" x14ac:dyDescent="0.35">
      <c r="A33" s="4" t="s">
        <v>130</v>
      </c>
      <c r="B33" s="5" t="s">
        <v>59</v>
      </c>
      <c r="C33" s="305"/>
      <c r="D33" s="305"/>
      <c r="J33" s="4" t="s">
        <v>86</v>
      </c>
      <c r="K33" s="4">
        <v>0.55000000000000004</v>
      </c>
      <c r="L33" s="305"/>
      <c r="M33" s="305"/>
      <c r="N33" s="305"/>
      <c r="O33" s="305"/>
      <c r="P33" s="305"/>
      <c r="Q33" s="305"/>
      <c r="R33" s="305"/>
    </row>
    <row r="34" spans="1:18" x14ac:dyDescent="0.35">
      <c r="A34" s="4" t="s">
        <v>149</v>
      </c>
      <c r="B34" s="4" t="s">
        <v>96</v>
      </c>
      <c r="C34" s="305"/>
      <c r="D34" s="305"/>
      <c r="H34" s="305"/>
      <c r="I34" s="305"/>
      <c r="J34" s="4" t="s">
        <v>88</v>
      </c>
      <c r="K34" s="4">
        <v>0.55000000000000004</v>
      </c>
      <c r="L34" s="305"/>
      <c r="M34" s="305"/>
      <c r="N34" s="305"/>
      <c r="O34" s="305"/>
      <c r="P34" s="305"/>
      <c r="Q34" s="305"/>
      <c r="R34" s="305"/>
    </row>
    <row r="35" spans="1:18" x14ac:dyDescent="0.35">
      <c r="A35" s="4" t="s">
        <v>151</v>
      </c>
      <c r="B35" s="305"/>
      <c r="C35" s="305"/>
      <c r="D35" s="305"/>
      <c r="H35" s="305"/>
      <c r="I35" s="305"/>
      <c r="J35" s="4" t="s">
        <v>90</v>
      </c>
      <c r="K35" s="4">
        <v>0.55000000000000004</v>
      </c>
      <c r="L35" s="305"/>
      <c r="M35" s="305"/>
      <c r="N35" s="305"/>
      <c r="O35" s="305"/>
      <c r="P35" s="305"/>
      <c r="Q35" s="305"/>
      <c r="R35" s="305"/>
    </row>
    <row r="36" spans="1:18" x14ac:dyDescent="0.35">
      <c r="A36" s="4" t="s">
        <v>132</v>
      </c>
      <c r="B36" s="305"/>
      <c r="C36" s="305"/>
      <c r="D36" s="305"/>
      <c r="H36" s="305"/>
      <c r="I36" s="305"/>
      <c r="J36" s="4" t="s">
        <v>92</v>
      </c>
      <c r="K36" s="4">
        <v>0.55000000000000004</v>
      </c>
      <c r="L36" s="305"/>
      <c r="M36" s="305"/>
      <c r="N36" s="305"/>
      <c r="O36" s="305"/>
      <c r="P36" s="305"/>
      <c r="Q36" s="305"/>
      <c r="R36" s="305"/>
    </row>
    <row r="37" spans="1:18" x14ac:dyDescent="0.35">
      <c r="A37" s="4" t="s">
        <v>135</v>
      </c>
      <c r="B37" s="305"/>
      <c r="C37" s="305"/>
      <c r="D37" s="305"/>
      <c r="H37" s="305"/>
      <c r="I37" s="305"/>
      <c r="J37" s="4" t="s">
        <v>94</v>
      </c>
      <c r="K37" s="4">
        <v>0.55000000000000004</v>
      </c>
      <c r="L37" s="305"/>
      <c r="M37" s="305"/>
      <c r="N37" s="305"/>
      <c r="O37" s="305"/>
      <c r="P37" s="305"/>
      <c r="Q37" s="305"/>
      <c r="R37" s="305"/>
    </row>
    <row r="38" spans="1:18" x14ac:dyDescent="0.35">
      <c r="A38" s="4" t="s">
        <v>137</v>
      </c>
      <c r="B38" s="305"/>
      <c r="C38" s="305"/>
      <c r="D38" s="305"/>
      <c r="H38" s="305"/>
      <c r="I38" s="305"/>
      <c r="J38" s="4" t="s">
        <v>96</v>
      </c>
      <c r="K38" s="308">
        <v>0.6</v>
      </c>
      <c r="L38" s="305"/>
      <c r="M38" s="305"/>
      <c r="N38" s="305"/>
      <c r="O38" s="305"/>
      <c r="P38" s="305"/>
      <c r="Q38" s="305"/>
      <c r="R38" s="305"/>
    </row>
    <row r="39" spans="1:18" x14ac:dyDescent="0.35">
      <c r="A39" s="4" t="s">
        <v>139</v>
      </c>
      <c r="B39" s="305"/>
      <c r="C39" s="305"/>
      <c r="D39" s="305"/>
      <c r="E39" s="305"/>
      <c r="F39" s="305"/>
      <c r="G39" s="305"/>
      <c r="H39" s="305"/>
      <c r="I39" s="305"/>
      <c r="J39" s="305"/>
      <c r="K39" s="305"/>
      <c r="L39" s="305"/>
      <c r="M39" s="305"/>
      <c r="N39" s="305"/>
      <c r="O39" s="305"/>
    </row>
    <row r="40" spans="1:18" x14ac:dyDescent="0.35">
      <c r="A40" s="4" t="s">
        <v>141</v>
      </c>
      <c r="B40" s="305"/>
      <c r="C40" s="305"/>
      <c r="D40" s="305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</row>
    <row r="41" spans="1:18" x14ac:dyDescent="0.35">
      <c r="A41" s="4" t="s">
        <v>143</v>
      </c>
      <c r="B41" s="305"/>
      <c r="C41" s="305"/>
      <c r="D41" s="305"/>
      <c r="E41" s="305"/>
      <c r="F41" s="305"/>
      <c r="G41" s="305"/>
      <c r="H41" s="305"/>
      <c r="I41" s="305"/>
      <c r="J41" s="305"/>
      <c r="K41" s="305"/>
      <c r="L41" s="305"/>
      <c r="M41" s="305"/>
      <c r="N41" s="305"/>
      <c r="O41" s="305"/>
    </row>
    <row r="42" spans="1:18" x14ac:dyDescent="0.35">
      <c r="A42" s="4" t="s">
        <v>145</v>
      </c>
      <c r="B42" s="305"/>
      <c r="C42" s="305"/>
      <c r="D42" s="305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</row>
    <row r="43" spans="1:18" x14ac:dyDescent="0.35">
      <c r="A43" s="4" t="s">
        <v>147</v>
      </c>
      <c r="B43" s="305"/>
      <c r="C43" s="305"/>
      <c r="D43" s="305"/>
      <c r="E43" s="305"/>
      <c r="F43" s="305"/>
      <c r="G43" s="305"/>
      <c r="H43" s="305"/>
      <c r="I43" s="305"/>
      <c r="J43" s="305"/>
      <c r="K43" s="305"/>
      <c r="L43" s="305"/>
      <c r="M43" s="305"/>
      <c r="N43" s="305"/>
      <c r="O43" s="305"/>
    </row>
    <row r="44" spans="1:18" x14ac:dyDescent="0.35">
      <c r="A44" s="4" t="s">
        <v>153</v>
      </c>
      <c r="B44" s="305"/>
      <c r="C44" s="305"/>
      <c r="D44" s="305"/>
      <c r="E44" s="305"/>
      <c r="F44" s="305"/>
      <c r="G44" s="305"/>
      <c r="H44" s="305"/>
      <c r="I44" s="305"/>
      <c r="J44" s="305"/>
      <c r="K44" s="305"/>
      <c r="L44" s="305"/>
      <c r="M44" s="305"/>
      <c r="N44" s="305"/>
      <c r="O44" s="305"/>
    </row>
    <row r="45" spans="1:18" x14ac:dyDescent="0.35">
      <c r="A45" s="4" t="s">
        <v>155</v>
      </c>
      <c r="B45" s="305"/>
      <c r="C45" s="305"/>
      <c r="D45" s="305"/>
      <c r="E45" s="305"/>
      <c r="F45" s="305"/>
      <c r="G45" s="305"/>
      <c r="H45" s="305"/>
      <c r="I45" s="305"/>
      <c r="J45" s="305"/>
      <c r="K45" s="305"/>
      <c r="L45" s="305"/>
      <c r="M45" s="305"/>
      <c r="N45" s="305"/>
      <c r="O45" s="305"/>
    </row>
    <row r="46" spans="1:18" x14ac:dyDescent="0.35">
      <c r="A46" s="4" t="s">
        <v>80</v>
      </c>
      <c r="B46" s="305"/>
      <c r="C46" s="305"/>
      <c r="D46" s="305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</row>
    <row r="47" spans="1:18" x14ac:dyDescent="0.35">
      <c r="A47" s="4" t="s">
        <v>82</v>
      </c>
      <c r="B47" s="305"/>
      <c r="C47" s="305"/>
      <c r="D47" s="305"/>
      <c r="E47" s="305"/>
      <c r="F47" s="305"/>
      <c r="G47" s="305"/>
      <c r="H47" s="305"/>
      <c r="I47" s="305"/>
      <c r="J47" s="305"/>
      <c r="K47" s="305"/>
      <c r="L47" s="305"/>
      <c r="M47" s="305"/>
      <c r="N47" s="305"/>
      <c r="O47" s="305"/>
    </row>
    <row r="48" spans="1:18" x14ac:dyDescent="0.35">
      <c r="A48" s="4" t="s">
        <v>84</v>
      </c>
      <c r="B48" s="305"/>
      <c r="C48" s="305"/>
      <c r="D48" s="305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</row>
    <row r="49" spans="1:15" x14ac:dyDescent="0.35">
      <c r="A49" s="4" t="s">
        <v>86</v>
      </c>
      <c r="B49" s="305"/>
      <c r="C49" s="305"/>
      <c r="D49" s="305"/>
      <c r="E49" s="305"/>
      <c r="F49" s="305"/>
      <c r="G49" s="305"/>
      <c r="H49" s="305"/>
      <c r="I49" s="305"/>
      <c r="J49" s="305"/>
      <c r="K49" s="305"/>
      <c r="L49" s="305"/>
      <c r="M49" s="305"/>
      <c r="N49" s="305"/>
      <c r="O49" s="305"/>
    </row>
    <row r="50" spans="1:15" x14ac:dyDescent="0.35">
      <c r="A50" s="4" t="s">
        <v>88</v>
      </c>
      <c r="B50" s="305"/>
      <c r="C50" s="305"/>
      <c r="D50" s="305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</row>
    <row r="51" spans="1:15" x14ac:dyDescent="0.35">
      <c r="A51" s="4" t="s">
        <v>90</v>
      </c>
      <c r="B51" s="305"/>
      <c r="C51" s="305"/>
      <c r="D51" s="305"/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</row>
    <row r="52" spans="1:15" x14ac:dyDescent="0.35">
      <c r="A52" s="4" t="s">
        <v>92</v>
      </c>
      <c r="B52" s="305"/>
      <c r="C52" s="305"/>
      <c r="D52" s="305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</row>
    <row r="53" spans="1:15" x14ac:dyDescent="0.35">
      <c r="A53" s="4" t="s">
        <v>94</v>
      </c>
      <c r="B53" s="305"/>
      <c r="C53" s="305"/>
      <c r="D53" s="305"/>
      <c r="E53" s="305"/>
      <c r="F53" s="305"/>
      <c r="G53" s="305"/>
      <c r="H53" s="305"/>
      <c r="I53" s="305"/>
      <c r="J53" s="305"/>
      <c r="K53" s="305"/>
      <c r="L53" s="305"/>
      <c r="M53" s="305"/>
      <c r="N53" s="305"/>
      <c r="O53" s="305"/>
    </row>
    <row r="54" spans="1:15" x14ac:dyDescent="0.35">
      <c r="A54" s="306" t="s">
        <v>45</v>
      </c>
      <c r="B54" s="305"/>
      <c r="C54" s="305"/>
      <c r="D54" s="305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</row>
    <row r="55" spans="1:15" x14ac:dyDescent="0.35">
      <c r="A55" s="306" t="s">
        <v>47</v>
      </c>
      <c r="B55" s="305"/>
      <c r="C55" s="305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</row>
    <row r="56" spans="1:15" x14ac:dyDescent="0.35">
      <c r="A56" s="306" t="s">
        <v>49</v>
      </c>
      <c r="B56" s="305"/>
      <c r="C56" s="305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</row>
    <row r="57" spans="1:15" x14ac:dyDescent="0.35">
      <c r="A57" s="306" t="s">
        <v>51</v>
      </c>
      <c r="B57" s="305"/>
      <c r="C57" s="305"/>
      <c r="D57" s="305"/>
      <c r="E57" s="305"/>
      <c r="F57" s="305"/>
      <c r="G57" s="305"/>
      <c r="H57" s="305"/>
      <c r="I57" s="305"/>
      <c r="J57" s="305"/>
      <c r="K57" s="305"/>
      <c r="L57" s="305"/>
      <c r="M57" s="305"/>
      <c r="N57" s="305"/>
      <c r="O57" s="305"/>
    </row>
    <row r="58" spans="1:15" x14ac:dyDescent="0.35">
      <c r="A58" s="306" t="s">
        <v>53</v>
      </c>
      <c r="B58" s="305"/>
      <c r="C58" s="305"/>
      <c r="D58" s="305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</row>
    <row r="59" spans="1:15" x14ac:dyDescent="0.35">
      <c r="A59" s="306" t="s">
        <v>55</v>
      </c>
      <c r="B59" s="305"/>
      <c r="C59" s="305"/>
      <c r="D59" s="305"/>
      <c r="E59" s="305"/>
      <c r="F59" s="305"/>
      <c r="G59" s="305"/>
      <c r="H59" s="305"/>
      <c r="I59" s="305"/>
      <c r="J59" s="305"/>
      <c r="K59" s="305"/>
      <c r="L59" s="305"/>
      <c r="M59" s="305"/>
      <c r="N59" s="305"/>
      <c r="O59" s="305"/>
    </row>
    <row r="60" spans="1:15" x14ac:dyDescent="0.35">
      <c r="A60" s="306" t="s">
        <v>57</v>
      </c>
      <c r="B60" s="305"/>
      <c r="C60" s="305"/>
      <c r="D60" s="305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</row>
    <row r="61" spans="1:15" x14ac:dyDescent="0.35">
      <c r="A61" s="306" t="s">
        <v>59</v>
      </c>
      <c r="B61" s="305"/>
      <c r="C61" s="305"/>
      <c r="D61" s="305"/>
      <c r="E61" s="305"/>
      <c r="F61" s="305"/>
      <c r="G61" s="305"/>
      <c r="H61" s="305"/>
      <c r="I61" s="305"/>
      <c r="J61" s="305"/>
      <c r="K61" s="305"/>
      <c r="L61" s="305"/>
      <c r="M61" s="305"/>
      <c r="N61" s="305"/>
      <c r="O61" s="305"/>
    </row>
    <row r="62" spans="1:15" x14ac:dyDescent="0.35">
      <c r="A62" s="306" t="s">
        <v>96</v>
      </c>
      <c r="B62" s="305"/>
      <c r="C62" s="305"/>
      <c r="D62" s="305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0"/>
  <dimension ref="A1:AA508"/>
  <sheetViews>
    <sheetView zoomScale="90" zoomScaleNormal="90" workbookViewId="0">
      <pane ySplit="1" topLeftCell="A2" activePane="bottomLeft" state="frozen"/>
      <selection activeCell="A2" sqref="A2"/>
      <selection pane="bottomLeft" activeCell="G9" sqref="G9"/>
    </sheetView>
  </sheetViews>
  <sheetFormatPr defaultRowHeight="14.5" x14ac:dyDescent="0.35"/>
  <cols>
    <col min="1" max="1" width="11.54296875" style="2" customWidth="1"/>
    <col min="2" max="2" width="11.54296875" style="115" customWidth="1"/>
    <col min="3" max="3" width="50" style="116" bestFit="1" customWidth="1"/>
    <col min="4" max="4" width="11.54296875" style="386" customWidth="1"/>
    <col min="5" max="5" width="10.453125" customWidth="1"/>
    <col min="6" max="6" width="11.54296875" style="2" customWidth="1"/>
    <col min="7" max="7" width="11.54296875" style="52" customWidth="1"/>
    <col min="8" max="8" width="14.7265625" style="111" customWidth="1"/>
    <col min="9" max="10" width="14.7265625" style="2" customWidth="1"/>
    <col min="11" max="11" width="11.54296875" style="2" customWidth="1"/>
    <col min="12" max="12" width="11.54296875" style="112" customWidth="1"/>
    <col min="13" max="13" width="14.54296875" style="121" customWidth="1"/>
    <col min="14" max="14" width="14.54296875" style="381" customWidth="1"/>
    <col min="15" max="15" width="14.54296875" style="113" customWidth="1"/>
    <col min="16" max="17" width="14.54296875" style="106" customWidth="1"/>
    <col min="18" max="18" width="13.1796875" style="65" bestFit="1" customWidth="1"/>
    <col min="19" max="19" width="11.453125" style="65" bestFit="1" customWidth="1"/>
    <col min="20" max="20" width="12.1796875" style="65" customWidth="1"/>
    <col min="21" max="21" width="11.26953125" customWidth="1"/>
  </cols>
  <sheetData>
    <row r="1" spans="1:27" s="63" customFormat="1" ht="42" customHeight="1" x14ac:dyDescent="0.35">
      <c r="A1" s="110" t="s">
        <v>380</v>
      </c>
      <c r="B1" s="114" t="s">
        <v>0</v>
      </c>
      <c r="C1" s="114" t="s">
        <v>6</v>
      </c>
      <c r="D1" s="385" t="s">
        <v>381</v>
      </c>
      <c r="E1" s="66" t="s">
        <v>969</v>
      </c>
      <c r="F1" s="110" t="s">
        <v>382</v>
      </c>
      <c r="G1" s="66" t="s">
        <v>383</v>
      </c>
      <c r="H1" s="110" t="s">
        <v>384</v>
      </c>
      <c r="I1" s="110" t="s">
        <v>593</v>
      </c>
      <c r="J1" s="110" t="s">
        <v>958</v>
      </c>
      <c r="K1" s="110" t="s">
        <v>594</v>
      </c>
      <c r="L1" s="109" t="s">
        <v>15</v>
      </c>
      <c r="M1" s="109" t="s">
        <v>16</v>
      </c>
      <c r="N1" s="379" t="s">
        <v>23</v>
      </c>
      <c r="O1" s="110" t="s">
        <v>1</v>
      </c>
      <c r="P1" s="110" t="s">
        <v>379</v>
      </c>
      <c r="Q1" s="110" t="s">
        <v>5</v>
      </c>
      <c r="R1" s="66" t="s">
        <v>385</v>
      </c>
      <c r="S1" s="66" t="s">
        <v>970</v>
      </c>
      <c r="T1" s="66" t="s">
        <v>971</v>
      </c>
      <c r="U1" s="262" t="s">
        <v>737</v>
      </c>
      <c r="AA1" s="64">
        <f>SUBTOTAL(3,A:A)-1</f>
        <v>503</v>
      </c>
    </row>
    <row r="2" spans="1:27" x14ac:dyDescent="0.35">
      <c r="A2" s="2">
        <v>66</v>
      </c>
      <c r="B2" s="115" t="s">
        <v>99</v>
      </c>
      <c r="C2" s="116" t="s">
        <v>100</v>
      </c>
      <c r="D2" s="2"/>
      <c r="E2" s="52"/>
      <c r="F2" s="111"/>
      <c r="H2" s="2">
        <v>30</v>
      </c>
      <c r="I2" s="2">
        <v>0</v>
      </c>
      <c r="J2" s="2">
        <v>0</v>
      </c>
      <c r="K2" s="2">
        <v>2</v>
      </c>
      <c r="L2" s="2">
        <v>9.3999999999999986</v>
      </c>
      <c r="M2" s="2">
        <v>10.287500000000001</v>
      </c>
      <c r="N2" s="380">
        <v>2.8057499999999999E-2</v>
      </c>
      <c r="O2" s="2" t="s">
        <v>1095</v>
      </c>
      <c r="P2" s="2">
        <v>100</v>
      </c>
      <c r="Q2" s="2" t="s">
        <v>63</v>
      </c>
      <c r="R2" s="8">
        <v>5</v>
      </c>
      <c r="S2" s="8">
        <v>150</v>
      </c>
      <c r="T2" s="8">
        <v>0</v>
      </c>
      <c r="U2" s="8" t="s">
        <v>845</v>
      </c>
    </row>
    <row r="3" spans="1:27" x14ac:dyDescent="0.35">
      <c r="A3" s="2">
        <v>66</v>
      </c>
      <c r="B3" s="115" t="s">
        <v>101</v>
      </c>
      <c r="C3" s="116" t="s">
        <v>102</v>
      </c>
      <c r="D3" s="2"/>
      <c r="E3" s="52"/>
      <c r="F3" s="111"/>
      <c r="H3" s="2">
        <v>30</v>
      </c>
      <c r="I3" s="2">
        <v>0</v>
      </c>
      <c r="J3" s="2">
        <v>0</v>
      </c>
      <c r="K3" s="2">
        <v>2</v>
      </c>
      <c r="L3" s="2">
        <v>9.3999999999999986</v>
      </c>
      <c r="M3" s="2">
        <v>10.287500000000001</v>
      </c>
      <c r="N3" s="380">
        <v>2.8057499999999999E-2</v>
      </c>
      <c r="O3" s="2" t="s">
        <v>1095</v>
      </c>
      <c r="P3" s="2">
        <v>100</v>
      </c>
      <c r="Q3" s="2" t="s">
        <v>63</v>
      </c>
      <c r="R3" s="8">
        <v>5</v>
      </c>
      <c r="S3" s="8">
        <v>150</v>
      </c>
      <c r="T3" s="8">
        <v>0</v>
      </c>
      <c r="U3" s="8" t="s">
        <v>845</v>
      </c>
    </row>
    <row r="4" spans="1:27" x14ac:dyDescent="0.35">
      <c r="A4" s="2">
        <v>66</v>
      </c>
      <c r="B4" s="115" t="s">
        <v>103</v>
      </c>
      <c r="C4" s="116" t="s">
        <v>104</v>
      </c>
      <c r="D4" s="2"/>
      <c r="E4" s="52"/>
      <c r="F4" s="111"/>
      <c r="H4" s="2">
        <v>30</v>
      </c>
      <c r="I4" s="2">
        <v>0</v>
      </c>
      <c r="J4" s="2">
        <v>0</v>
      </c>
      <c r="K4" s="2">
        <v>2</v>
      </c>
      <c r="L4" s="2">
        <v>9.3999999999999986</v>
      </c>
      <c r="M4" s="2">
        <v>10.287500000000001</v>
      </c>
      <c r="N4" s="380">
        <v>2.8057499999999999E-2</v>
      </c>
      <c r="O4" s="2" t="s">
        <v>1095</v>
      </c>
      <c r="P4" s="2">
        <v>100</v>
      </c>
      <c r="Q4" s="2" t="s">
        <v>63</v>
      </c>
      <c r="R4" s="8">
        <v>5</v>
      </c>
      <c r="S4" s="8">
        <v>150</v>
      </c>
      <c r="T4" s="8">
        <v>0</v>
      </c>
      <c r="U4" s="8" t="s">
        <v>845</v>
      </c>
    </row>
    <row r="5" spans="1:27" x14ac:dyDescent="0.35">
      <c r="A5" s="2">
        <v>66</v>
      </c>
      <c r="B5" s="115" t="s">
        <v>105</v>
      </c>
      <c r="C5" s="116" t="s">
        <v>106</v>
      </c>
      <c r="D5" s="2"/>
      <c r="E5" s="52"/>
      <c r="F5" s="111"/>
      <c r="H5" s="2">
        <v>30</v>
      </c>
      <c r="I5" s="2">
        <v>0</v>
      </c>
      <c r="J5" s="2">
        <v>0</v>
      </c>
      <c r="K5" s="2">
        <v>2</v>
      </c>
      <c r="L5" s="2">
        <v>9.3999999999999986</v>
      </c>
      <c r="M5" s="2">
        <v>10.287500000000001</v>
      </c>
      <c r="N5" s="380">
        <v>2.8057499999999999E-2</v>
      </c>
      <c r="O5" s="2" t="s">
        <v>1095</v>
      </c>
      <c r="P5" s="2">
        <v>100</v>
      </c>
      <c r="Q5" s="2" t="s">
        <v>63</v>
      </c>
      <c r="R5" s="8">
        <v>5</v>
      </c>
      <c r="S5" s="8">
        <v>150</v>
      </c>
      <c r="T5" s="8">
        <v>0</v>
      </c>
      <c r="U5" s="8" t="s">
        <v>845</v>
      </c>
    </row>
    <row r="6" spans="1:27" x14ac:dyDescent="0.35">
      <c r="A6" s="2">
        <v>66</v>
      </c>
      <c r="B6" s="115" t="s">
        <v>107</v>
      </c>
      <c r="C6" s="116" t="s">
        <v>108</v>
      </c>
      <c r="D6" s="2"/>
      <c r="E6" s="52"/>
      <c r="F6" s="111"/>
      <c r="H6" s="2">
        <v>30</v>
      </c>
      <c r="I6" s="2">
        <v>0</v>
      </c>
      <c r="J6" s="2">
        <v>0</v>
      </c>
      <c r="K6" s="2">
        <v>2</v>
      </c>
      <c r="L6" s="2">
        <v>8.5875000000000004</v>
      </c>
      <c r="M6" s="2">
        <v>9.4499999999999993</v>
      </c>
      <c r="N6" s="380">
        <v>3.1443749999999999E-2</v>
      </c>
      <c r="O6" s="2" t="s">
        <v>1095</v>
      </c>
      <c r="P6" s="2">
        <v>100</v>
      </c>
      <c r="Q6" s="2" t="s">
        <v>63</v>
      </c>
      <c r="R6" s="8">
        <v>5</v>
      </c>
      <c r="S6" s="8">
        <v>150</v>
      </c>
      <c r="T6" s="8">
        <v>0</v>
      </c>
      <c r="U6" s="8" t="s">
        <v>845</v>
      </c>
    </row>
    <row r="7" spans="1:27" x14ac:dyDescent="0.35">
      <c r="A7" s="2">
        <v>66</v>
      </c>
      <c r="B7" s="115" t="s">
        <v>109</v>
      </c>
      <c r="C7" s="116" t="s">
        <v>110</v>
      </c>
      <c r="D7" s="2"/>
      <c r="E7" s="52"/>
      <c r="F7" s="111"/>
      <c r="H7" s="2">
        <v>30</v>
      </c>
      <c r="I7" s="2">
        <v>0</v>
      </c>
      <c r="J7" s="2">
        <v>0</v>
      </c>
      <c r="K7" s="2">
        <v>2</v>
      </c>
      <c r="L7" s="2">
        <v>8.5875000000000004</v>
      </c>
      <c r="M7" s="2">
        <v>9.4499999999999993</v>
      </c>
      <c r="N7" s="380">
        <v>3.1443749999999999E-2</v>
      </c>
      <c r="O7" s="2" t="s">
        <v>1095</v>
      </c>
      <c r="P7" s="2">
        <v>100</v>
      </c>
      <c r="Q7" s="2" t="s">
        <v>63</v>
      </c>
      <c r="R7" s="8">
        <v>5</v>
      </c>
      <c r="S7" s="8">
        <v>150</v>
      </c>
      <c r="T7" s="8">
        <v>0</v>
      </c>
      <c r="U7" s="8" t="s">
        <v>845</v>
      </c>
    </row>
    <row r="8" spans="1:27" x14ac:dyDescent="0.35">
      <c r="A8" s="2">
        <v>66</v>
      </c>
      <c r="B8" s="115" t="s">
        <v>111</v>
      </c>
      <c r="C8" s="116" t="s">
        <v>112</v>
      </c>
      <c r="D8" s="2"/>
      <c r="E8" s="52"/>
      <c r="F8" s="111"/>
      <c r="H8" s="2">
        <v>30</v>
      </c>
      <c r="I8" s="2">
        <v>0</v>
      </c>
      <c r="J8" s="2">
        <v>0</v>
      </c>
      <c r="K8" s="2">
        <v>2</v>
      </c>
      <c r="L8" s="2">
        <v>8.5875000000000004</v>
      </c>
      <c r="M8" s="2">
        <v>9.4499999999999993</v>
      </c>
      <c r="N8" s="380">
        <v>3.1443749999999999E-2</v>
      </c>
      <c r="O8" s="2" t="s">
        <v>1095</v>
      </c>
      <c r="P8" s="2">
        <v>100</v>
      </c>
      <c r="Q8" s="2" t="s">
        <v>63</v>
      </c>
      <c r="R8" s="8">
        <v>5</v>
      </c>
      <c r="S8" s="8">
        <v>150</v>
      </c>
      <c r="T8" s="8">
        <v>0</v>
      </c>
      <c r="U8" s="8" t="s">
        <v>845</v>
      </c>
    </row>
    <row r="9" spans="1:27" x14ac:dyDescent="0.35">
      <c r="A9" s="2">
        <v>66</v>
      </c>
      <c r="B9" s="115" t="s">
        <v>113</v>
      </c>
      <c r="C9" s="116" t="s">
        <v>114</v>
      </c>
      <c r="D9" s="2"/>
      <c r="E9" s="52"/>
      <c r="F9" s="111"/>
      <c r="H9" s="2">
        <v>30</v>
      </c>
      <c r="I9" s="2">
        <v>0</v>
      </c>
      <c r="J9" s="2">
        <v>0</v>
      </c>
      <c r="K9" s="2">
        <v>2</v>
      </c>
      <c r="L9" s="2">
        <v>8.5875000000000004</v>
      </c>
      <c r="M9" s="2">
        <v>9.4499999999999993</v>
      </c>
      <c r="N9" s="380">
        <v>3.1443749999999999E-2</v>
      </c>
      <c r="O9" s="2" t="s">
        <v>1095</v>
      </c>
      <c r="P9" s="2">
        <v>100</v>
      </c>
      <c r="Q9" s="2" t="s">
        <v>63</v>
      </c>
      <c r="R9" s="8">
        <v>5</v>
      </c>
      <c r="S9" s="8">
        <v>150</v>
      </c>
      <c r="T9" s="8">
        <v>0</v>
      </c>
      <c r="U9" s="8" t="s">
        <v>845</v>
      </c>
    </row>
    <row r="10" spans="1:27" x14ac:dyDescent="0.35">
      <c r="A10" s="2">
        <v>66</v>
      </c>
      <c r="B10" s="115" t="s">
        <v>30</v>
      </c>
      <c r="C10" s="116" t="s">
        <v>31</v>
      </c>
      <c r="D10" s="2"/>
      <c r="E10" s="52"/>
      <c r="F10" s="111"/>
      <c r="H10" s="2">
        <v>30</v>
      </c>
      <c r="I10" s="2">
        <v>0</v>
      </c>
      <c r="J10" s="2">
        <v>0</v>
      </c>
      <c r="K10" s="2">
        <v>3</v>
      </c>
      <c r="L10" s="2">
        <v>12.6</v>
      </c>
      <c r="M10" s="2">
        <v>14.475</v>
      </c>
      <c r="N10" s="380">
        <v>7.0207500000000006E-2</v>
      </c>
      <c r="O10" s="2" t="s">
        <v>25</v>
      </c>
      <c r="P10" s="2">
        <v>50</v>
      </c>
      <c r="Q10" s="2">
        <v>0</v>
      </c>
      <c r="R10" s="8">
        <v>5.23</v>
      </c>
      <c r="S10" s="8">
        <v>156.9</v>
      </c>
      <c r="T10" s="8">
        <v>0</v>
      </c>
      <c r="U10" s="8" t="s">
        <v>845</v>
      </c>
    </row>
    <row r="11" spans="1:27" x14ac:dyDescent="0.35">
      <c r="A11" s="2">
        <v>66</v>
      </c>
      <c r="B11" s="115" t="s">
        <v>32</v>
      </c>
      <c r="C11" s="116" t="s">
        <v>33</v>
      </c>
      <c r="D11" s="2"/>
      <c r="E11" s="52"/>
      <c r="F11" s="111"/>
      <c r="H11" s="2">
        <v>30</v>
      </c>
      <c r="I11" s="2">
        <v>0</v>
      </c>
      <c r="J11" s="2">
        <v>0</v>
      </c>
      <c r="K11" s="2">
        <v>3</v>
      </c>
      <c r="L11" s="2">
        <v>12.6</v>
      </c>
      <c r="M11" s="2">
        <v>14.475</v>
      </c>
      <c r="N11" s="380">
        <v>7.0207500000000006E-2</v>
      </c>
      <c r="O11" s="2" t="s">
        <v>25</v>
      </c>
      <c r="P11" s="2">
        <v>50</v>
      </c>
      <c r="Q11" s="2">
        <v>0</v>
      </c>
      <c r="R11" s="8">
        <v>5.23</v>
      </c>
      <c r="S11" s="8">
        <v>156.9</v>
      </c>
      <c r="T11" s="8">
        <v>0</v>
      </c>
      <c r="U11" s="8" t="s">
        <v>845</v>
      </c>
    </row>
    <row r="12" spans="1:27" x14ac:dyDescent="0.35">
      <c r="A12" s="2">
        <v>66</v>
      </c>
      <c r="B12" s="115" t="s">
        <v>34</v>
      </c>
      <c r="C12" s="116" t="s">
        <v>35</v>
      </c>
      <c r="D12" s="2"/>
      <c r="E12" s="52"/>
      <c r="F12" s="111"/>
      <c r="H12" s="2">
        <v>30</v>
      </c>
      <c r="I12" s="2">
        <v>0</v>
      </c>
      <c r="J12" s="2">
        <v>0</v>
      </c>
      <c r="K12" s="2">
        <v>3</v>
      </c>
      <c r="L12" s="2">
        <v>12.6</v>
      </c>
      <c r="M12" s="2">
        <v>14.475</v>
      </c>
      <c r="N12" s="380">
        <v>7.0207500000000006E-2</v>
      </c>
      <c r="O12" s="2" t="s">
        <v>25</v>
      </c>
      <c r="P12" s="2">
        <v>50</v>
      </c>
      <c r="Q12" s="2">
        <v>0</v>
      </c>
      <c r="R12" s="8">
        <v>5.23</v>
      </c>
      <c r="S12" s="8">
        <v>156.9</v>
      </c>
      <c r="T12" s="8">
        <v>0</v>
      </c>
      <c r="U12" s="8" t="s">
        <v>845</v>
      </c>
    </row>
    <row r="13" spans="1:27" x14ac:dyDescent="0.35">
      <c r="A13" s="2">
        <v>66</v>
      </c>
      <c r="B13" s="115" t="s">
        <v>36</v>
      </c>
      <c r="C13" s="116" t="s">
        <v>38</v>
      </c>
      <c r="D13" s="2"/>
      <c r="E13" s="52"/>
      <c r="F13" s="111"/>
      <c r="H13" s="2">
        <v>30</v>
      </c>
      <c r="I13" s="2">
        <v>0</v>
      </c>
      <c r="J13" s="2">
        <v>0</v>
      </c>
      <c r="K13" s="2">
        <v>3</v>
      </c>
      <c r="L13" s="2">
        <v>11.950000000000001</v>
      </c>
      <c r="M13" s="2">
        <v>13.125</v>
      </c>
      <c r="N13" s="380">
        <v>7.0207500000000006E-2</v>
      </c>
      <c r="O13" s="2" t="s">
        <v>25</v>
      </c>
      <c r="P13" s="2">
        <v>50</v>
      </c>
      <c r="Q13" s="2">
        <v>0</v>
      </c>
      <c r="R13" s="8">
        <v>5.23</v>
      </c>
      <c r="S13" s="8">
        <v>156.9</v>
      </c>
      <c r="T13" s="8">
        <v>0</v>
      </c>
      <c r="U13" s="8" t="s">
        <v>845</v>
      </c>
    </row>
    <row r="14" spans="1:27" x14ac:dyDescent="0.35">
      <c r="A14" s="2">
        <v>66</v>
      </c>
      <c r="B14" s="115" t="s">
        <v>39</v>
      </c>
      <c r="C14" s="116" t="s">
        <v>40</v>
      </c>
      <c r="D14" s="2"/>
      <c r="E14" s="52"/>
      <c r="F14" s="111"/>
      <c r="H14" s="2">
        <v>30</v>
      </c>
      <c r="I14" s="2">
        <v>0</v>
      </c>
      <c r="J14" s="2">
        <v>0</v>
      </c>
      <c r="K14" s="2">
        <v>3</v>
      </c>
      <c r="L14" s="2">
        <v>11.950000000000001</v>
      </c>
      <c r="M14" s="2">
        <v>13.125</v>
      </c>
      <c r="N14" s="380">
        <v>7.0207500000000006E-2</v>
      </c>
      <c r="O14" s="2" t="s">
        <v>25</v>
      </c>
      <c r="P14" s="2">
        <v>50</v>
      </c>
      <c r="Q14" s="2">
        <v>0</v>
      </c>
      <c r="R14" s="8">
        <v>5.23</v>
      </c>
      <c r="S14" s="8">
        <v>156.9</v>
      </c>
      <c r="T14" s="8">
        <v>0</v>
      </c>
      <c r="U14" s="8" t="s">
        <v>845</v>
      </c>
    </row>
    <row r="15" spans="1:27" x14ac:dyDescent="0.35">
      <c r="A15" s="2">
        <v>66</v>
      </c>
      <c r="B15" s="115" t="s">
        <v>41</v>
      </c>
      <c r="C15" s="116" t="s">
        <v>42</v>
      </c>
      <c r="D15" s="2"/>
      <c r="E15" s="52"/>
      <c r="F15" s="111"/>
      <c r="H15" s="2">
        <v>30</v>
      </c>
      <c r="I15" s="2">
        <v>0</v>
      </c>
      <c r="J15" s="2">
        <v>0</v>
      </c>
      <c r="K15" s="2">
        <v>3</v>
      </c>
      <c r="L15" s="2">
        <v>11.950000000000001</v>
      </c>
      <c r="M15" s="2">
        <v>13.125</v>
      </c>
      <c r="N15" s="380">
        <v>7.0207500000000006E-2</v>
      </c>
      <c r="O15" s="2" t="s">
        <v>25</v>
      </c>
      <c r="P15" s="2">
        <v>50</v>
      </c>
      <c r="Q15" s="2">
        <v>0</v>
      </c>
      <c r="R15" s="8">
        <v>5.23</v>
      </c>
      <c r="S15" s="8">
        <v>156.9</v>
      </c>
      <c r="T15" s="8">
        <v>0</v>
      </c>
      <c r="U15" s="8" t="s">
        <v>845</v>
      </c>
    </row>
    <row r="16" spans="1:27" x14ac:dyDescent="0.35">
      <c r="A16" s="2">
        <v>66</v>
      </c>
      <c r="B16" s="115" t="s">
        <v>43</v>
      </c>
      <c r="C16" s="116" t="s">
        <v>44</v>
      </c>
      <c r="D16" s="2"/>
      <c r="E16" s="52"/>
      <c r="F16" s="111"/>
      <c r="H16" s="2">
        <v>30</v>
      </c>
      <c r="I16" s="2">
        <v>0</v>
      </c>
      <c r="J16" s="2">
        <v>0</v>
      </c>
      <c r="K16" s="2">
        <v>3</v>
      </c>
      <c r="L16" s="2">
        <v>11.950000000000001</v>
      </c>
      <c r="M16" s="2">
        <v>13.125</v>
      </c>
      <c r="N16" s="380">
        <v>7.0207500000000006E-2</v>
      </c>
      <c r="O16" s="2" t="s">
        <v>25</v>
      </c>
      <c r="P16" s="2">
        <v>50</v>
      </c>
      <c r="Q16" s="2">
        <v>0</v>
      </c>
      <c r="R16" s="8">
        <v>5.23</v>
      </c>
      <c r="S16" s="8">
        <v>156.9</v>
      </c>
      <c r="T16" s="8">
        <v>0</v>
      </c>
      <c r="U16" s="8" t="s">
        <v>845</v>
      </c>
    </row>
    <row r="17" spans="1:21" x14ac:dyDescent="0.35">
      <c r="A17" s="2">
        <v>65</v>
      </c>
      <c r="B17" s="115" t="s">
        <v>118</v>
      </c>
      <c r="C17" s="116" t="s">
        <v>119</v>
      </c>
      <c r="D17" s="2"/>
      <c r="E17" s="52"/>
      <c r="F17" s="111">
        <v>30</v>
      </c>
      <c r="G17" s="52">
        <v>6.25</v>
      </c>
      <c r="H17" s="2"/>
      <c r="I17" s="2">
        <v>0</v>
      </c>
      <c r="J17" s="2">
        <v>2</v>
      </c>
      <c r="K17" s="2">
        <v>0</v>
      </c>
      <c r="L17" s="2">
        <v>11.850000000000001</v>
      </c>
      <c r="M17" s="2">
        <v>12.375</v>
      </c>
      <c r="N17" s="380">
        <v>2.1621874999999999E-2</v>
      </c>
      <c r="O17" s="2" t="s">
        <v>116</v>
      </c>
      <c r="P17" s="2">
        <v>100</v>
      </c>
      <c r="Q17" s="2" t="s">
        <v>63</v>
      </c>
      <c r="R17" s="8">
        <v>11.68</v>
      </c>
      <c r="S17" s="8">
        <v>350.4</v>
      </c>
      <c r="T17" s="8">
        <v>187.5</v>
      </c>
      <c r="U17" s="8" t="s">
        <v>725</v>
      </c>
    </row>
    <row r="18" spans="1:21" x14ac:dyDescent="0.35">
      <c r="A18" s="2">
        <v>65</v>
      </c>
      <c r="B18" s="115" t="s">
        <v>120</v>
      </c>
      <c r="C18" s="116" t="s">
        <v>713</v>
      </c>
      <c r="D18" s="2">
        <v>120</v>
      </c>
      <c r="E18" s="52">
        <v>12.5</v>
      </c>
      <c r="F18" s="111">
        <v>120</v>
      </c>
      <c r="G18" s="52">
        <v>6.25</v>
      </c>
      <c r="H18" s="2"/>
      <c r="I18" s="2">
        <v>5</v>
      </c>
      <c r="J18" s="2">
        <v>5</v>
      </c>
      <c r="K18" s="2">
        <v>0</v>
      </c>
      <c r="L18" s="2">
        <v>94.800000000000011</v>
      </c>
      <c r="M18" s="2">
        <v>99</v>
      </c>
      <c r="N18" s="380">
        <v>0.17297499999999999</v>
      </c>
      <c r="O18" s="2" t="s">
        <v>116</v>
      </c>
      <c r="P18" s="2">
        <v>100</v>
      </c>
      <c r="Q18" s="2" t="s">
        <v>63</v>
      </c>
      <c r="R18" s="8">
        <v>11.68</v>
      </c>
      <c r="S18" s="8">
        <v>2803.2</v>
      </c>
      <c r="T18" s="8">
        <v>2250</v>
      </c>
      <c r="U18" s="8" t="s">
        <v>725</v>
      </c>
    </row>
    <row r="19" spans="1:21" x14ac:dyDescent="0.35">
      <c r="A19" s="2">
        <v>65</v>
      </c>
      <c r="B19" s="115" t="s">
        <v>122</v>
      </c>
      <c r="C19" s="116" t="s">
        <v>123</v>
      </c>
      <c r="D19" s="2">
        <v>240</v>
      </c>
      <c r="E19" s="52">
        <v>12.5</v>
      </c>
      <c r="F19" s="111">
        <v>20</v>
      </c>
      <c r="G19" s="52">
        <v>6.25</v>
      </c>
      <c r="H19" s="2">
        <v>20</v>
      </c>
      <c r="I19" s="2">
        <v>10</v>
      </c>
      <c r="J19" s="2">
        <v>1</v>
      </c>
      <c r="K19" s="2">
        <v>1</v>
      </c>
      <c r="L19" s="2">
        <v>110.6</v>
      </c>
      <c r="M19" s="2">
        <v>115.5</v>
      </c>
      <c r="N19" s="380">
        <v>0.20180416666666665</v>
      </c>
      <c r="O19" s="2" t="s">
        <v>116</v>
      </c>
      <c r="P19" s="2">
        <v>100</v>
      </c>
      <c r="Q19" s="2" t="s">
        <v>63</v>
      </c>
      <c r="R19" s="8">
        <v>11.68</v>
      </c>
      <c r="S19" s="8">
        <v>3270.4</v>
      </c>
      <c r="T19" s="8">
        <v>3125</v>
      </c>
      <c r="U19" s="8" t="s">
        <v>725</v>
      </c>
    </row>
    <row r="20" spans="1:21" x14ac:dyDescent="0.35">
      <c r="A20" s="2">
        <v>65</v>
      </c>
      <c r="B20" s="115" t="s">
        <v>124</v>
      </c>
      <c r="C20" s="116" t="s">
        <v>125</v>
      </c>
      <c r="D20" s="2"/>
      <c r="E20" s="52"/>
      <c r="F20" s="111">
        <v>30</v>
      </c>
      <c r="G20" s="52">
        <v>6.25</v>
      </c>
      <c r="H20" s="2"/>
      <c r="I20" s="2">
        <v>0</v>
      </c>
      <c r="J20" s="2">
        <v>2</v>
      </c>
      <c r="K20" s="2">
        <v>0</v>
      </c>
      <c r="L20" s="2">
        <v>11.399999999999999</v>
      </c>
      <c r="M20" s="2">
        <v>11.875</v>
      </c>
      <c r="N20" s="380">
        <v>2.1914062500000001E-2</v>
      </c>
      <c r="O20" s="2" t="s">
        <v>116</v>
      </c>
      <c r="P20" s="2">
        <v>100</v>
      </c>
      <c r="Q20" s="2" t="s">
        <v>63</v>
      </c>
      <c r="R20" s="8">
        <v>11.68</v>
      </c>
      <c r="S20" s="8">
        <v>350.4</v>
      </c>
      <c r="T20" s="8">
        <v>187.5</v>
      </c>
      <c r="U20" s="8" t="s">
        <v>725</v>
      </c>
    </row>
    <row r="21" spans="1:21" x14ac:dyDescent="0.35">
      <c r="A21" s="2">
        <v>65</v>
      </c>
      <c r="B21" s="115" t="s">
        <v>130</v>
      </c>
      <c r="C21" s="116" t="s">
        <v>131</v>
      </c>
      <c r="D21" s="2"/>
      <c r="E21" s="52"/>
      <c r="F21" s="111">
        <v>15</v>
      </c>
      <c r="G21" s="52">
        <v>6.25</v>
      </c>
      <c r="H21" s="2"/>
      <c r="I21" s="2">
        <v>0</v>
      </c>
      <c r="J21" s="2">
        <v>1</v>
      </c>
      <c r="K21" s="2">
        <v>0</v>
      </c>
      <c r="L21" s="2">
        <v>5.6999999999999993</v>
      </c>
      <c r="M21" s="2">
        <v>5.9375</v>
      </c>
      <c r="N21" s="380">
        <v>1.0957031250000001E-2</v>
      </c>
      <c r="O21" s="2" t="s">
        <v>116</v>
      </c>
      <c r="P21" s="2">
        <v>100</v>
      </c>
      <c r="Q21" s="2" t="s">
        <v>63</v>
      </c>
      <c r="R21" s="8">
        <v>11.68</v>
      </c>
      <c r="S21" s="8">
        <v>175.2</v>
      </c>
      <c r="T21" s="8">
        <v>93.75</v>
      </c>
      <c r="U21" s="8" t="s">
        <v>725</v>
      </c>
    </row>
    <row r="22" spans="1:21" x14ac:dyDescent="0.35">
      <c r="A22" s="2">
        <v>65</v>
      </c>
      <c r="B22" s="115" t="s">
        <v>149</v>
      </c>
      <c r="C22" s="116" t="s">
        <v>150</v>
      </c>
      <c r="D22" s="2">
        <v>240</v>
      </c>
      <c r="E22" s="52">
        <v>12.5</v>
      </c>
      <c r="F22" s="111">
        <v>20</v>
      </c>
      <c r="G22" s="52">
        <v>6.25</v>
      </c>
      <c r="H22" s="2">
        <v>20</v>
      </c>
      <c r="I22" s="2">
        <v>10</v>
      </c>
      <c r="J22" s="2">
        <v>1</v>
      </c>
      <c r="K22" s="2">
        <v>1</v>
      </c>
      <c r="L22" s="2">
        <v>110.6</v>
      </c>
      <c r="M22" s="2">
        <v>115.5</v>
      </c>
      <c r="N22" s="380">
        <v>0.20453125</v>
      </c>
      <c r="O22" s="2" t="s">
        <v>116</v>
      </c>
      <c r="P22" s="2">
        <v>100</v>
      </c>
      <c r="Q22" s="2" t="s">
        <v>63</v>
      </c>
      <c r="R22" s="8">
        <v>11.68</v>
      </c>
      <c r="S22" s="8">
        <v>3270.4</v>
      </c>
      <c r="T22" s="8">
        <v>3125</v>
      </c>
      <c r="U22" s="8" t="s">
        <v>725</v>
      </c>
    </row>
    <row r="23" spans="1:21" x14ac:dyDescent="0.35">
      <c r="A23" s="2">
        <v>65</v>
      </c>
      <c r="B23" s="115" t="s">
        <v>151</v>
      </c>
      <c r="C23" s="116" t="s">
        <v>152</v>
      </c>
      <c r="D23" s="2">
        <v>150</v>
      </c>
      <c r="E23" s="52">
        <v>12.5</v>
      </c>
      <c r="F23" s="111">
        <v>12</v>
      </c>
      <c r="G23" s="52">
        <v>6.25</v>
      </c>
      <c r="H23" s="2">
        <v>12</v>
      </c>
      <c r="I23" s="2">
        <v>7</v>
      </c>
      <c r="J23" s="2">
        <v>1</v>
      </c>
      <c r="K23" s="2">
        <v>1</v>
      </c>
      <c r="L23" s="2">
        <v>68.73</v>
      </c>
      <c r="M23" s="2">
        <v>71.775000000000006</v>
      </c>
      <c r="N23" s="380">
        <v>0.12710156249999999</v>
      </c>
      <c r="O23" s="2" t="s">
        <v>116</v>
      </c>
      <c r="P23" s="2">
        <v>100</v>
      </c>
      <c r="Q23" s="2" t="s">
        <v>63</v>
      </c>
      <c r="R23" s="8">
        <v>11.68</v>
      </c>
      <c r="S23" s="8">
        <v>2032.32</v>
      </c>
      <c r="T23" s="8">
        <v>1950</v>
      </c>
      <c r="U23" s="8" t="s">
        <v>725</v>
      </c>
    </row>
    <row r="24" spans="1:21" x14ac:dyDescent="0.35">
      <c r="A24" s="2">
        <v>64</v>
      </c>
      <c r="B24" s="115" t="s">
        <v>99</v>
      </c>
      <c r="C24" s="116" t="s">
        <v>100</v>
      </c>
      <c r="D24" s="2">
        <v>36</v>
      </c>
      <c r="E24" s="52">
        <v>5</v>
      </c>
      <c r="F24" s="111"/>
      <c r="H24" s="2">
        <v>6</v>
      </c>
      <c r="I24" s="2">
        <v>2</v>
      </c>
      <c r="J24" s="2">
        <v>0</v>
      </c>
      <c r="K24" s="2">
        <v>1</v>
      </c>
      <c r="L24" s="112">
        <v>13.16</v>
      </c>
      <c r="M24" s="112">
        <v>14.4025</v>
      </c>
      <c r="N24" s="380">
        <v>3.9280500000000003E-2</v>
      </c>
      <c r="O24" s="2" t="s">
        <v>1095</v>
      </c>
      <c r="P24" s="2">
        <v>100</v>
      </c>
      <c r="Q24" s="2" t="s">
        <v>63</v>
      </c>
      <c r="R24" s="8">
        <v>5</v>
      </c>
      <c r="S24" s="8">
        <v>210</v>
      </c>
      <c r="T24" s="8">
        <v>180</v>
      </c>
      <c r="U24" s="8" t="s">
        <v>725</v>
      </c>
    </row>
    <row r="25" spans="1:21" x14ac:dyDescent="0.35">
      <c r="A25" s="2">
        <v>64</v>
      </c>
      <c r="B25" s="115" t="s">
        <v>101</v>
      </c>
      <c r="C25" s="116" t="s">
        <v>102</v>
      </c>
      <c r="D25" s="2">
        <v>48</v>
      </c>
      <c r="E25" s="52">
        <v>5</v>
      </c>
      <c r="F25" s="111"/>
      <c r="H25" s="2">
        <v>6</v>
      </c>
      <c r="I25" s="2">
        <v>2</v>
      </c>
      <c r="J25" s="2">
        <v>0</v>
      </c>
      <c r="K25" s="2">
        <v>1</v>
      </c>
      <c r="L25" s="112">
        <v>16.919999999999998</v>
      </c>
      <c r="M25" s="112">
        <v>18.517500000000002</v>
      </c>
      <c r="N25" s="380">
        <v>5.05035E-2</v>
      </c>
      <c r="O25" s="2" t="s">
        <v>1095</v>
      </c>
      <c r="P25" s="2">
        <v>100</v>
      </c>
      <c r="Q25" s="2" t="s">
        <v>63</v>
      </c>
      <c r="R25" s="8">
        <v>5</v>
      </c>
      <c r="S25" s="8">
        <v>270</v>
      </c>
      <c r="T25" s="8">
        <v>240</v>
      </c>
      <c r="U25" s="8" t="s">
        <v>725</v>
      </c>
    </row>
    <row r="26" spans="1:21" x14ac:dyDescent="0.35">
      <c r="A26" s="2">
        <v>64</v>
      </c>
      <c r="B26" s="115" t="s">
        <v>103</v>
      </c>
      <c r="C26" s="116" t="s">
        <v>104</v>
      </c>
      <c r="D26" s="2">
        <v>36</v>
      </c>
      <c r="E26" s="52">
        <v>5</v>
      </c>
      <c r="F26" s="111"/>
      <c r="H26" s="2">
        <v>6</v>
      </c>
      <c r="I26" s="2">
        <v>2</v>
      </c>
      <c r="J26" s="2">
        <v>0</v>
      </c>
      <c r="K26" s="2">
        <v>1</v>
      </c>
      <c r="L26" s="112">
        <v>13.16</v>
      </c>
      <c r="M26" s="112">
        <v>14.4025</v>
      </c>
      <c r="N26" s="380">
        <v>3.9280500000000003E-2</v>
      </c>
      <c r="O26" s="2" t="s">
        <v>1095</v>
      </c>
      <c r="P26" s="2">
        <v>100</v>
      </c>
      <c r="Q26" s="2" t="s">
        <v>63</v>
      </c>
      <c r="R26" s="8">
        <v>5</v>
      </c>
      <c r="S26" s="8">
        <v>210</v>
      </c>
      <c r="T26" s="8">
        <v>180</v>
      </c>
      <c r="U26" s="8" t="s">
        <v>725</v>
      </c>
    </row>
    <row r="27" spans="1:21" x14ac:dyDescent="0.35">
      <c r="A27" s="2">
        <v>64</v>
      </c>
      <c r="B27" s="115" t="s">
        <v>105</v>
      </c>
      <c r="C27" s="116" t="s">
        <v>106</v>
      </c>
      <c r="D27" s="2">
        <v>36</v>
      </c>
      <c r="E27" s="52">
        <v>5</v>
      </c>
      <c r="F27" s="111"/>
      <c r="H27" s="2">
        <v>6</v>
      </c>
      <c r="I27" s="2">
        <v>2</v>
      </c>
      <c r="J27" s="2">
        <v>0</v>
      </c>
      <c r="K27" s="2">
        <v>1</v>
      </c>
      <c r="L27" s="112">
        <v>13.16</v>
      </c>
      <c r="M27" s="112">
        <v>14.4025</v>
      </c>
      <c r="N27" s="380">
        <v>3.9280500000000003E-2</v>
      </c>
      <c r="O27" s="2" t="s">
        <v>1095</v>
      </c>
      <c r="P27" s="2">
        <v>100</v>
      </c>
      <c r="Q27" s="2" t="s">
        <v>63</v>
      </c>
      <c r="R27" s="8">
        <v>5</v>
      </c>
      <c r="S27" s="8">
        <v>210</v>
      </c>
      <c r="T27" s="8">
        <v>180</v>
      </c>
      <c r="U27" s="8" t="s">
        <v>725</v>
      </c>
    </row>
    <row r="28" spans="1:21" x14ac:dyDescent="0.35">
      <c r="A28" s="2">
        <v>64</v>
      </c>
      <c r="B28" s="115" t="s">
        <v>113</v>
      </c>
      <c r="C28" s="116" t="s">
        <v>114</v>
      </c>
      <c r="D28" s="2">
        <v>36</v>
      </c>
      <c r="E28" s="52">
        <v>5</v>
      </c>
      <c r="F28" s="111"/>
      <c r="H28" s="2">
        <v>6</v>
      </c>
      <c r="I28" s="2">
        <v>2</v>
      </c>
      <c r="J28" s="2">
        <v>0</v>
      </c>
      <c r="K28" s="2">
        <v>1</v>
      </c>
      <c r="L28" s="112">
        <v>12.022500000000001</v>
      </c>
      <c r="M28" s="112">
        <v>13.229999999999999</v>
      </c>
      <c r="N28" s="380">
        <v>4.4021249999999998E-2</v>
      </c>
      <c r="O28" s="2" t="s">
        <v>1095</v>
      </c>
      <c r="P28" s="2">
        <v>100</v>
      </c>
      <c r="Q28" s="2" t="s">
        <v>63</v>
      </c>
      <c r="R28" s="8">
        <v>5</v>
      </c>
      <c r="S28" s="8">
        <v>210</v>
      </c>
      <c r="T28" s="8">
        <v>180</v>
      </c>
      <c r="U28" s="8" t="s">
        <v>725</v>
      </c>
    </row>
    <row r="29" spans="1:21" x14ac:dyDescent="0.35">
      <c r="A29" s="2">
        <v>64</v>
      </c>
      <c r="B29" s="115" t="s">
        <v>24</v>
      </c>
      <c r="C29" s="116" t="s">
        <v>27</v>
      </c>
      <c r="D29" s="2">
        <v>36</v>
      </c>
      <c r="E29" s="52">
        <v>5</v>
      </c>
      <c r="F29" s="111"/>
      <c r="H29" s="2"/>
      <c r="I29" s="2">
        <v>3</v>
      </c>
      <c r="J29" s="2">
        <v>0</v>
      </c>
      <c r="K29" s="2">
        <v>0</v>
      </c>
      <c r="L29" s="112">
        <v>15.120000000000001</v>
      </c>
      <c r="M29" s="112">
        <v>17.37</v>
      </c>
      <c r="N29" s="380">
        <v>8.4249000000000004E-2</v>
      </c>
      <c r="O29" s="2" t="s">
        <v>25</v>
      </c>
      <c r="P29" s="2">
        <v>50</v>
      </c>
      <c r="Q29" s="2">
        <v>0</v>
      </c>
      <c r="R29" s="8">
        <v>5.23</v>
      </c>
      <c r="S29" s="8">
        <v>188.28000000000003</v>
      </c>
      <c r="T29" s="8">
        <v>180</v>
      </c>
      <c r="U29" s="8" t="s">
        <v>725</v>
      </c>
    </row>
    <row r="30" spans="1:21" x14ac:dyDescent="0.35">
      <c r="A30" s="2">
        <v>64</v>
      </c>
      <c r="B30" s="115" t="s">
        <v>30</v>
      </c>
      <c r="C30" s="116" t="s">
        <v>31</v>
      </c>
      <c r="D30" s="2">
        <v>36</v>
      </c>
      <c r="E30" s="52">
        <v>5</v>
      </c>
      <c r="F30" s="111"/>
      <c r="H30" s="2"/>
      <c r="I30" s="2">
        <v>3</v>
      </c>
      <c r="J30" s="2">
        <v>0</v>
      </c>
      <c r="K30" s="2">
        <v>0</v>
      </c>
      <c r="L30" s="112">
        <v>15.120000000000001</v>
      </c>
      <c r="M30" s="112">
        <v>17.37</v>
      </c>
      <c r="N30" s="380">
        <v>8.4249000000000004E-2</v>
      </c>
      <c r="O30" s="2" t="s">
        <v>25</v>
      </c>
      <c r="P30" s="2">
        <v>50</v>
      </c>
      <c r="Q30" s="2">
        <v>0</v>
      </c>
      <c r="R30" s="8">
        <v>5.23</v>
      </c>
      <c r="S30" s="8">
        <v>188.28000000000003</v>
      </c>
      <c r="T30" s="8">
        <v>180</v>
      </c>
      <c r="U30" s="8" t="s">
        <v>725</v>
      </c>
    </row>
    <row r="31" spans="1:21" x14ac:dyDescent="0.35">
      <c r="A31" s="2">
        <v>64</v>
      </c>
      <c r="B31" s="115" t="s">
        <v>32</v>
      </c>
      <c r="C31" s="116" t="s">
        <v>33</v>
      </c>
      <c r="D31" s="2">
        <v>36</v>
      </c>
      <c r="E31" s="52">
        <v>5</v>
      </c>
      <c r="F31" s="111"/>
      <c r="H31" s="2"/>
      <c r="I31" s="2">
        <v>3</v>
      </c>
      <c r="J31" s="2">
        <v>0</v>
      </c>
      <c r="K31" s="2">
        <v>0</v>
      </c>
      <c r="L31" s="112">
        <v>15.120000000000001</v>
      </c>
      <c r="M31" s="112">
        <v>17.37</v>
      </c>
      <c r="N31" s="380">
        <v>8.4249000000000004E-2</v>
      </c>
      <c r="O31" s="2" t="s">
        <v>25</v>
      </c>
      <c r="P31" s="2">
        <v>50</v>
      </c>
      <c r="Q31" s="2">
        <v>0</v>
      </c>
      <c r="R31" s="8">
        <v>5.23</v>
      </c>
      <c r="S31" s="8">
        <v>188.28000000000003</v>
      </c>
      <c r="T31" s="8">
        <v>180</v>
      </c>
      <c r="U31" s="8" t="s">
        <v>725</v>
      </c>
    </row>
    <row r="32" spans="1:21" x14ac:dyDescent="0.35">
      <c r="A32" s="2">
        <v>64</v>
      </c>
      <c r="B32" s="115" t="s">
        <v>34</v>
      </c>
      <c r="C32" s="116" t="s">
        <v>35</v>
      </c>
      <c r="D32" s="2">
        <v>36</v>
      </c>
      <c r="E32" s="52">
        <v>5</v>
      </c>
      <c r="F32" s="111"/>
      <c r="H32" s="2"/>
      <c r="I32" s="2">
        <v>3</v>
      </c>
      <c r="J32" s="2">
        <v>0</v>
      </c>
      <c r="K32" s="2">
        <v>0</v>
      </c>
      <c r="L32" s="112">
        <v>15.120000000000001</v>
      </c>
      <c r="M32" s="112">
        <v>17.37</v>
      </c>
      <c r="N32" s="380">
        <v>8.4249000000000004E-2</v>
      </c>
      <c r="O32" s="2" t="s">
        <v>25</v>
      </c>
      <c r="P32" s="2">
        <v>50</v>
      </c>
      <c r="Q32" s="2">
        <v>0</v>
      </c>
      <c r="R32" s="8">
        <v>5.23</v>
      </c>
      <c r="S32" s="8">
        <v>188.28000000000003</v>
      </c>
      <c r="T32" s="8">
        <v>180</v>
      </c>
      <c r="U32" s="8" t="s">
        <v>725</v>
      </c>
    </row>
    <row r="33" spans="1:21" x14ac:dyDescent="0.35">
      <c r="A33" s="2">
        <v>64</v>
      </c>
      <c r="B33" s="115" t="s">
        <v>45</v>
      </c>
      <c r="C33" s="116" t="s">
        <v>46</v>
      </c>
      <c r="D33" s="2">
        <v>24</v>
      </c>
      <c r="E33" s="52">
        <v>5.5</v>
      </c>
      <c r="F33" s="111"/>
      <c r="H33" s="2"/>
      <c r="I33" s="2">
        <v>2</v>
      </c>
      <c r="J33" s="2">
        <v>0</v>
      </c>
      <c r="K33" s="2">
        <v>0</v>
      </c>
      <c r="L33" s="112">
        <v>12.34</v>
      </c>
      <c r="M33" s="112">
        <v>13.54</v>
      </c>
      <c r="N33" s="380">
        <v>7.7964000000000006E-2</v>
      </c>
      <c r="O33" s="2" t="s">
        <v>25</v>
      </c>
      <c r="P33" s="2">
        <v>50</v>
      </c>
      <c r="Q33" s="2">
        <v>0</v>
      </c>
      <c r="R33" s="8">
        <v>6.16</v>
      </c>
      <c r="S33" s="8">
        <v>167.28</v>
      </c>
      <c r="T33" s="8">
        <v>132</v>
      </c>
      <c r="U33" s="8" t="s">
        <v>725</v>
      </c>
    </row>
    <row r="34" spans="1:21" x14ac:dyDescent="0.35">
      <c r="A34" s="2">
        <v>64</v>
      </c>
      <c r="B34" s="115" t="s">
        <v>47</v>
      </c>
      <c r="C34" s="116" t="s">
        <v>48</v>
      </c>
      <c r="D34" s="2">
        <v>12</v>
      </c>
      <c r="E34" s="52">
        <v>5.5</v>
      </c>
      <c r="F34" s="111"/>
      <c r="H34" s="2"/>
      <c r="I34" s="2">
        <v>1</v>
      </c>
      <c r="J34" s="2">
        <v>0</v>
      </c>
      <c r="K34" s="2">
        <v>0</v>
      </c>
      <c r="L34" s="112">
        <v>6.17</v>
      </c>
      <c r="M34" s="112">
        <v>6.77</v>
      </c>
      <c r="N34" s="380">
        <v>3.8982000000000003E-2</v>
      </c>
      <c r="O34" s="2" t="s">
        <v>25</v>
      </c>
      <c r="P34" s="2">
        <v>50</v>
      </c>
      <c r="Q34" s="2">
        <v>0</v>
      </c>
      <c r="R34" s="8">
        <v>6.16</v>
      </c>
      <c r="S34" s="8">
        <v>83.64</v>
      </c>
      <c r="T34" s="8">
        <v>66</v>
      </c>
      <c r="U34" s="8" t="s">
        <v>725</v>
      </c>
    </row>
    <row r="35" spans="1:21" x14ac:dyDescent="0.35">
      <c r="A35" s="2">
        <v>64</v>
      </c>
      <c r="B35" s="115" t="s">
        <v>49</v>
      </c>
      <c r="C35" s="116" t="s">
        <v>50</v>
      </c>
      <c r="D35" s="2">
        <v>24</v>
      </c>
      <c r="E35" s="52">
        <v>5.5</v>
      </c>
      <c r="F35" s="111"/>
      <c r="H35" s="2"/>
      <c r="I35" s="2">
        <v>2</v>
      </c>
      <c r="J35" s="2">
        <v>0</v>
      </c>
      <c r="K35" s="2">
        <v>0</v>
      </c>
      <c r="L35" s="112">
        <v>12.34</v>
      </c>
      <c r="M35" s="112">
        <v>13.54</v>
      </c>
      <c r="N35" s="380">
        <v>7.7964000000000006E-2</v>
      </c>
      <c r="O35" s="2" t="s">
        <v>25</v>
      </c>
      <c r="P35" s="2">
        <v>50</v>
      </c>
      <c r="Q35" s="2">
        <v>0</v>
      </c>
      <c r="R35" s="8">
        <v>6.16</v>
      </c>
      <c r="S35" s="8">
        <v>167.28</v>
      </c>
      <c r="T35" s="8">
        <v>132</v>
      </c>
      <c r="U35" s="8" t="s">
        <v>725</v>
      </c>
    </row>
    <row r="36" spans="1:21" x14ac:dyDescent="0.35">
      <c r="A36" s="2">
        <v>64</v>
      </c>
      <c r="B36" s="115" t="s">
        <v>51</v>
      </c>
      <c r="C36" s="116" t="s">
        <v>52</v>
      </c>
      <c r="D36" s="2">
        <v>12</v>
      </c>
      <c r="E36" s="52">
        <v>5.5</v>
      </c>
      <c r="F36" s="111"/>
      <c r="H36" s="2"/>
      <c r="I36" s="2">
        <v>1</v>
      </c>
      <c r="J36" s="2">
        <v>0</v>
      </c>
      <c r="K36" s="2">
        <v>0</v>
      </c>
      <c r="L36" s="112">
        <v>6.17</v>
      </c>
      <c r="M36" s="112">
        <v>6.77</v>
      </c>
      <c r="N36" s="380">
        <v>3.8982000000000003E-2</v>
      </c>
      <c r="O36" s="2" t="s">
        <v>25</v>
      </c>
      <c r="P36" s="2">
        <v>50</v>
      </c>
      <c r="Q36" s="2">
        <v>0</v>
      </c>
      <c r="R36" s="8">
        <v>6.16</v>
      </c>
      <c r="S36" s="8">
        <v>83.64</v>
      </c>
      <c r="T36" s="8">
        <v>66</v>
      </c>
      <c r="U36" s="8" t="s">
        <v>725</v>
      </c>
    </row>
    <row r="37" spans="1:21" x14ac:dyDescent="0.35">
      <c r="A37" s="2">
        <v>64</v>
      </c>
      <c r="B37" s="115" t="s">
        <v>185</v>
      </c>
      <c r="C37" s="116" t="s">
        <v>186</v>
      </c>
      <c r="D37" s="2">
        <v>24</v>
      </c>
      <c r="E37" s="52">
        <v>2.2999999999999998</v>
      </c>
      <c r="F37" s="111"/>
      <c r="H37" s="2"/>
      <c r="I37" s="2">
        <v>1</v>
      </c>
      <c r="J37" s="2">
        <v>0</v>
      </c>
      <c r="K37" s="2">
        <v>0</v>
      </c>
      <c r="L37" s="112">
        <v>6.35</v>
      </c>
      <c r="M37" s="112">
        <v>7</v>
      </c>
      <c r="N37" s="380">
        <v>1.5938999999999998E-2</v>
      </c>
      <c r="O37" s="2" t="s">
        <v>177</v>
      </c>
      <c r="P37" s="2">
        <v>200</v>
      </c>
      <c r="Q37" s="2" t="s">
        <v>178</v>
      </c>
      <c r="R37" s="8">
        <v>2.0499999999999998</v>
      </c>
      <c r="S37" s="8">
        <v>49.199999999999996</v>
      </c>
      <c r="T37" s="8">
        <v>55.199999999999996</v>
      </c>
      <c r="U37" s="8" t="s">
        <v>725</v>
      </c>
    </row>
    <row r="38" spans="1:21" x14ac:dyDescent="0.35">
      <c r="A38" s="2">
        <v>64</v>
      </c>
      <c r="B38" s="115" t="s">
        <v>181</v>
      </c>
      <c r="C38" s="116" t="s">
        <v>182</v>
      </c>
      <c r="D38" s="2">
        <v>36</v>
      </c>
      <c r="E38" s="52">
        <v>2.2999999999999998</v>
      </c>
      <c r="F38" s="111"/>
      <c r="H38" s="2"/>
      <c r="I38" s="2">
        <v>2</v>
      </c>
      <c r="J38" s="2">
        <v>0</v>
      </c>
      <c r="K38" s="2">
        <v>0</v>
      </c>
      <c r="L38" s="112">
        <v>9.5249999999999986</v>
      </c>
      <c r="M38" s="112">
        <v>10.5</v>
      </c>
      <c r="N38" s="380">
        <v>2.3908499999999999E-2</v>
      </c>
      <c r="O38" s="2" t="s">
        <v>177</v>
      </c>
      <c r="P38" s="2">
        <v>200</v>
      </c>
      <c r="Q38" s="2" t="s">
        <v>178</v>
      </c>
      <c r="R38" s="8">
        <v>2.0499999999999998</v>
      </c>
      <c r="S38" s="8">
        <v>73.8</v>
      </c>
      <c r="T38" s="8">
        <v>82.8</v>
      </c>
      <c r="U38" s="8" t="s">
        <v>725</v>
      </c>
    </row>
    <row r="39" spans="1:21" x14ac:dyDescent="0.35">
      <c r="A39" s="2">
        <v>63</v>
      </c>
      <c r="B39" s="115" t="s">
        <v>115</v>
      </c>
      <c r="C39" s="116" t="s">
        <v>117</v>
      </c>
      <c r="D39" s="2">
        <v>840</v>
      </c>
      <c r="E39" s="52">
        <v>15.91</v>
      </c>
      <c r="F39" s="111"/>
      <c r="H39" s="2">
        <v>105</v>
      </c>
      <c r="I39" s="2">
        <v>35</v>
      </c>
      <c r="J39" s="2">
        <v>0</v>
      </c>
      <c r="K39" s="2">
        <v>5</v>
      </c>
      <c r="L39" s="2">
        <v>373.27500000000003</v>
      </c>
      <c r="M39" s="2">
        <v>389.8125</v>
      </c>
      <c r="N39" s="380">
        <v>0.68108906250000001</v>
      </c>
      <c r="O39" s="2" t="s">
        <v>116</v>
      </c>
      <c r="P39" s="2">
        <v>100</v>
      </c>
      <c r="Q39" s="2" t="s">
        <v>63</v>
      </c>
      <c r="R39" s="8">
        <v>11.68</v>
      </c>
      <c r="S39" s="8">
        <v>11037.6</v>
      </c>
      <c r="T39" s="8">
        <v>13364.4</v>
      </c>
      <c r="U39" s="8" t="s">
        <v>725</v>
      </c>
    </row>
    <row r="40" spans="1:21" x14ac:dyDescent="0.35">
      <c r="A40" s="2">
        <v>63</v>
      </c>
      <c r="B40" s="115" t="s">
        <v>118</v>
      </c>
      <c r="C40" s="116" t="s">
        <v>119</v>
      </c>
      <c r="D40" s="2">
        <v>320</v>
      </c>
      <c r="E40" s="52">
        <v>15.91</v>
      </c>
      <c r="F40" s="111"/>
      <c r="H40" s="2">
        <v>40</v>
      </c>
      <c r="I40" s="2">
        <v>14</v>
      </c>
      <c r="J40" s="2">
        <v>0</v>
      </c>
      <c r="K40" s="2">
        <v>2</v>
      </c>
      <c r="L40" s="2">
        <v>142.20000000000002</v>
      </c>
      <c r="M40" s="2">
        <v>148.5</v>
      </c>
      <c r="N40" s="380">
        <v>0.25946249999999998</v>
      </c>
      <c r="O40" s="2" t="s">
        <v>116</v>
      </c>
      <c r="P40" s="2">
        <v>100</v>
      </c>
      <c r="Q40" s="2" t="s">
        <v>63</v>
      </c>
      <c r="R40" s="8">
        <v>11.68</v>
      </c>
      <c r="S40" s="8">
        <v>4204.8</v>
      </c>
      <c r="T40" s="8">
        <v>5091.2</v>
      </c>
      <c r="U40" s="8" t="s">
        <v>725</v>
      </c>
    </row>
    <row r="41" spans="1:21" x14ac:dyDescent="0.35">
      <c r="A41" s="2">
        <v>63</v>
      </c>
      <c r="B41" s="115" t="s">
        <v>120</v>
      </c>
      <c r="C41" s="116" t="s">
        <v>713</v>
      </c>
      <c r="D41" s="2">
        <v>450</v>
      </c>
      <c r="E41" s="52">
        <v>15.91</v>
      </c>
      <c r="F41" s="111"/>
      <c r="H41" s="2">
        <v>57</v>
      </c>
      <c r="I41" s="2">
        <v>19</v>
      </c>
      <c r="J41" s="2">
        <v>0</v>
      </c>
      <c r="K41" s="2">
        <v>3</v>
      </c>
      <c r="L41" s="2">
        <v>200.26500000000001</v>
      </c>
      <c r="M41" s="2">
        <v>209.13750000000002</v>
      </c>
      <c r="N41" s="380">
        <v>0.36540968750000002</v>
      </c>
      <c r="O41" s="2" t="s">
        <v>116</v>
      </c>
      <c r="P41" s="2">
        <v>100</v>
      </c>
      <c r="Q41" s="2" t="s">
        <v>63</v>
      </c>
      <c r="R41" s="8">
        <v>11.68</v>
      </c>
      <c r="S41" s="8">
        <v>5921.76</v>
      </c>
      <c r="T41" s="8">
        <v>7159.5</v>
      </c>
      <c r="U41" s="8" t="s">
        <v>725</v>
      </c>
    </row>
    <row r="42" spans="1:21" x14ac:dyDescent="0.35">
      <c r="A42" s="2">
        <v>63</v>
      </c>
      <c r="B42" s="115" t="s">
        <v>122</v>
      </c>
      <c r="C42" s="116" t="s">
        <v>123</v>
      </c>
      <c r="D42" s="2">
        <v>620</v>
      </c>
      <c r="E42" s="52">
        <v>15.91</v>
      </c>
      <c r="F42" s="111"/>
      <c r="H42" s="2">
        <v>57</v>
      </c>
      <c r="I42" s="2">
        <v>26</v>
      </c>
      <c r="J42" s="2">
        <v>0</v>
      </c>
      <c r="K42" s="2">
        <v>3</v>
      </c>
      <c r="L42" s="2">
        <v>267.41500000000002</v>
      </c>
      <c r="M42" s="2">
        <v>279.26249999999999</v>
      </c>
      <c r="N42" s="380">
        <v>0.48793364583333332</v>
      </c>
      <c r="O42" s="2" t="s">
        <v>116</v>
      </c>
      <c r="P42" s="2">
        <v>100</v>
      </c>
      <c r="Q42" s="2" t="s">
        <v>63</v>
      </c>
      <c r="R42" s="8">
        <v>11.68</v>
      </c>
      <c r="S42" s="8">
        <v>7907.36</v>
      </c>
      <c r="T42" s="8">
        <v>9864.2000000000007</v>
      </c>
      <c r="U42" s="8" t="s">
        <v>725</v>
      </c>
    </row>
    <row r="43" spans="1:21" x14ac:dyDescent="0.35">
      <c r="A43" s="2">
        <v>63</v>
      </c>
      <c r="B43" s="115" t="s">
        <v>124</v>
      </c>
      <c r="C43" s="116" t="s">
        <v>125</v>
      </c>
      <c r="D43" s="2">
        <v>320</v>
      </c>
      <c r="E43" s="52">
        <v>15.91</v>
      </c>
      <c r="F43" s="111"/>
      <c r="H43" s="2">
        <v>40</v>
      </c>
      <c r="I43" s="2">
        <v>14</v>
      </c>
      <c r="J43" s="2">
        <v>0</v>
      </c>
      <c r="K43" s="2">
        <v>2</v>
      </c>
      <c r="L43" s="2">
        <v>136.79999999999998</v>
      </c>
      <c r="M43" s="2">
        <v>142.5</v>
      </c>
      <c r="N43" s="380">
        <v>0.26296874999999997</v>
      </c>
      <c r="O43" s="2" t="s">
        <v>116</v>
      </c>
      <c r="P43" s="2">
        <v>100</v>
      </c>
      <c r="Q43" s="2" t="s">
        <v>63</v>
      </c>
      <c r="R43" s="8">
        <v>11.68</v>
      </c>
      <c r="S43" s="8">
        <v>4204.8</v>
      </c>
      <c r="T43" s="8">
        <v>5091.2</v>
      </c>
      <c r="U43" s="8" t="s">
        <v>725</v>
      </c>
    </row>
    <row r="44" spans="1:21" x14ac:dyDescent="0.35">
      <c r="A44" s="2">
        <v>63</v>
      </c>
      <c r="B44" s="115" t="s">
        <v>126</v>
      </c>
      <c r="C44" s="116" t="s">
        <v>127</v>
      </c>
      <c r="D44" s="2">
        <v>450</v>
      </c>
      <c r="E44" s="52">
        <v>15.91</v>
      </c>
      <c r="F44" s="111"/>
      <c r="H44" s="2">
        <v>57</v>
      </c>
      <c r="I44" s="2">
        <v>19</v>
      </c>
      <c r="J44" s="2">
        <v>0</v>
      </c>
      <c r="K44" s="2">
        <v>3</v>
      </c>
      <c r="L44" s="2">
        <v>192.66</v>
      </c>
      <c r="M44" s="2">
        <v>200.6875</v>
      </c>
      <c r="N44" s="380">
        <v>0.37034765624999999</v>
      </c>
      <c r="O44" s="2" t="s">
        <v>116</v>
      </c>
      <c r="P44" s="2">
        <v>100</v>
      </c>
      <c r="Q44" s="2" t="s">
        <v>63</v>
      </c>
      <c r="R44" s="8">
        <v>11.68</v>
      </c>
      <c r="S44" s="8">
        <v>5921.76</v>
      </c>
      <c r="T44" s="8">
        <v>7159.5</v>
      </c>
      <c r="U44" s="8" t="s">
        <v>725</v>
      </c>
    </row>
    <row r="45" spans="1:21" x14ac:dyDescent="0.35">
      <c r="A45" s="2">
        <v>62</v>
      </c>
      <c r="B45" s="115" t="s">
        <v>99</v>
      </c>
      <c r="C45" s="116" t="s">
        <v>100</v>
      </c>
      <c r="D45" s="2">
        <v>1200</v>
      </c>
      <c r="E45" s="52">
        <v>5.79</v>
      </c>
      <c r="F45" s="2">
        <v>216</v>
      </c>
      <c r="G45" s="52">
        <v>0.57999999999999996</v>
      </c>
      <c r="H45" s="2"/>
      <c r="I45" s="2">
        <v>50</v>
      </c>
      <c r="J45" s="2">
        <v>9</v>
      </c>
      <c r="K45" s="2">
        <v>0</v>
      </c>
      <c r="L45" s="2">
        <v>443.67999999999995</v>
      </c>
      <c r="M45" s="2">
        <v>485.57000000000005</v>
      </c>
      <c r="N45" s="380">
        <v>1.324314</v>
      </c>
      <c r="O45" s="2" t="s">
        <v>1095</v>
      </c>
      <c r="P45" s="2">
        <v>100</v>
      </c>
      <c r="Q45" s="2" t="s">
        <v>63</v>
      </c>
      <c r="R45" s="8">
        <v>5</v>
      </c>
      <c r="S45" s="8">
        <v>7080</v>
      </c>
      <c r="T45" s="8">
        <v>7073.28</v>
      </c>
      <c r="U45" s="8" t="s">
        <v>725</v>
      </c>
    </row>
    <row r="46" spans="1:21" x14ac:dyDescent="0.35">
      <c r="A46" s="2">
        <v>62</v>
      </c>
      <c r="B46" s="115" t="s">
        <v>101</v>
      </c>
      <c r="C46" s="116" t="s">
        <v>102</v>
      </c>
      <c r="D46" s="2">
        <v>960</v>
      </c>
      <c r="E46" s="52">
        <v>5.79</v>
      </c>
      <c r="F46" s="2">
        <v>173</v>
      </c>
      <c r="G46" s="52">
        <v>0.57999999999999996</v>
      </c>
      <c r="H46" s="2"/>
      <c r="I46" s="2">
        <v>40</v>
      </c>
      <c r="J46" s="2">
        <v>8</v>
      </c>
      <c r="K46" s="2">
        <v>0</v>
      </c>
      <c r="L46" s="2">
        <v>355.00666666666666</v>
      </c>
      <c r="M46" s="2">
        <v>388.5245833333334</v>
      </c>
      <c r="N46" s="380">
        <v>1.0596382500000001</v>
      </c>
      <c r="O46" s="2" t="s">
        <v>1095</v>
      </c>
      <c r="P46" s="2">
        <v>100</v>
      </c>
      <c r="Q46" s="2" t="s">
        <v>63</v>
      </c>
      <c r="R46" s="8">
        <v>5</v>
      </c>
      <c r="S46" s="8">
        <v>5665</v>
      </c>
      <c r="T46" s="8">
        <v>5658.74</v>
      </c>
      <c r="U46" s="8" t="s">
        <v>725</v>
      </c>
    </row>
    <row r="47" spans="1:21" x14ac:dyDescent="0.35">
      <c r="A47" s="2">
        <v>62</v>
      </c>
      <c r="B47" s="115" t="s">
        <v>103</v>
      </c>
      <c r="C47" s="116" t="s">
        <v>104</v>
      </c>
      <c r="D47" s="2">
        <v>1200</v>
      </c>
      <c r="E47" s="52">
        <v>5.79</v>
      </c>
      <c r="F47" s="2">
        <v>216</v>
      </c>
      <c r="G47" s="52">
        <v>0.57999999999999996</v>
      </c>
      <c r="H47" s="2"/>
      <c r="I47" s="2">
        <v>50</v>
      </c>
      <c r="J47" s="2">
        <v>9</v>
      </c>
      <c r="K47" s="2">
        <v>0</v>
      </c>
      <c r="L47" s="2">
        <v>443.67999999999995</v>
      </c>
      <c r="M47" s="2">
        <v>485.57000000000005</v>
      </c>
      <c r="N47" s="380">
        <v>1.324314</v>
      </c>
      <c r="O47" s="2" t="s">
        <v>1095</v>
      </c>
      <c r="P47" s="2">
        <v>100</v>
      </c>
      <c r="Q47" s="2" t="s">
        <v>63</v>
      </c>
      <c r="R47" s="8">
        <v>5</v>
      </c>
      <c r="S47" s="8">
        <v>7080</v>
      </c>
      <c r="T47" s="8">
        <v>7073.28</v>
      </c>
      <c r="U47" s="8" t="s">
        <v>725</v>
      </c>
    </row>
    <row r="48" spans="1:21" x14ac:dyDescent="0.35">
      <c r="A48" s="2">
        <v>62</v>
      </c>
      <c r="B48" s="115" t="s">
        <v>105</v>
      </c>
      <c r="C48" s="116" t="s">
        <v>106</v>
      </c>
      <c r="D48" s="2">
        <v>960</v>
      </c>
      <c r="E48" s="52">
        <v>5.79</v>
      </c>
      <c r="F48" s="2">
        <v>173</v>
      </c>
      <c r="G48" s="52">
        <v>0.57999999999999996</v>
      </c>
      <c r="H48" s="2"/>
      <c r="I48" s="2">
        <v>40</v>
      </c>
      <c r="J48" s="2">
        <v>8</v>
      </c>
      <c r="K48" s="2">
        <v>0</v>
      </c>
      <c r="L48" s="2">
        <v>355.00666666666666</v>
      </c>
      <c r="M48" s="2">
        <v>388.5245833333334</v>
      </c>
      <c r="N48" s="380">
        <v>1.0596382500000001</v>
      </c>
      <c r="O48" s="2" t="s">
        <v>1095</v>
      </c>
      <c r="P48" s="2">
        <v>100</v>
      </c>
      <c r="Q48" s="2" t="s">
        <v>63</v>
      </c>
      <c r="R48" s="8">
        <v>5</v>
      </c>
      <c r="S48" s="8">
        <v>5665</v>
      </c>
      <c r="T48" s="8">
        <v>5658.74</v>
      </c>
      <c r="U48" s="8" t="s">
        <v>725</v>
      </c>
    </row>
    <row r="49" spans="1:21" x14ac:dyDescent="0.35">
      <c r="A49" s="2">
        <v>62</v>
      </c>
      <c r="B49" s="115" t="s">
        <v>61</v>
      </c>
      <c r="C49" s="116" t="s">
        <v>64</v>
      </c>
      <c r="D49" s="2"/>
      <c r="E49" s="52"/>
      <c r="F49" s="2">
        <v>20</v>
      </c>
      <c r="G49" s="52">
        <v>0.57999999999999996</v>
      </c>
      <c r="H49" s="2"/>
      <c r="I49" s="2">
        <v>0</v>
      </c>
      <c r="J49" s="2">
        <v>1</v>
      </c>
      <c r="K49" s="2">
        <v>0</v>
      </c>
      <c r="L49" s="2">
        <v>4</v>
      </c>
      <c r="M49" s="2">
        <v>4.3333333333333339</v>
      </c>
      <c r="N49" s="380">
        <v>1.2031250000000002E-2</v>
      </c>
      <c r="O49" s="2" t="s">
        <v>1095</v>
      </c>
      <c r="P49" s="2">
        <v>50</v>
      </c>
      <c r="Q49" s="2" t="s">
        <v>63</v>
      </c>
      <c r="R49" s="8">
        <v>4</v>
      </c>
      <c r="S49" s="8">
        <v>80</v>
      </c>
      <c r="T49" s="8">
        <v>11.6</v>
      </c>
      <c r="U49" s="8" t="s">
        <v>725</v>
      </c>
    </row>
    <row r="50" spans="1:21" x14ac:dyDescent="0.35">
      <c r="A50" s="2">
        <v>62</v>
      </c>
      <c r="B50" s="115" t="s">
        <v>66</v>
      </c>
      <c r="C50" s="116" t="s">
        <v>67</v>
      </c>
      <c r="D50" s="2"/>
      <c r="E50" s="52"/>
      <c r="F50" s="2">
        <v>32</v>
      </c>
      <c r="G50" s="52">
        <v>0.57999999999999996</v>
      </c>
      <c r="H50" s="2"/>
      <c r="I50" s="2">
        <v>0</v>
      </c>
      <c r="J50" s="2">
        <v>2</v>
      </c>
      <c r="K50" s="2">
        <v>0</v>
      </c>
      <c r="L50" s="2">
        <v>6.3999999999999995</v>
      </c>
      <c r="M50" s="2">
        <v>6.9333333333333336</v>
      </c>
      <c r="N50" s="380">
        <v>1.9249999999999996E-2</v>
      </c>
      <c r="O50" s="2" t="s">
        <v>1095</v>
      </c>
      <c r="P50" s="2">
        <v>50</v>
      </c>
      <c r="Q50" s="2" t="s">
        <v>63</v>
      </c>
      <c r="R50" s="8">
        <v>4</v>
      </c>
      <c r="S50" s="8">
        <v>128</v>
      </c>
      <c r="T50" s="8">
        <v>18.559999999999999</v>
      </c>
      <c r="U50" s="8" t="s">
        <v>725</v>
      </c>
    </row>
    <row r="51" spans="1:21" x14ac:dyDescent="0.35">
      <c r="A51" s="2">
        <v>62</v>
      </c>
      <c r="B51" s="115" t="s">
        <v>68</v>
      </c>
      <c r="C51" s="116" t="s">
        <v>69</v>
      </c>
      <c r="D51" s="2"/>
      <c r="E51" s="52"/>
      <c r="F51" s="2">
        <v>32</v>
      </c>
      <c r="G51" s="52">
        <v>0.57999999999999996</v>
      </c>
      <c r="H51" s="2"/>
      <c r="I51" s="2">
        <v>0</v>
      </c>
      <c r="J51" s="2">
        <v>2</v>
      </c>
      <c r="K51" s="2">
        <v>0</v>
      </c>
      <c r="L51" s="2">
        <v>6.3999999999999995</v>
      </c>
      <c r="M51" s="2">
        <v>6.9333333333333336</v>
      </c>
      <c r="N51" s="380">
        <v>1.9249999999999996E-2</v>
      </c>
      <c r="O51" s="2" t="s">
        <v>1095</v>
      </c>
      <c r="P51" s="2">
        <v>50</v>
      </c>
      <c r="Q51" s="2" t="s">
        <v>63</v>
      </c>
      <c r="R51" s="8">
        <v>4</v>
      </c>
      <c r="S51" s="8">
        <v>128</v>
      </c>
      <c r="T51" s="8">
        <v>18.559999999999999</v>
      </c>
      <c r="U51" s="8" t="s">
        <v>725</v>
      </c>
    </row>
    <row r="52" spans="1:21" x14ac:dyDescent="0.35">
      <c r="A52" s="2">
        <v>62</v>
      </c>
      <c r="B52" s="115" t="s">
        <v>70</v>
      </c>
      <c r="C52" s="116" t="s">
        <v>71</v>
      </c>
      <c r="D52" s="2"/>
      <c r="E52" s="52"/>
      <c r="F52" s="2">
        <v>32</v>
      </c>
      <c r="G52" s="52">
        <v>0.57999999999999996</v>
      </c>
      <c r="H52" s="2"/>
      <c r="I52" s="2">
        <v>0</v>
      </c>
      <c r="J52" s="2">
        <v>2</v>
      </c>
      <c r="K52" s="2">
        <v>0</v>
      </c>
      <c r="L52" s="2">
        <v>6.3999999999999995</v>
      </c>
      <c r="M52" s="2">
        <v>6.9333333333333336</v>
      </c>
      <c r="N52" s="380">
        <v>1.9249999999999996E-2</v>
      </c>
      <c r="O52" s="2" t="s">
        <v>1095</v>
      </c>
      <c r="P52" s="2">
        <v>50</v>
      </c>
      <c r="Q52" s="2" t="s">
        <v>63</v>
      </c>
      <c r="R52" s="8">
        <v>4</v>
      </c>
      <c r="S52" s="8">
        <v>128</v>
      </c>
      <c r="T52" s="8">
        <v>18.559999999999999</v>
      </c>
      <c r="U52" s="8" t="s">
        <v>725</v>
      </c>
    </row>
    <row r="53" spans="1:21" x14ac:dyDescent="0.35">
      <c r="A53" s="2">
        <v>62</v>
      </c>
      <c r="B53" s="115" t="s">
        <v>72</v>
      </c>
      <c r="C53" s="116" t="s">
        <v>73</v>
      </c>
      <c r="D53" s="2"/>
      <c r="E53" s="52"/>
      <c r="F53" s="2">
        <v>32</v>
      </c>
      <c r="G53" s="52">
        <v>0.57999999999999996</v>
      </c>
      <c r="H53" s="2"/>
      <c r="I53" s="2">
        <v>0</v>
      </c>
      <c r="J53" s="2">
        <v>2</v>
      </c>
      <c r="K53" s="2">
        <v>0</v>
      </c>
      <c r="L53" s="2">
        <v>6.2399999999999993</v>
      </c>
      <c r="M53" s="2">
        <v>6.7733333333333334</v>
      </c>
      <c r="N53" s="380">
        <v>2.4580399999999999E-2</v>
      </c>
      <c r="O53" s="2" t="s">
        <v>1095</v>
      </c>
      <c r="P53" s="2">
        <v>50</v>
      </c>
      <c r="Q53" s="2" t="s">
        <v>63</v>
      </c>
      <c r="R53" s="8">
        <v>4.0049999999999999</v>
      </c>
      <c r="S53" s="8">
        <v>128.16</v>
      </c>
      <c r="T53" s="8">
        <v>18.559999999999999</v>
      </c>
      <c r="U53" s="8" t="s">
        <v>725</v>
      </c>
    </row>
    <row r="54" spans="1:21" x14ac:dyDescent="0.35">
      <c r="A54" s="2">
        <v>62</v>
      </c>
      <c r="B54" s="115" t="s">
        <v>74</v>
      </c>
      <c r="C54" s="116" t="s">
        <v>75</v>
      </c>
      <c r="D54" s="2"/>
      <c r="E54" s="52"/>
      <c r="F54" s="2">
        <v>32</v>
      </c>
      <c r="G54" s="52">
        <v>0.57999999999999996</v>
      </c>
      <c r="H54" s="2"/>
      <c r="I54" s="2">
        <v>0</v>
      </c>
      <c r="J54" s="2">
        <v>2</v>
      </c>
      <c r="K54" s="2">
        <v>0</v>
      </c>
      <c r="L54" s="2">
        <v>6.2399999999999993</v>
      </c>
      <c r="M54" s="2">
        <v>6.7733333333333334</v>
      </c>
      <c r="N54" s="380">
        <v>2.4580399999999999E-2</v>
      </c>
      <c r="O54" s="2" t="s">
        <v>1095</v>
      </c>
      <c r="P54" s="2">
        <v>50</v>
      </c>
      <c r="Q54" s="2" t="s">
        <v>63</v>
      </c>
      <c r="R54" s="8">
        <v>4</v>
      </c>
      <c r="S54" s="8">
        <v>128</v>
      </c>
      <c r="T54" s="8">
        <v>18.559999999999999</v>
      </c>
      <c r="U54" s="8" t="s">
        <v>725</v>
      </c>
    </row>
    <row r="55" spans="1:21" x14ac:dyDescent="0.35">
      <c r="A55" s="2">
        <v>62</v>
      </c>
      <c r="B55" s="115" t="s">
        <v>76</v>
      </c>
      <c r="C55" s="116" t="s">
        <v>77</v>
      </c>
      <c r="D55" s="2"/>
      <c r="E55" s="52"/>
      <c r="F55" s="2">
        <v>32</v>
      </c>
      <c r="G55" s="52">
        <v>0.57999999999999996</v>
      </c>
      <c r="H55" s="2"/>
      <c r="I55" s="2">
        <v>0</v>
      </c>
      <c r="J55" s="2">
        <v>2</v>
      </c>
      <c r="K55" s="2">
        <v>0</v>
      </c>
      <c r="L55" s="2">
        <v>6.2399999999999993</v>
      </c>
      <c r="M55" s="2">
        <v>6.7733333333333334</v>
      </c>
      <c r="N55" s="380">
        <v>2.4580399999999999E-2</v>
      </c>
      <c r="O55" s="2" t="s">
        <v>1095</v>
      </c>
      <c r="P55" s="2">
        <v>50</v>
      </c>
      <c r="Q55" s="2" t="s">
        <v>63</v>
      </c>
      <c r="R55" s="8">
        <v>4.45</v>
      </c>
      <c r="S55" s="8">
        <v>142.4</v>
      </c>
      <c r="T55" s="8">
        <v>18.559999999999999</v>
      </c>
      <c r="U55" s="8" t="s">
        <v>725</v>
      </c>
    </row>
    <row r="56" spans="1:21" x14ac:dyDescent="0.35">
      <c r="A56" s="2">
        <v>62</v>
      </c>
      <c r="B56" s="115" t="s">
        <v>78</v>
      </c>
      <c r="C56" s="116" t="s">
        <v>79</v>
      </c>
      <c r="D56" s="2"/>
      <c r="E56" s="52"/>
      <c r="F56" s="2">
        <v>32</v>
      </c>
      <c r="G56" s="52">
        <v>0.57999999999999996</v>
      </c>
      <c r="H56" s="2"/>
      <c r="I56" s="2">
        <v>0</v>
      </c>
      <c r="J56" s="2">
        <v>2</v>
      </c>
      <c r="K56" s="2">
        <v>0</v>
      </c>
      <c r="L56" s="2">
        <v>6.2399999999999993</v>
      </c>
      <c r="M56" s="2">
        <v>6.7733333333333334</v>
      </c>
      <c r="N56" s="380">
        <v>2.4580399999999999E-2</v>
      </c>
      <c r="O56" s="2" t="s">
        <v>1095</v>
      </c>
      <c r="P56" s="2">
        <v>50</v>
      </c>
      <c r="Q56" s="2" t="s">
        <v>63</v>
      </c>
      <c r="R56" s="8">
        <v>4.45</v>
      </c>
      <c r="S56" s="8">
        <v>142.4</v>
      </c>
      <c r="T56" s="8">
        <v>18.559999999999999</v>
      </c>
      <c r="U56" s="8" t="s">
        <v>725</v>
      </c>
    </row>
    <row r="57" spans="1:21" x14ac:dyDescent="0.35">
      <c r="A57" s="2">
        <v>62</v>
      </c>
      <c r="B57" s="115" t="s">
        <v>107</v>
      </c>
      <c r="C57" s="116" t="s">
        <v>108</v>
      </c>
      <c r="D57" s="2">
        <v>240</v>
      </c>
      <c r="E57" s="52">
        <v>5.79</v>
      </c>
      <c r="F57" s="2">
        <v>43</v>
      </c>
      <c r="G57" s="52">
        <v>0.57999999999999996</v>
      </c>
      <c r="H57" s="2"/>
      <c r="I57" s="2">
        <v>10</v>
      </c>
      <c r="J57" s="2">
        <v>2</v>
      </c>
      <c r="K57" s="2">
        <v>0</v>
      </c>
      <c r="L57" s="2">
        <v>81.008749999999992</v>
      </c>
      <c r="M57" s="2">
        <v>89.144999999999996</v>
      </c>
      <c r="N57" s="380">
        <v>0.29661937499999996</v>
      </c>
      <c r="O57" s="2" t="s">
        <v>1095</v>
      </c>
      <c r="P57" s="2">
        <v>100</v>
      </c>
      <c r="Q57" s="2" t="s">
        <v>63</v>
      </c>
      <c r="R57" s="8">
        <v>5</v>
      </c>
      <c r="S57" s="8">
        <v>1415</v>
      </c>
      <c r="T57" s="8">
        <v>1414.54</v>
      </c>
      <c r="U57" s="8" t="s">
        <v>725</v>
      </c>
    </row>
    <row r="58" spans="1:21" x14ac:dyDescent="0.35">
      <c r="A58" s="2">
        <v>62</v>
      </c>
      <c r="B58" s="115" t="s">
        <v>109</v>
      </c>
      <c r="C58" s="116" t="s">
        <v>110</v>
      </c>
      <c r="D58" s="2">
        <v>360</v>
      </c>
      <c r="E58" s="52">
        <v>5.79</v>
      </c>
      <c r="F58" s="2">
        <v>64</v>
      </c>
      <c r="G58" s="52">
        <v>0.57999999999999996</v>
      </c>
      <c r="H58" s="2"/>
      <c r="I58" s="2">
        <v>15</v>
      </c>
      <c r="J58" s="2">
        <v>3</v>
      </c>
      <c r="K58" s="2">
        <v>0</v>
      </c>
      <c r="L58" s="2">
        <v>121.37</v>
      </c>
      <c r="M58" s="2">
        <v>133.56</v>
      </c>
      <c r="N58" s="380">
        <v>0.44440499999999999</v>
      </c>
      <c r="O58" s="2" t="s">
        <v>1095</v>
      </c>
      <c r="P58" s="2">
        <v>100</v>
      </c>
      <c r="Q58" s="2" t="s">
        <v>63</v>
      </c>
      <c r="R58" s="8">
        <v>5</v>
      </c>
      <c r="S58" s="8">
        <v>2120</v>
      </c>
      <c r="T58" s="8">
        <v>2121.52</v>
      </c>
      <c r="U58" s="8" t="s">
        <v>725</v>
      </c>
    </row>
    <row r="59" spans="1:21" x14ac:dyDescent="0.35">
      <c r="A59" s="2">
        <v>62</v>
      </c>
      <c r="B59" s="115" t="s">
        <v>113</v>
      </c>
      <c r="C59" s="116" t="s">
        <v>114</v>
      </c>
      <c r="D59" s="2">
        <v>360</v>
      </c>
      <c r="E59" s="52">
        <v>5.79</v>
      </c>
      <c r="F59" s="2">
        <v>43</v>
      </c>
      <c r="G59" s="52">
        <v>0.57999999999999996</v>
      </c>
      <c r="H59" s="2"/>
      <c r="I59" s="2">
        <v>15</v>
      </c>
      <c r="J59" s="2">
        <v>2</v>
      </c>
      <c r="K59" s="2">
        <v>0</v>
      </c>
      <c r="L59" s="2">
        <v>115.35875000000001</v>
      </c>
      <c r="M59" s="2">
        <v>126.94500000000001</v>
      </c>
      <c r="N59" s="380">
        <v>0.42239437499999999</v>
      </c>
      <c r="O59" s="2" t="s">
        <v>1095</v>
      </c>
      <c r="P59" s="2">
        <v>100</v>
      </c>
      <c r="Q59" s="2" t="s">
        <v>63</v>
      </c>
      <c r="R59" s="8">
        <v>5</v>
      </c>
      <c r="S59" s="8">
        <v>2015</v>
      </c>
      <c r="T59" s="8">
        <v>2109.34</v>
      </c>
      <c r="U59" s="8" t="s">
        <v>725</v>
      </c>
    </row>
    <row r="60" spans="1:21" x14ac:dyDescent="0.35">
      <c r="A60" s="2">
        <v>62</v>
      </c>
      <c r="B60" s="115" t="s">
        <v>24</v>
      </c>
      <c r="C60" s="116" t="s">
        <v>27</v>
      </c>
      <c r="D60" s="2">
        <v>600</v>
      </c>
      <c r="E60" s="52">
        <v>5.79</v>
      </c>
      <c r="F60" s="2">
        <v>64</v>
      </c>
      <c r="G60" s="52">
        <v>0.57999999999999996</v>
      </c>
      <c r="H60" s="2"/>
      <c r="I60" s="2">
        <v>50</v>
      </c>
      <c r="J60" s="2">
        <v>6</v>
      </c>
      <c r="K60" s="2">
        <v>0</v>
      </c>
      <c r="L60" s="2">
        <v>278.88</v>
      </c>
      <c r="M60" s="2">
        <v>320.38</v>
      </c>
      <c r="N60" s="380">
        <v>1.5539260000000001</v>
      </c>
      <c r="O60" s="2" t="s">
        <v>25</v>
      </c>
      <c r="P60" s="2">
        <v>50</v>
      </c>
      <c r="Q60" s="2">
        <v>0</v>
      </c>
      <c r="R60" s="8">
        <v>5.23</v>
      </c>
      <c r="S60" s="8">
        <v>3472.7200000000003</v>
      </c>
      <c r="T60" s="8">
        <v>3511.12</v>
      </c>
      <c r="U60" s="8" t="s">
        <v>725</v>
      </c>
    </row>
    <row r="61" spans="1:21" x14ac:dyDescent="0.35">
      <c r="A61" s="2">
        <v>62</v>
      </c>
      <c r="B61" s="115" t="s">
        <v>30</v>
      </c>
      <c r="C61" s="116" t="s">
        <v>31</v>
      </c>
      <c r="D61" s="2">
        <v>1008</v>
      </c>
      <c r="E61" s="52">
        <v>5.79</v>
      </c>
      <c r="H61" s="2"/>
      <c r="I61" s="2">
        <v>84</v>
      </c>
      <c r="J61" s="2">
        <v>0</v>
      </c>
      <c r="K61" s="2">
        <v>0</v>
      </c>
      <c r="L61" s="2">
        <v>423.36</v>
      </c>
      <c r="M61" s="2">
        <v>486.36</v>
      </c>
      <c r="N61" s="380">
        <v>2.3589720000000001</v>
      </c>
      <c r="O61" s="2" t="s">
        <v>25</v>
      </c>
      <c r="P61" s="2">
        <v>50</v>
      </c>
      <c r="Q61" s="2">
        <v>0</v>
      </c>
      <c r="R61" s="8">
        <v>5.23</v>
      </c>
      <c r="S61" s="8">
        <v>5271.84</v>
      </c>
      <c r="T61" s="8">
        <v>5836.32</v>
      </c>
      <c r="U61" s="8" t="s">
        <v>725</v>
      </c>
    </row>
    <row r="62" spans="1:21" x14ac:dyDescent="0.35">
      <c r="A62" s="2">
        <v>62</v>
      </c>
      <c r="B62" s="115" t="s">
        <v>32</v>
      </c>
      <c r="C62" s="116" t="s">
        <v>33</v>
      </c>
      <c r="D62" s="2">
        <v>1008</v>
      </c>
      <c r="E62" s="52">
        <v>5.79</v>
      </c>
      <c r="H62" s="2"/>
      <c r="I62" s="2">
        <v>84</v>
      </c>
      <c r="J62" s="2">
        <v>0</v>
      </c>
      <c r="K62" s="2">
        <v>0</v>
      </c>
      <c r="L62" s="2">
        <v>423.36</v>
      </c>
      <c r="M62" s="2">
        <v>486.36</v>
      </c>
      <c r="N62" s="380">
        <v>2.3589720000000001</v>
      </c>
      <c r="O62" s="2" t="s">
        <v>25</v>
      </c>
      <c r="P62" s="2">
        <v>50</v>
      </c>
      <c r="Q62" s="2">
        <v>0</v>
      </c>
      <c r="R62" s="8">
        <v>5.23</v>
      </c>
      <c r="S62" s="8">
        <v>5271.84</v>
      </c>
      <c r="T62" s="8">
        <v>5836.32</v>
      </c>
      <c r="U62" s="8" t="s">
        <v>725</v>
      </c>
    </row>
    <row r="63" spans="1:21" x14ac:dyDescent="0.35">
      <c r="A63" s="2">
        <v>62</v>
      </c>
      <c r="B63" s="115" t="s">
        <v>34</v>
      </c>
      <c r="C63" s="116" t="s">
        <v>35</v>
      </c>
      <c r="D63" s="2">
        <v>1008</v>
      </c>
      <c r="E63" s="52">
        <v>5.79</v>
      </c>
      <c r="H63" s="2"/>
      <c r="I63" s="2">
        <v>84</v>
      </c>
      <c r="J63" s="2">
        <v>0</v>
      </c>
      <c r="K63" s="2">
        <v>0</v>
      </c>
      <c r="L63" s="2">
        <v>423.36</v>
      </c>
      <c r="M63" s="2">
        <v>486.36</v>
      </c>
      <c r="N63" s="380">
        <v>2.3589720000000001</v>
      </c>
      <c r="O63" s="2" t="s">
        <v>25</v>
      </c>
      <c r="P63" s="2">
        <v>50</v>
      </c>
      <c r="Q63" s="2">
        <v>0</v>
      </c>
      <c r="R63" s="8">
        <v>5.23</v>
      </c>
      <c r="S63" s="8">
        <v>5271.84</v>
      </c>
      <c r="T63" s="8">
        <v>5836.32</v>
      </c>
      <c r="U63" s="8" t="s">
        <v>725</v>
      </c>
    </row>
    <row r="64" spans="1:21" x14ac:dyDescent="0.35">
      <c r="A64" s="2">
        <v>62</v>
      </c>
      <c r="B64" s="115" t="s">
        <v>36</v>
      </c>
      <c r="C64" s="116" t="s">
        <v>38</v>
      </c>
      <c r="D64" s="2">
        <v>1008</v>
      </c>
      <c r="E64" s="52">
        <v>5.79</v>
      </c>
      <c r="H64" s="2"/>
      <c r="I64" s="2">
        <v>84</v>
      </c>
      <c r="J64" s="2">
        <v>0</v>
      </c>
      <c r="K64" s="2">
        <v>0</v>
      </c>
      <c r="L64" s="2">
        <v>401.52000000000004</v>
      </c>
      <c r="M64" s="2">
        <v>441</v>
      </c>
      <c r="N64" s="380">
        <v>2.3589720000000001</v>
      </c>
      <c r="O64" s="2" t="s">
        <v>25</v>
      </c>
      <c r="P64" s="2">
        <v>50</v>
      </c>
      <c r="Q64" s="2">
        <v>0</v>
      </c>
      <c r="R64" s="8">
        <v>5.23</v>
      </c>
      <c r="S64" s="8">
        <v>5271.84</v>
      </c>
      <c r="T64" s="8">
        <v>5836.32</v>
      </c>
      <c r="U64" s="8" t="s">
        <v>725</v>
      </c>
    </row>
    <row r="65" spans="1:21" x14ac:dyDescent="0.35">
      <c r="A65" s="2">
        <v>62</v>
      </c>
      <c r="B65" s="115" t="s">
        <v>39</v>
      </c>
      <c r="C65" s="116" t="s">
        <v>40</v>
      </c>
      <c r="D65" s="2">
        <v>1008</v>
      </c>
      <c r="E65" s="52">
        <v>5.79</v>
      </c>
      <c r="H65" s="2"/>
      <c r="I65" s="2">
        <v>84</v>
      </c>
      <c r="J65" s="2">
        <v>0</v>
      </c>
      <c r="K65" s="2">
        <v>0</v>
      </c>
      <c r="L65" s="2">
        <v>401.52000000000004</v>
      </c>
      <c r="M65" s="2">
        <v>441</v>
      </c>
      <c r="N65" s="380">
        <v>2.3589720000000001</v>
      </c>
      <c r="O65" s="2" t="s">
        <v>25</v>
      </c>
      <c r="P65" s="2">
        <v>50</v>
      </c>
      <c r="Q65" s="2">
        <v>0</v>
      </c>
      <c r="R65" s="8">
        <v>5.23</v>
      </c>
      <c r="S65" s="8">
        <v>5271.84</v>
      </c>
      <c r="T65" s="8">
        <v>5836.32</v>
      </c>
      <c r="U65" s="8" t="s">
        <v>725</v>
      </c>
    </row>
    <row r="66" spans="1:21" x14ac:dyDescent="0.35">
      <c r="A66" s="2">
        <v>62</v>
      </c>
      <c r="B66" s="115" t="s">
        <v>41</v>
      </c>
      <c r="C66" s="116" t="s">
        <v>42</v>
      </c>
      <c r="D66" s="2">
        <v>1008</v>
      </c>
      <c r="E66" s="52">
        <v>5.79</v>
      </c>
      <c r="H66" s="2"/>
      <c r="I66" s="2">
        <v>84</v>
      </c>
      <c r="J66" s="2">
        <v>0</v>
      </c>
      <c r="K66" s="2">
        <v>0</v>
      </c>
      <c r="L66" s="2">
        <v>401.52000000000004</v>
      </c>
      <c r="M66" s="2">
        <v>441</v>
      </c>
      <c r="N66" s="380">
        <v>2.3589720000000001</v>
      </c>
      <c r="O66" s="2" t="s">
        <v>25</v>
      </c>
      <c r="P66" s="2">
        <v>50</v>
      </c>
      <c r="Q66" s="2">
        <v>0</v>
      </c>
      <c r="R66" s="8">
        <v>5.23</v>
      </c>
      <c r="S66" s="8">
        <v>5271.84</v>
      </c>
      <c r="T66" s="8">
        <v>5836.32</v>
      </c>
      <c r="U66" s="8" t="s">
        <v>725</v>
      </c>
    </row>
    <row r="67" spans="1:21" x14ac:dyDescent="0.35">
      <c r="A67" s="2">
        <v>62</v>
      </c>
      <c r="B67" s="115" t="s">
        <v>43</v>
      </c>
      <c r="C67" s="116" t="s">
        <v>44</v>
      </c>
      <c r="D67" s="2">
        <v>1008</v>
      </c>
      <c r="E67" s="52">
        <v>5.79</v>
      </c>
      <c r="H67" s="2"/>
      <c r="I67" s="2">
        <v>84</v>
      </c>
      <c r="J67" s="2">
        <v>0</v>
      </c>
      <c r="K67" s="2">
        <v>0</v>
      </c>
      <c r="L67" s="2">
        <v>401.52000000000004</v>
      </c>
      <c r="M67" s="2">
        <v>441</v>
      </c>
      <c r="N67" s="380">
        <v>2.3589720000000001</v>
      </c>
      <c r="O67" s="2" t="s">
        <v>25</v>
      </c>
      <c r="P67" s="2">
        <v>50</v>
      </c>
      <c r="Q67" s="2">
        <v>0</v>
      </c>
      <c r="R67" s="8">
        <v>5.23</v>
      </c>
      <c r="S67" s="8">
        <v>5271.84</v>
      </c>
      <c r="T67" s="8">
        <v>5836.32</v>
      </c>
      <c r="U67" s="8" t="s">
        <v>725</v>
      </c>
    </row>
    <row r="68" spans="1:21" x14ac:dyDescent="0.35">
      <c r="A68" s="2">
        <v>61</v>
      </c>
      <c r="B68" s="115" t="s">
        <v>168</v>
      </c>
      <c r="C68" s="116" t="s">
        <v>169</v>
      </c>
      <c r="D68" s="2">
        <v>10032</v>
      </c>
      <c r="E68" s="52">
        <v>1.06</v>
      </c>
      <c r="F68" s="111"/>
      <c r="H68" s="2"/>
      <c r="I68" s="2">
        <v>209</v>
      </c>
      <c r="J68" s="2">
        <v>0</v>
      </c>
      <c r="K68" s="2">
        <v>0</v>
      </c>
      <c r="L68" s="2">
        <v>1563.3200000000002</v>
      </c>
      <c r="M68" s="2">
        <v>1609.3</v>
      </c>
      <c r="N68" s="380">
        <v>7.1158229999999998</v>
      </c>
      <c r="O68" s="2" t="s">
        <v>158</v>
      </c>
      <c r="P68" s="2">
        <v>175</v>
      </c>
      <c r="Q68" s="2" t="s">
        <v>159</v>
      </c>
      <c r="R68" s="8">
        <v>1.1599999999999999</v>
      </c>
      <c r="S68" s="8">
        <v>11637.119999999999</v>
      </c>
      <c r="T68" s="8">
        <v>10633.92</v>
      </c>
      <c r="U68" s="8" t="s">
        <v>725</v>
      </c>
    </row>
    <row r="69" spans="1:21" x14ac:dyDescent="0.35">
      <c r="A69" s="2">
        <v>61</v>
      </c>
      <c r="B69" s="115" t="s">
        <v>170</v>
      </c>
      <c r="C69" s="116" t="s">
        <v>171</v>
      </c>
      <c r="D69" s="2">
        <v>10032</v>
      </c>
      <c r="E69" s="52">
        <v>1.06</v>
      </c>
      <c r="F69" s="111"/>
      <c r="H69" s="2"/>
      <c r="I69" s="2">
        <v>209</v>
      </c>
      <c r="J69" s="2">
        <v>0</v>
      </c>
      <c r="K69" s="2">
        <v>0</v>
      </c>
      <c r="L69" s="2">
        <v>1563.3200000000002</v>
      </c>
      <c r="M69" s="2">
        <v>1609.3</v>
      </c>
      <c r="N69" s="380">
        <v>7.1158229999999998</v>
      </c>
      <c r="O69" s="2" t="s">
        <v>158</v>
      </c>
      <c r="P69" s="2">
        <v>175</v>
      </c>
      <c r="Q69" s="2" t="s">
        <v>159</v>
      </c>
      <c r="R69" s="8">
        <v>1.1599999999999999</v>
      </c>
      <c r="S69" s="8">
        <v>11637.119999999999</v>
      </c>
      <c r="T69" s="8">
        <v>10633.92</v>
      </c>
      <c r="U69" s="8" t="s">
        <v>725</v>
      </c>
    </row>
    <row r="70" spans="1:21" x14ac:dyDescent="0.35">
      <c r="A70" s="2">
        <v>61</v>
      </c>
      <c r="B70" s="115" t="s">
        <v>172</v>
      </c>
      <c r="C70" s="116" t="s">
        <v>173</v>
      </c>
      <c r="D70" s="2">
        <v>10032</v>
      </c>
      <c r="E70" s="52">
        <v>1.06</v>
      </c>
      <c r="F70" s="111"/>
      <c r="H70" s="2"/>
      <c r="I70" s="2">
        <v>209</v>
      </c>
      <c r="J70" s="2">
        <v>0</v>
      </c>
      <c r="K70" s="2">
        <v>0</v>
      </c>
      <c r="L70" s="2">
        <v>1563.3200000000002</v>
      </c>
      <c r="M70" s="2">
        <v>1609.3</v>
      </c>
      <c r="N70" s="380">
        <v>7.1158229999999998</v>
      </c>
      <c r="O70" s="2" t="s">
        <v>158</v>
      </c>
      <c r="P70" s="2">
        <v>175</v>
      </c>
      <c r="Q70" s="2" t="s">
        <v>159</v>
      </c>
      <c r="R70" s="8">
        <v>1.1599999999999999</v>
      </c>
      <c r="S70" s="8">
        <v>11637.119999999999</v>
      </c>
      <c r="T70" s="8">
        <v>10633.92</v>
      </c>
      <c r="U70" s="8" t="s">
        <v>725</v>
      </c>
    </row>
    <row r="71" spans="1:21" x14ac:dyDescent="0.35">
      <c r="A71" s="2">
        <v>61</v>
      </c>
      <c r="B71" s="115" t="s">
        <v>174</v>
      </c>
      <c r="C71" s="116" t="s">
        <v>175</v>
      </c>
      <c r="D71" s="2">
        <v>10032</v>
      </c>
      <c r="E71" s="52">
        <v>1.06</v>
      </c>
      <c r="F71" s="111"/>
      <c r="H71" s="2"/>
      <c r="I71" s="2">
        <v>209</v>
      </c>
      <c r="J71" s="2">
        <v>0</v>
      </c>
      <c r="K71" s="2">
        <v>0</v>
      </c>
      <c r="L71" s="2">
        <v>1563.3200000000002</v>
      </c>
      <c r="M71" s="2">
        <v>1609.3</v>
      </c>
      <c r="N71" s="380">
        <v>7.1158229999999998</v>
      </c>
      <c r="O71" s="2" t="s">
        <v>158</v>
      </c>
      <c r="P71" s="2">
        <v>175</v>
      </c>
      <c r="Q71" s="2" t="s">
        <v>159</v>
      </c>
      <c r="R71" s="8">
        <v>1.1599999999999999</v>
      </c>
      <c r="S71" s="8">
        <v>11637.119999999999</v>
      </c>
      <c r="T71" s="8">
        <v>10633.92</v>
      </c>
      <c r="U71" s="8" t="s">
        <v>725</v>
      </c>
    </row>
    <row r="72" spans="1:21" x14ac:dyDescent="0.35">
      <c r="A72" s="2">
        <v>61</v>
      </c>
      <c r="B72" s="115" t="s">
        <v>166</v>
      </c>
      <c r="C72" s="116" t="s">
        <v>167</v>
      </c>
      <c r="D72" s="2">
        <v>10032</v>
      </c>
      <c r="E72" s="52">
        <v>1.03</v>
      </c>
      <c r="F72" s="111"/>
      <c r="H72" s="2"/>
      <c r="I72" s="2">
        <v>209</v>
      </c>
      <c r="J72" s="2">
        <v>0</v>
      </c>
      <c r="K72" s="2">
        <v>0</v>
      </c>
      <c r="L72" s="2">
        <v>1314.192</v>
      </c>
      <c r="M72" s="2">
        <v>1470.5239999999999</v>
      </c>
      <c r="N72" s="380">
        <v>5.4841600000000001</v>
      </c>
      <c r="O72" s="2" t="s">
        <v>158</v>
      </c>
      <c r="P72" s="2">
        <v>150</v>
      </c>
      <c r="Q72" s="2" t="s">
        <v>159</v>
      </c>
      <c r="R72" s="8">
        <v>0.81499999999999995</v>
      </c>
      <c r="S72" s="8">
        <v>8176.079999999999</v>
      </c>
      <c r="T72" s="8">
        <v>10332.960000000001</v>
      </c>
      <c r="U72" s="8" t="s">
        <v>725</v>
      </c>
    </row>
    <row r="73" spans="1:21" x14ac:dyDescent="0.35">
      <c r="A73" s="2">
        <v>61</v>
      </c>
      <c r="B73" s="115" t="s">
        <v>115</v>
      </c>
      <c r="C73" s="116" t="s">
        <v>117</v>
      </c>
      <c r="D73" s="2">
        <v>360</v>
      </c>
      <c r="E73" s="52">
        <v>14.53</v>
      </c>
      <c r="F73" s="111"/>
      <c r="H73" s="2">
        <v>52</v>
      </c>
      <c r="I73" s="2">
        <v>15</v>
      </c>
      <c r="J73" s="2">
        <v>0</v>
      </c>
      <c r="K73" s="2">
        <v>3</v>
      </c>
      <c r="L73" s="2">
        <v>162.74</v>
      </c>
      <c r="M73" s="2">
        <v>169.95000000000002</v>
      </c>
      <c r="N73" s="380">
        <v>0.29694041666666671</v>
      </c>
      <c r="O73" s="2" t="s">
        <v>116</v>
      </c>
      <c r="P73" s="2">
        <v>100</v>
      </c>
      <c r="Q73" s="2" t="s">
        <v>63</v>
      </c>
      <c r="R73" s="8">
        <v>11.68</v>
      </c>
      <c r="S73" s="8">
        <v>4812.16</v>
      </c>
      <c r="T73" s="8">
        <v>5230.8</v>
      </c>
      <c r="U73" s="8" t="s">
        <v>725</v>
      </c>
    </row>
    <row r="74" spans="1:21" x14ac:dyDescent="0.35">
      <c r="A74" s="2">
        <v>61</v>
      </c>
      <c r="B74" s="115" t="s">
        <v>118</v>
      </c>
      <c r="C74" s="116" t="s">
        <v>119</v>
      </c>
      <c r="D74" s="2">
        <v>360</v>
      </c>
      <c r="E74" s="52">
        <v>14.53</v>
      </c>
      <c r="F74" s="111"/>
      <c r="H74" s="2">
        <v>51</v>
      </c>
      <c r="I74" s="2">
        <v>15</v>
      </c>
      <c r="J74" s="2">
        <v>0</v>
      </c>
      <c r="K74" s="2">
        <v>3</v>
      </c>
      <c r="L74" s="2">
        <v>162.345</v>
      </c>
      <c r="M74" s="2">
        <v>169.53749999999999</v>
      </c>
      <c r="N74" s="380">
        <v>0.2962196875</v>
      </c>
      <c r="O74" s="2" t="s">
        <v>116</v>
      </c>
      <c r="P74" s="2">
        <v>100</v>
      </c>
      <c r="Q74" s="2" t="s">
        <v>63</v>
      </c>
      <c r="R74" s="8">
        <v>11.68</v>
      </c>
      <c r="S74" s="8">
        <v>4800.4799999999996</v>
      </c>
      <c r="T74" s="8">
        <v>5230.8</v>
      </c>
      <c r="U74" s="8" t="s">
        <v>725</v>
      </c>
    </row>
    <row r="75" spans="1:21" x14ac:dyDescent="0.35">
      <c r="A75" s="2">
        <v>61</v>
      </c>
      <c r="B75" s="115" t="s">
        <v>120</v>
      </c>
      <c r="C75" s="116" t="s">
        <v>713</v>
      </c>
      <c r="D75" s="2">
        <v>360</v>
      </c>
      <c r="E75" s="52">
        <v>14.53</v>
      </c>
      <c r="F75" s="111"/>
      <c r="H75" s="2">
        <v>52</v>
      </c>
      <c r="I75" s="2">
        <v>15</v>
      </c>
      <c r="J75" s="2">
        <v>0</v>
      </c>
      <c r="K75" s="2">
        <v>3</v>
      </c>
      <c r="L75" s="2">
        <v>162.74</v>
      </c>
      <c r="M75" s="2">
        <v>169.95000000000002</v>
      </c>
      <c r="N75" s="380">
        <v>0.29694041666666671</v>
      </c>
      <c r="O75" s="2" t="s">
        <v>116</v>
      </c>
      <c r="P75" s="2">
        <v>100</v>
      </c>
      <c r="Q75" s="2" t="s">
        <v>63</v>
      </c>
      <c r="R75" s="8">
        <v>11.68</v>
      </c>
      <c r="S75" s="8">
        <v>4812.16</v>
      </c>
      <c r="T75" s="8">
        <v>5230.8</v>
      </c>
      <c r="U75" s="8" t="s">
        <v>725</v>
      </c>
    </row>
    <row r="76" spans="1:21" x14ac:dyDescent="0.35">
      <c r="A76" s="2">
        <v>61</v>
      </c>
      <c r="B76" s="115" t="s">
        <v>122</v>
      </c>
      <c r="C76" s="116" t="s">
        <v>123</v>
      </c>
      <c r="D76" s="2">
        <v>360</v>
      </c>
      <c r="E76" s="52">
        <v>14.53</v>
      </c>
      <c r="F76" s="111"/>
      <c r="H76" s="2">
        <v>51</v>
      </c>
      <c r="I76" s="2">
        <v>15</v>
      </c>
      <c r="J76" s="2">
        <v>0</v>
      </c>
      <c r="K76" s="2">
        <v>3</v>
      </c>
      <c r="L76" s="2">
        <v>162.345</v>
      </c>
      <c r="M76" s="2">
        <v>169.53749999999999</v>
      </c>
      <c r="N76" s="380">
        <v>0.2962196875</v>
      </c>
      <c r="O76" s="2" t="s">
        <v>116</v>
      </c>
      <c r="P76" s="2">
        <v>100</v>
      </c>
      <c r="Q76" s="2" t="s">
        <v>63</v>
      </c>
      <c r="R76" s="8">
        <v>11.68</v>
      </c>
      <c r="S76" s="8">
        <v>4800.4799999999996</v>
      </c>
      <c r="T76" s="8">
        <v>5230.8</v>
      </c>
      <c r="U76" s="8" t="s">
        <v>725</v>
      </c>
    </row>
    <row r="77" spans="1:21" x14ac:dyDescent="0.35">
      <c r="A77" s="2">
        <v>61</v>
      </c>
      <c r="B77" s="115" t="s">
        <v>124</v>
      </c>
      <c r="C77" s="116" t="s">
        <v>125</v>
      </c>
      <c r="D77" s="2">
        <v>420</v>
      </c>
      <c r="E77" s="52">
        <v>14.53</v>
      </c>
      <c r="F77" s="111"/>
      <c r="H77" s="2">
        <v>60</v>
      </c>
      <c r="I77" s="2">
        <v>18</v>
      </c>
      <c r="J77" s="2">
        <v>0</v>
      </c>
      <c r="K77" s="2">
        <v>3</v>
      </c>
      <c r="L77" s="2">
        <v>182.39999999999998</v>
      </c>
      <c r="M77" s="2">
        <v>190</v>
      </c>
      <c r="N77" s="380">
        <v>0.35062500000000002</v>
      </c>
      <c r="O77" s="2" t="s">
        <v>116</v>
      </c>
      <c r="P77" s="2">
        <v>100</v>
      </c>
      <c r="Q77" s="2" t="s">
        <v>63</v>
      </c>
      <c r="R77" s="8">
        <v>11.68</v>
      </c>
      <c r="S77" s="8">
        <v>5606.4</v>
      </c>
      <c r="T77" s="8">
        <v>6102.5999999999995</v>
      </c>
      <c r="U77" s="8" t="s">
        <v>725</v>
      </c>
    </row>
    <row r="78" spans="1:21" x14ac:dyDescent="0.35">
      <c r="A78" s="2">
        <v>61</v>
      </c>
      <c r="B78" s="115" t="s">
        <v>126</v>
      </c>
      <c r="C78" s="116" t="s">
        <v>127</v>
      </c>
      <c r="D78" s="2">
        <v>360</v>
      </c>
      <c r="E78" s="52">
        <v>14.53</v>
      </c>
      <c r="F78" s="111"/>
      <c r="H78" s="2">
        <v>52</v>
      </c>
      <c r="I78" s="2">
        <v>15</v>
      </c>
      <c r="J78" s="2">
        <v>0</v>
      </c>
      <c r="K78" s="2">
        <v>3</v>
      </c>
      <c r="L78" s="2">
        <v>156.56</v>
      </c>
      <c r="M78" s="2">
        <v>163.08333333333334</v>
      </c>
      <c r="N78" s="380">
        <v>0.30095312499999999</v>
      </c>
      <c r="O78" s="2" t="s">
        <v>116</v>
      </c>
      <c r="P78" s="2">
        <v>100</v>
      </c>
      <c r="Q78" s="2" t="s">
        <v>63</v>
      </c>
      <c r="R78" s="8">
        <v>11.68</v>
      </c>
      <c r="S78" s="8">
        <v>4812.16</v>
      </c>
      <c r="T78" s="8">
        <v>5230.8</v>
      </c>
      <c r="U78" s="8" t="s">
        <v>725</v>
      </c>
    </row>
    <row r="79" spans="1:21" x14ac:dyDescent="0.35">
      <c r="A79" s="2">
        <v>61</v>
      </c>
      <c r="B79" s="115" t="s">
        <v>128</v>
      </c>
      <c r="C79" s="116" t="s">
        <v>129</v>
      </c>
      <c r="D79" s="2">
        <v>360</v>
      </c>
      <c r="E79" s="52">
        <v>14.53</v>
      </c>
      <c r="F79" s="111"/>
      <c r="H79" s="2">
        <v>51</v>
      </c>
      <c r="I79" s="2">
        <v>15</v>
      </c>
      <c r="J79" s="2">
        <v>0</v>
      </c>
      <c r="K79" s="2">
        <v>3</v>
      </c>
      <c r="L79" s="2">
        <v>156.17999999999998</v>
      </c>
      <c r="M79" s="2">
        <v>162.6875</v>
      </c>
      <c r="N79" s="380">
        <v>0.30022265625</v>
      </c>
      <c r="O79" s="2" t="s">
        <v>116</v>
      </c>
      <c r="P79" s="2">
        <v>100</v>
      </c>
      <c r="Q79" s="2" t="s">
        <v>63</v>
      </c>
      <c r="R79" s="8">
        <v>11.68</v>
      </c>
      <c r="S79" s="8">
        <v>4800.4799999999996</v>
      </c>
      <c r="T79" s="8">
        <v>5230.8</v>
      </c>
      <c r="U79" s="8" t="s">
        <v>725</v>
      </c>
    </row>
    <row r="80" spans="1:21" x14ac:dyDescent="0.35">
      <c r="A80" s="2">
        <v>61</v>
      </c>
      <c r="B80" s="115" t="s">
        <v>130</v>
      </c>
      <c r="C80" s="116" t="s">
        <v>131</v>
      </c>
      <c r="D80" s="2">
        <v>360</v>
      </c>
      <c r="E80" s="52">
        <v>14.53</v>
      </c>
      <c r="F80" s="111"/>
      <c r="H80" s="2">
        <v>51</v>
      </c>
      <c r="I80" s="2">
        <v>15</v>
      </c>
      <c r="J80" s="2">
        <v>0</v>
      </c>
      <c r="K80" s="2">
        <v>3</v>
      </c>
      <c r="L80" s="2">
        <v>156.17999999999998</v>
      </c>
      <c r="M80" s="2">
        <v>162.6875</v>
      </c>
      <c r="N80" s="380">
        <v>0.30022265625</v>
      </c>
      <c r="O80" s="2" t="s">
        <v>116</v>
      </c>
      <c r="P80" s="2">
        <v>100</v>
      </c>
      <c r="Q80" s="2" t="s">
        <v>63</v>
      </c>
      <c r="R80" s="8">
        <v>11.68</v>
      </c>
      <c r="S80" s="8">
        <v>4800.4799999999996</v>
      </c>
      <c r="T80" s="8">
        <v>5230.8</v>
      </c>
      <c r="U80" s="8" t="s">
        <v>725</v>
      </c>
    </row>
    <row r="81" spans="1:21" x14ac:dyDescent="0.35">
      <c r="A81" s="2">
        <v>61</v>
      </c>
      <c r="B81" s="115" t="s">
        <v>189</v>
      </c>
      <c r="C81" s="116" t="s">
        <v>191</v>
      </c>
      <c r="D81" s="2">
        <v>25008</v>
      </c>
      <c r="E81" s="52">
        <v>1</v>
      </c>
      <c r="F81" s="111"/>
      <c r="H81" s="2"/>
      <c r="I81" s="2">
        <v>521</v>
      </c>
      <c r="J81" s="2">
        <v>0</v>
      </c>
      <c r="K81" s="2">
        <v>0</v>
      </c>
      <c r="L81" s="2">
        <v>0</v>
      </c>
      <c r="M81" s="2">
        <v>0</v>
      </c>
      <c r="N81" s="380">
        <v>0</v>
      </c>
      <c r="O81" s="2" t="s">
        <v>190</v>
      </c>
      <c r="P81" s="2">
        <v>0</v>
      </c>
      <c r="Q81" s="2">
        <v>33072000</v>
      </c>
      <c r="R81" s="8">
        <v>0.93</v>
      </c>
      <c r="S81" s="8">
        <v>23257.440000000002</v>
      </c>
      <c r="T81" s="8">
        <v>25008</v>
      </c>
      <c r="U81" s="8" t="s">
        <v>725</v>
      </c>
    </row>
    <row r="82" spans="1:21" x14ac:dyDescent="0.35">
      <c r="A82" s="2">
        <v>61</v>
      </c>
      <c r="B82" s="115" t="s">
        <v>196</v>
      </c>
      <c r="C82" s="116" t="s">
        <v>197</v>
      </c>
      <c r="D82" s="2">
        <v>50004</v>
      </c>
      <c r="E82" s="52">
        <v>1</v>
      </c>
      <c r="F82" s="111"/>
      <c r="H82" s="2"/>
      <c r="I82" s="2">
        <v>1042</v>
      </c>
      <c r="J82" s="2">
        <v>0</v>
      </c>
      <c r="K82" s="2">
        <v>0</v>
      </c>
      <c r="L82" s="2">
        <v>0</v>
      </c>
      <c r="M82" s="2">
        <v>0</v>
      </c>
      <c r="N82" s="380">
        <v>0</v>
      </c>
      <c r="O82" s="2" t="s">
        <v>190</v>
      </c>
      <c r="P82" s="2">
        <v>0</v>
      </c>
      <c r="Q82" s="2">
        <v>33072000</v>
      </c>
      <c r="R82" s="8">
        <v>0.93</v>
      </c>
      <c r="S82" s="8">
        <v>46503.72</v>
      </c>
      <c r="T82" s="8">
        <v>50004</v>
      </c>
      <c r="U82" s="8" t="s">
        <v>725</v>
      </c>
    </row>
    <row r="83" spans="1:21" x14ac:dyDescent="0.35">
      <c r="A83" s="2">
        <v>60</v>
      </c>
      <c r="B83" s="115" t="s">
        <v>149</v>
      </c>
      <c r="C83" s="116" t="s">
        <v>150</v>
      </c>
      <c r="D83" s="2"/>
      <c r="E83" s="52"/>
      <c r="F83" s="111"/>
      <c r="H83" s="2">
        <v>24</v>
      </c>
      <c r="I83" s="2">
        <v>0</v>
      </c>
      <c r="J83" s="2">
        <v>0</v>
      </c>
      <c r="K83" s="2">
        <v>1</v>
      </c>
      <c r="L83" s="2">
        <v>9.48</v>
      </c>
      <c r="M83" s="2">
        <v>9.9</v>
      </c>
      <c r="N83" s="380">
        <v>0</v>
      </c>
      <c r="O83" s="2" t="s">
        <v>116</v>
      </c>
      <c r="P83" s="2">
        <v>100</v>
      </c>
      <c r="Q83" s="2" t="s">
        <v>63</v>
      </c>
      <c r="R83" s="8">
        <v>11.68</v>
      </c>
      <c r="S83" s="8">
        <v>280.32</v>
      </c>
      <c r="T83" s="8">
        <v>0</v>
      </c>
      <c r="U83" s="8" t="s">
        <v>845</v>
      </c>
    </row>
    <row r="84" spans="1:21" x14ac:dyDescent="0.35">
      <c r="A84" s="2">
        <v>60</v>
      </c>
      <c r="B84" s="115" t="s">
        <v>151</v>
      </c>
      <c r="C84" s="116" t="s">
        <v>152</v>
      </c>
      <c r="D84" s="2"/>
      <c r="E84" s="52"/>
      <c r="F84" s="111"/>
      <c r="H84" s="2">
        <v>24</v>
      </c>
      <c r="I84" s="2">
        <v>0</v>
      </c>
      <c r="J84" s="2">
        <v>0</v>
      </c>
      <c r="K84" s="2">
        <v>1</v>
      </c>
      <c r="L84" s="2">
        <v>9.48</v>
      </c>
      <c r="M84" s="2">
        <v>9.9</v>
      </c>
      <c r="N84" s="380">
        <v>0</v>
      </c>
      <c r="O84" s="2" t="s">
        <v>116</v>
      </c>
      <c r="P84" s="2">
        <v>100</v>
      </c>
      <c r="Q84" s="2" t="s">
        <v>63</v>
      </c>
      <c r="R84" s="8">
        <v>11.68</v>
      </c>
      <c r="S84" s="8">
        <v>280.32</v>
      </c>
      <c r="T84" s="8">
        <v>0</v>
      </c>
      <c r="U84" s="8" t="s">
        <v>845</v>
      </c>
    </row>
    <row r="85" spans="1:21" x14ac:dyDescent="0.35">
      <c r="A85" s="2">
        <v>59</v>
      </c>
      <c r="B85" s="115" t="s">
        <v>61</v>
      </c>
      <c r="C85" s="116" t="s">
        <v>64</v>
      </c>
      <c r="D85" s="2"/>
      <c r="E85" s="52"/>
      <c r="F85" s="111"/>
      <c r="H85" s="2">
        <v>6</v>
      </c>
      <c r="I85" s="2">
        <v>0</v>
      </c>
      <c r="J85" s="2">
        <v>0</v>
      </c>
      <c r="K85" s="2">
        <v>1</v>
      </c>
      <c r="L85" s="2">
        <v>1.2</v>
      </c>
      <c r="M85" s="2">
        <v>1.3</v>
      </c>
      <c r="N85" s="380">
        <v>0</v>
      </c>
      <c r="O85" s="2" t="s">
        <v>62</v>
      </c>
      <c r="P85" s="2">
        <v>50</v>
      </c>
      <c r="Q85" s="2" t="s">
        <v>63</v>
      </c>
      <c r="R85" s="8">
        <v>4</v>
      </c>
      <c r="S85" s="8">
        <v>24</v>
      </c>
      <c r="T85" s="8">
        <v>0</v>
      </c>
      <c r="U85" s="8" t="s">
        <v>845</v>
      </c>
    </row>
    <row r="86" spans="1:21" x14ac:dyDescent="0.35">
      <c r="A86" s="2">
        <v>59</v>
      </c>
      <c r="B86" s="115" t="s">
        <v>1158</v>
      </c>
      <c r="C86" s="116" t="s">
        <v>1159</v>
      </c>
      <c r="D86" s="2"/>
      <c r="E86" s="52"/>
      <c r="F86" s="111"/>
      <c r="H86" s="2">
        <v>6</v>
      </c>
      <c r="I86" s="2">
        <v>0</v>
      </c>
      <c r="J86" s="2">
        <v>0</v>
      </c>
      <c r="K86" s="2">
        <v>1</v>
      </c>
      <c r="L86" s="2">
        <v>1.2</v>
      </c>
      <c r="M86" s="2">
        <v>1.3</v>
      </c>
      <c r="N86" s="380">
        <v>0</v>
      </c>
      <c r="O86" s="2" t="s">
        <v>133</v>
      </c>
      <c r="P86" s="2">
        <v>50</v>
      </c>
      <c r="Q86" s="2" t="s">
        <v>63</v>
      </c>
      <c r="R86" s="8" t="s">
        <v>949</v>
      </c>
      <c r="S86" s="8" t="s">
        <v>949</v>
      </c>
      <c r="T86" s="8">
        <v>0</v>
      </c>
      <c r="U86" s="8" t="s">
        <v>845</v>
      </c>
    </row>
    <row r="87" spans="1:21" x14ac:dyDescent="0.35">
      <c r="A87" s="2">
        <v>58</v>
      </c>
      <c r="B87" s="115" t="s">
        <v>122</v>
      </c>
      <c r="C87" s="116" t="s">
        <v>123</v>
      </c>
      <c r="D87" s="2">
        <v>1978</v>
      </c>
      <c r="E87" s="52">
        <v>11.68</v>
      </c>
      <c r="F87" s="111"/>
      <c r="H87" s="2"/>
      <c r="I87" s="2">
        <v>83</v>
      </c>
      <c r="J87" s="2">
        <v>0</v>
      </c>
      <c r="K87" s="2">
        <v>0</v>
      </c>
      <c r="L87" s="2">
        <v>781.31000000000006</v>
      </c>
      <c r="M87" s="2">
        <v>815.92500000000007</v>
      </c>
      <c r="N87" s="380">
        <v>1.4256022916666669</v>
      </c>
      <c r="O87" s="2" t="s">
        <v>116</v>
      </c>
      <c r="P87" s="2">
        <v>100</v>
      </c>
      <c r="Q87" s="2" t="s">
        <v>63</v>
      </c>
      <c r="R87" s="8" t="s">
        <v>949</v>
      </c>
      <c r="S87" s="8" t="s">
        <v>949</v>
      </c>
      <c r="T87" s="8">
        <v>23103.040000000001</v>
      </c>
      <c r="U87" s="8" t="s">
        <v>843</v>
      </c>
    </row>
    <row r="88" spans="1:21" x14ac:dyDescent="0.35">
      <c r="A88" s="2">
        <v>58</v>
      </c>
      <c r="B88" s="115" t="s">
        <v>126</v>
      </c>
      <c r="C88" s="116" t="s">
        <v>127</v>
      </c>
      <c r="D88" s="2">
        <v>3840</v>
      </c>
      <c r="E88" s="52">
        <v>11.68</v>
      </c>
      <c r="F88" s="111"/>
      <c r="H88" s="2"/>
      <c r="I88" s="2">
        <v>160</v>
      </c>
      <c r="J88" s="2">
        <v>0</v>
      </c>
      <c r="K88" s="2">
        <v>0</v>
      </c>
      <c r="L88" s="2">
        <v>1459.1999999999998</v>
      </c>
      <c r="M88" s="2">
        <v>1520</v>
      </c>
      <c r="N88" s="380">
        <v>2.8050000000000002</v>
      </c>
      <c r="O88" s="2" t="s">
        <v>116</v>
      </c>
      <c r="P88" s="2">
        <v>100</v>
      </c>
      <c r="Q88" s="2" t="s">
        <v>63</v>
      </c>
      <c r="R88" s="8" t="s">
        <v>949</v>
      </c>
      <c r="S88" s="8" t="s">
        <v>949</v>
      </c>
      <c r="T88" s="8">
        <v>44851.199999999997</v>
      </c>
      <c r="U88" s="8" t="s">
        <v>843</v>
      </c>
    </row>
    <row r="89" spans="1:21" x14ac:dyDescent="0.35">
      <c r="A89" s="2">
        <v>58</v>
      </c>
      <c r="B89" s="115" t="s">
        <v>128</v>
      </c>
      <c r="C89" s="116" t="s">
        <v>129</v>
      </c>
      <c r="D89" s="2">
        <v>2290</v>
      </c>
      <c r="E89" s="52">
        <v>11.68</v>
      </c>
      <c r="F89" s="111"/>
      <c r="H89" s="2"/>
      <c r="I89" s="2">
        <v>96</v>
      </c>
      <c r="J89" s="2">
        <v>0</v>
      </c>
      <c r="K89" s="2">
        <v>0</v>
      </c>
      <c r="L89" s="2">
        <v>870.19999999999993</v>
      </c>
      <c r="M89" s="2">
        <v>906.45833333333337</v>
      </c>
      <c r="N89" s="380">
        <v>1.6727734375000001</v>
      </c>
      <c r="O89" s="2" t="s">
        <v>116</v>
      </c>
      <c r="P89" s="2">
        <v>100</v>
      </c>
      <c r="Q89" s="2" t="s">
        <v>63</v>
      </c>
      <c r="R89" s="8" t="s">
        <v>949</v>
      </c>
      <c r="S89" s="8" t="s">
        <v>949</v>
      </c>
      <c r="T89" s="8">
        <v>26747.200000000001</v>
      </c>
      <c r="U89" s="8" t="s">
        <v>843</v>
      </c>
    </row>
    <row r="90" spans="1:21" x14ac:dyDescent="0.35">
      <c r="A90" s="2">
        <v>58</v>
      </c>
      <c r="B90" s="115" t="s">
        <v>130</v>
      </c>
      <c r="C90" s="116" t="s">
        <v>131</v>
      </c>
      <c r="D90" s="2">
        <v>100</v>
      </c>
      <c r="E90" s="52">
        <v>11.68</v>
      </c>
      <c r="F90" s="111"/>
      <c r="H90" s="2"/>
      <c r="I90" s="2">
        <v>5</v>
      </c>
      <c r="J90" s="2">
        <v>0</v>
      </c>
      <c r="K90" s="2">
        <v>0</v>
      </c>
      <c r="L90" s="2">
        <v>38</v>
      </c>
      <c r="M90" s="2">
        <v>39.583333333333336</v>
      </c>
      <c r="N90" s="380">
        <v>7.3046874999999997E-2</v>
      </c>
      <c r="O90" s="2" t="s">
        <v>116</v>
      </c>
      <c r="P90" s="2">
        <v>100</v>
      </c>
      <c r="Q90" s="2" t="s">
        <v>63</v>
      </c>
      <c r="R90" s="8" t="s">
        <v>949</v>
      </c>
      <c r="S90" s="8" t="s">
        <v>949</v>
      </c>
      <c r="T90" s="8">
        <v>1168</v>
      </c>
      <c r="U90" s="8" t="s">
        <v>843</v>
      </c>
    </row>
    <row r="91" spans="1:21" x14ac:dyDescent="0.35">
      <c r="A91" s="2">
        <v>57</v>
      </c>
      <c r="B91" s="115" t="s">
        <v>66</v>
      </c>
      <c r="C91" s="116" t="s">
        <v>67</v>
      </c>
      <c r="D91" s="2">
        <v>5602</v>
      </c>
      <c r="E91" s="52">
        <v>4.4139999999999997</v>
      </c>
      <c r="F91" s="111"/>
      <c r="H91" s="2"/>
      <c r="I91" s="2">
        <v>234</v>
      </c>
      <c r="J91" s="2">
        <v>0</v>
      </c>
      <c r="K91" s="2">
        <v>0</v>
      </c>
      <c r="L91" s="2">
        <v>1120.3999999999999</v>
      </c>
      <c r="M91" s="2">
        <v>1213.7666666666667</v>
      </c>
      <c r="N91" s="380">
        <v>3.3699531249999994</v>
      </c>
      <c r="O91" s="2" t="s">
        <v>62</v>
      </c>
      <c r="P91" s="2">
        <v>50</v>
      </c>
      <c r="Q91" s="2" t="s">
        <v>63</v>
      </c>
      <c r="R91" s="8" t="s">
        <v>949</v>
      </c>
      <c r="S91" s="8" t="s">
        <v>949</v>
      </c>
      <c r="T91" s="8">
        <v>24727.227999999999</v>
      </c>
      <c r="U91" s="8" t="s">
        <v>843</v>
      </c>
    </row>
    <row r="92" spans="1:21" x14ac:dyDescent="0.35">
      <c r="A92" s="2">
        <v>57</v>
      </c>
      <c r="B92" s="115" t="s">
        <v>70</v>
      </c>
      <c r="C92" s="116" t="s">
        <v>71</v>
      </c>
      <c r="D92" s="2">
        <v>4352</v>
      </c>
      <c r="E92" s="52">
        <v>4.4139999999999997</v>
      </c>
      <c r="F92" s="111"/>
      <c r="H92" s="2"/>
      <c r="I92" s="2">
        <v>182</v>
      </c>
      <c r="J92" s="2">
        <v>0</v>
      </c>
      <c r="K92" s="2">
        <v>0</v>
      </c>
      <c r="L92" s="2">
        <v>870.4</v>
      </c>
      <c r="M92" s="2">
        <v>942.93333333333339</v>
      </c>
      <c r="N92" s="380">
        <v>2.6180000000000003</v>
      </c>
      <c r="O92" s="2" t="s">
        <v>62</v>
      </c>
      <c r="P92" s="2">
        <v>50</v>
      </c>
      <c r="Q92" s="2" t="s">
        <v>63</v>
      </c>
      <c r="R92" s="8" t="s">
        <v>949</v>
      </c>
      <c r="S92" s="8" t="s">
        <v>949</v>
      </c>
      <c r="T92" s="8">
        <v>19209.727999999999</v>
      </c>
      <c r="U92" s="8" t="s">
        <v>843</v>
      </c>
    </row>
    <row r="93" spans="1:21" x14ac:dyDescent="0.35">
      <c r="A93" s="2">
        <v>57</v>
      </c>
      <c r="B93" s="115" t="s">
        <v>72</v>
      </c>
      <c r="C93" s="116" t="s">
        <v>73</v>
      </c>
      <c r="D93" s="2">
        <v>5145</v>
      </c>
      <c r="E93" s="52">
        <v>4.4139999999999997</v>
      </c>
      <c r="F93" s="111"/>
      <c r="H93" s="2"/>
      <c r="I93" s="2">
        <v>215</v>
      </c>
      <c r="J93" s="2">
        <v>0</v>
      </c>
      <c r="K93" s="2">
        <v>0</v>
      </c>
      <c r="L93" s="2">
        <v>1003.275</v>
      </c>
      <c r="M93" s="2">
        <v>1089.0250000000001</v>
      </c>
      <c r="N93" s="380">
        <v>3.9520674374999998</v>
      </c>
      <c r="O93" s="2" t="s">
        <v>62</v>
      </c>
      <c r="P93" s="2">
        <v>50</v>
      </c>
      <c r="Q93" s="2" t="s">
        <v>63</v>
      </c>
      <c r="R93" s="8" t="s">
        <v>949</v>
      </c>
      <c r="S93" s="8" t="s">
        <v>949</v>
      </c>
      <c r="T93" s="8">
        <v>22710.03</v>
      </c>
      <c r="U93" s="8" t="s">
        <v>843</v>
      </c>
    </row>
    <row r="94" spans="1:21" x14ac:dyDescent="0.35">
      <c r="A94" s="2">
        <v>57</v>
      </c>
      <c r="B94" s="115" t="s">
        <v>74</v>
      </c>
      <c r="C94" s="116" t="s">
        <v>75</v>
      </c>
      <c r="D94" s="2">
        <v>5503</v>
      </c>
      <c r="E94" s="52">
        <v>4.4139999999999997</v>
      </c>
      <c r="F94" s="111"/>
      <c r="H94" s="2"/>
      <c r="I94" s="2">
        <v>230</v>
      </c>
      <c r="J94" s="2">
        <v>0</v>
      </c>
      <c r="K94" s="2">
        <v>0</v>
      </c>
      <c r="L94" s="2">
        <v>1073.0849999999998</v>
      </c>
      <c r="M94" s="2">
        <v>1164.8016666666667</v>
      </c>
      <c r="N94" s="380">
        <v>4.2270606624999996</v>
      </c>
      <c r="O94" s="2" t="s">
        <v>62</v>
      </c>
      <c r="P94" s="2">
        <v>50</v>
      </c>
      <c r="Q94" s="2" t="s">
        <v>63</v>
      </c>
      <c r="R94" s="8" t="s">
        <v>949</v>
      </c>
      <c r="S94" s="8" t="s">
        <v>949</v>
      </c>
      <c r="T94" s="8">
        <v>24290.241999999998</v>
      </c>
      <c r="U94" s="8" t="s">
        <v>843</v>
      </c>
    </row>
    <row r="95" spans="1:21" x14ac:dyDescent="0.35">
      <c r="A95" s="2">
        <v>57</v>
      </c>
      <c r="B95" s="115" t="s">
        <v>76</v>
      </c>
      <c r="C95" s="116" t="s">
        <v>77</v>
      </c>
      <c r="D95" s="2">
        <v>5524</v>
      </c>
      <c r="E95" s="52">
        <v>4.4139999999999997</v>
      </c>
      <c r="F95" s="111"/>
      <c r="H95" s="2"/>
      <c r="I95" s="2">
        <v>231</v>
      </c>
      <c r="J95" s="2">
        <v>0</v>
      </c>
      <c r="K95" s="2">
        <v>0</v>
      </c>
      <c r="L95" s="2">
        <v>1077.1799999999998</v>
      </c>
      <c r="M95" s="2">
        <v>1169.2466666666667</v>
      </c>
      <c r="N95" s="380">
        <v>4.2431915499999997</v>
      </c>
      <c r="O95" s="2" t="s">
        <v>62</v>
      </c>
      <c r="P95" s="2">
        <v>50</v>
      </c>
      <c r="Q95" s="2" t="s">
        <v>63</v>
      </c>
      <c r="R95" s="8" t="s">
        <v>949</v>
      </c>
      <c r="S95" s="8" t="s">
        <v>949</v>
      </c>
      <c r="T95" s="8">
        <v>24382.935999999998</v>
      </c>
      <c r="U95" s="8" t="s">
        <v>843</v>
      </c>
    </row>
    <row r="96" spans="1:21" x14ac:dyDescent="0.35">
      <c r="A96" s="2">
        <v>57</v>
      </c>
      <c r="B96" s="115" t="s">
        <v>78</v>
      </c>
      <c r="C96" s="116" t="s">
        <v>79</v>
      </c>
      <c r="D96" s="2">
        <v>5277</v>
      </c>
      <c r="E96" s="52">
        <v>4.4139999999999997</v>
      </c>
      <c r="F96" s="111"/>
      <c r="H96" s="2"/>
      <c r="I96" s="2">
        <v>220</v>
      </c>
      <c r="J96" s="2">
        <v>0</v>
      </c>
      <c r="K96" s="2">
        <v>0</v>
      </c>
      <c r="L96" s="2">
        <v>1029.0149999999999</v>
      </c>
      <c r="M96" s="2">
        <v>1116.9649999999999</v>
      </c>
      <c r="N96" s="380">
        <v>4.0534615875000002</v>
      </c>
      <c r="O96" s="2" t="s">
        <v>62</v>
      </c>
      <c r="P96" s="2">
        <v>50</v>
      </c>
      <c r="Q96" s="2" t="s">
        <v>63</v>
      </c>
      <c r="R96" s="8" t="s">
        <v>949</v>
      </c>
      <c r="S96" s="8" t="s">
        <v>949</v>
      </c>
      <c r="T96" s="8">
        <v>23292.678</v>
      </c>
      <c r="U96" s="8" t="s">
        <v>843</v>
      </c>
    </row>
    <row r="97" spans="1:21" x14ac:dyDescent="0.35">
      <c r="A97" s="2">
        <v>56</v>
      </c>
      <c r="B97" s="115" t="s">
        <v>99</v>
      </c>
      <c r="C97" s="116" t="s">
        <v>100</v>
      </c>
      <c r="D97" s="2">
        <v>72</v>
      </c>
      <c r="E97" s="52">
        <v>6</v>
      </c>
      <c r="F97" s="111"/>
      <c r="H97" s="2"/>
      <c r="I97" s="2">
        <v>3</v>
      </c>
      <c r="J97" s="2">
        <v>0</v>
      </c>
      <c r="K97" s="2">
        <v>0</v>
      </c>
      <c r="L97" s="2">
        <v>22.56</v>
      </c>
      <c r="M97" s="2">
        <v>24.69</v>
      </c>
      <c r="N97" s="380">
        <v>6.7337999999999995E-2</v>
      </c>
      <c r="O97" s="2" t="s">
        <v>62</v>
      </c>
      <c r="P97" s="2">
        <v>100</v>
      </c>
      <c r="Q97" s="2" t="s">
        <v>63</v>
      </c>
      <c r="R97" s="8">
        <v>5</v>
      </c>
      <c r="S97" s="8">
        <v>360</v>
      </c>
      <c r="T97" s="8">
        <v>432</v>
      </c>
      <c r="U97" s="8" t="s">
        <v>725</v>
      </c>
    </row>
    <row r="98" spans="1:21" x14ac:dyDescent="0.35">
      <c r="A98" s="2">
        <v>56</v>
      </c>
      <c r="B98" s="115" t="s">
        <v>101</v>
      </c>
      <c r="C98" s="116" t="s">
        <v>102</v>
      </c>
      <c r="D98" s="2">
        <v>72</v>
      </c>
      <c r="E98" s="52">
        <v>6</v>
      </c>
      <c r="F98" s="111"/>
      <c r="H98" s="2"/>
      <c r="I98" s="2">
        <v>3</v>
      </c>
      <c r="J98" s="2">
        <v>0</v>
      </c>
      <c r="K98" s="2">
        <v>0</v>
      </c>
      <c r="L98" s="2">
        <v>22.56</v>
      </c>
      <c r="M98" s="2">
        <v>24.69</v>
      </c>
      <c r="N98" s="380">
        <v>6.7337999999999995E-2</v>
      </c>
      <c r="O98" s="2" t="s">
        <v>62</v>
      </c>
      <c r="P98" s="2">
        <v>100</v>
      </c>
      <c r="Q98" s="2" t="s">
        <v>63</v>
      </c>
      <c r="R98" s="8">
        <v>5</v>
      </c>
      <c r="S98" s="8">
        <v>360</v>
      </c>
      <c r="T98" s="8">
        <v>432</v>
      </c>
      <c r="U98" s="8" t="s">
        <v>725</v>
      </c>
    </row>
    <row r="99" spans="1:21" x14ac:dyDescent="0.35">
      <c r="A99" s="2">
        <v>56</v>
      </c>
      <c r="B99" s="115" t="s">
        <v>103</v>
      </c>
      <c r="C99" s="116" t="s">
        <v>104</v>
      </c>
      <c r="D99" s="2">
        <v>72</v>
      </c>
      <c r="E99" s="52">
        <v>6</v>
      </c>
      <c r="F99" s="111"/>
      <c r="H99" s="2"/>
      <c r="I99" s="2">
        <v>3</v>
      </c>
      <c r="J99" s="2">
        <v>0</v>
      </c>
      <c r="K99" s="2">
        <v>0</v>
      </c>
      <c r="L99" s="2">
        <v>22.56</v>
      </c>
      <c r="M99" s="2">
        <v>24.69</v>
      </c>
      <c r="N99" s="380">
        <v>6.7337999999999995E-2</v>
      </c>
      <c r="O99" s="2" t="s">
        <v>62</v>
      </c>
      <c r="P99" s="2">
        <v>100</v>
      </c>
      <c r="Q99" s="2" t="s">
        <v>63</v>
      </c>
      <c r="R99" s="8">
        <v>5</v>
      </c>
      <c r="S99" s="8">
        <v>360</v>
      </c>
      <c r="T99" s="8">
        <v>432</v>
      </c>
      <c r="U99" s="8" t="s">
        <v>725</v>
      </c>
    </row>
    <row r="100" spans="1:21" x14ac:dyDescent="0.35">
      <c r="A100" s="2">
        <v>56</v>
      </c>
      <c r="B100" s="115" t="s">
        <v>105</v>
      </c>
      <c r="C100" s="116" t="s">
        <v>106</v>
      </c>
      <c r="D100" s="2">
        <v>72</v>
      </c>
      <c r="E100" s="52">
        <v>6</v>
      </c>
      <c r="F100" s="111"/>
      <c r="H100" s="2"/>
      <c r="I100" s="2">
        <v>3</v>
      </c>
      <c r="J100" s="2">
        <v>0</v>
      </c>
      <c r="K100" s="2">
        <v>0</v>
      </c>
      <c r="L100" s="2">
        <v>22.56</v>
      </c>
      <c r="M100" s="2">
        <v>24.69</v>
      </c>
      <c r="N100" s="380">
        <v>6.7337999999999995E-2</v>
      </c>
      <c r="O100" s="2" t="s">
        <v>62</v>
      </c>
      <c r="P100" s="2">
        <v>100</v>
      </c>
      <c r="Q100" s="2" t="s">
        <v>63</v>
      </c>
      <c r="R100" s="8">
        <v>5</v>
      </c>
      <c r="S100" s="8">
        <v>360</v>
      </c>
      <c r="T100" s="8">
        <v>432</v>
      </c>
      <c r="U100" s="8" t="s">
        <v>725</v>
      </c>
    </row>
    <row r="101" spans="1:21" x14ac:dyDescent="0.35">
      <c r="A101" s="2">
        <v>56</v>
      </c>
      <c r="B101" s="115" t="s">
        <v>107</v>
      </c>
      <c r="C101" s="116" t="s">
        <v>108</v>
      </c>
      <c r="D101" s="2">
        <v>72</v>
      </c>
      <c r="E101" s="52">
        <v>6</v>
      </c>
      <c r="F101" s="111"/>
      <c r="H101" s="2"/>
      <c r="I101" s="2">
        <v>3</v>
      </c>
      <c r="J101" s="2">
        <v>0</v>
      </c>
      <c r="K101" s="2">
        <v>0</v>
      </c>
      <c r="L101" s="2">
        <v>20.61</v>
      </c>
      <c r="M101" s="2">
        <v>22.68</v>
      </c>
      <c r="N101" s="380">
        <v>7.5465000000000004E-2</v>
      </c>
      <c r="O101" s="2" t="s">
        <v>62</v>
      </c>
      <c r="P101" s="2">
        <v>100</v>
      </c>
      <c r="Q101" s="2" t="s">
        <v>63</v>
      </c>
      <c r="R101" s="8">
        <v>5</v>
      </c>
      <c r="S101" s="8">
        <v>360</v>
      </c>
      <c r="T101" s="8">
        <v>432</v>
      </c>
      <c r="U101" s="8" t="s">
        <v>725</v>
      </c>
    </row>
    <row r="102" spans="1:21" x14ac:dyDescent="0.35">
      <c r="A102" s="2">
        <v>56</v>
      </c>
      <c r="B102" s="115" t="s">
        <v>109</v>
      </c>
      <c r="C102" s="116" t="s">
        <v>110</v>
      </c>
      <c r="D102" s="2">
        <v>72</v>
      </c>
      <c r="E102" s="52">
        <v>6</v>
      </c>
      <c r="F102" s="111"/>
      <c r="H102" s="2"/>
      <c r="I102" s="2">
        <v>3</v>
      </c>
      <c r="J102" s="2">
        <v>0</v>
      </c>
      <c r="K102" s="2">
        <v>0</v>
      </c>
      <c r="L102" s="2">
        <v>20.61</v>
      </c>
      <c r="M102" s="2">
        <v>22.68</v>
      </c>
      <c r="N102" s="380">
        <v>7.5465000000000004E-2</v>
      </c>
      <c r="O102" s="2" t="s">
        <v>62</v>
      </c>
      <c r="P102" s="2">
        <v>100</v>
      </c>
      <c r="Q102" s="2" t="s">
        <v>63</v>
      </c>
      <c r="R102" s="8">
        <v>5</v>
      </c>
      <c r="S102" s="8">
        <v>360</v>
      </c>
      <c r="T102" s="8">
        <v>432</v>
      </c>
      <c r="U102" s="8" t="s">
        <v>725</v>
      </c>
    </row>
    <row r="103" spans="1:21" x14ac:dyDescent="0.35">
      <c r="A103" s="2">
        <v>56</v>
      </c>
      <c r="B103" s="115" t="s">
        <v>111</v>
      </c>
      <c r="C103" s="116" t="s">
        <v>112</v>
      </c>
      <c r="D103" s="2">
        <v>72</v>
      </c>
      <c r="E103" s="52">
        <v>6</v>
      </c>
      <c r="F103" s="111"/>
      <c r="H103" s="2"/>
      <c r="I103" s="2">
        <v>3</v>
      </c>
      <c r="J103" s="2">
        <v>0</v>
      </c>
      <c r="K103" s="2">
        <v>0</v>
      </c>
      <c r="L103" s="2">
        <v>20.61</v>
      </c>
      <c r="M103" s="2">
        <v>22.68</v>
      </c>
      <c r="N103" s="380">
        <v>7.5465000000000004E-2</v>
      </c>
      <c r="O103" s="2" t="s">
        <v>62</v>
      </c>
      <c r="P103" s="2">
        <v>100</v>
      </c>
      <c r="Q103" s="2" t="s">
        <v>63</v>
      </c>
      <c r="R103" s="8">
        <v>5</v>
      </c>
      <c r="S103" s="8">
        <v>360</v>
      </c>
      <c r="T103" s="8">
        <v>432</v>
      </c>
      <c r="U103" s="8" t="s">
        <v>725</v>
      </c>
    </row>
    <row r="104" spans="1:21" x14ac:dyDescent="0.35">
      <c r="A104" s="2">
        <v>56</v>
      </c>
      <c r="B104" s="115" t="s">
        <v>113</v>
      </c>
      <c r="C104" s="116" t="s">
        <v>114</v>
      </c>
      <c r="D104" s="2">
        <v>72</v>
      </c>
      <c r="E104" s="52">
        <v>6</v>
      </c>
      <c r="F104" s="111"/>
      <c r="H104" s="2"/>
      <c r="I104" s="2">
        <v>3</v>
      </c>
      <c r="J104" s="2">
        <v>0</v>
      </c>
      <c r="K104" s="2">
        <v>0</v>
      </c>
      <c r="L104" s="2">
        <v>20.61</v>
      </c>
      <c r="M104" s="2">
        <v>22.68</v>
      </c>
      <c r="N104" s="380">
        <v>7.5465000000000004E-2</v>
      </c>
      <c r="O104" s="2" t="s">
        <v>62</v>
      </c>
      <c r="P104" s="2">
        <v>100</v>
      </c>
      <c r="Q104" s="2" t="s">
        <v>63</v>
      </c>
      <c r="R104" s="8">
        <v>5</v>
      </c>
      <c r="S104" s="8">
        <v>360</v>
      </c>
      <c r="T104" s="8">
        <v>432</v>
      </c>
      <c r="U104" s="8" t="s">
        <v>725</v>
      </c>
    </row>
    <row r="105" spans="1:21" x14ac:dyDescent="0.35">
      <c r="A105" s="2">
        <v>56</v>
      </c>
      <c r="B105" s="115" t="s">
        <v>24</v>
      </c>
      <c r="C105" s="116" t="s">
        <v>27</v>
      </c>
      <c r="D105" s="2">
        <v>72</v>
      </c>
      <c r="E105" s="52">
        <v>6</v>
      </c>
      <c r="F105" s="111"/>
      <c r="H105" s="2"/>
      <c r="I105" s="2">
        <v>6</v>
      </c>
      <c r="J105" s="2">
        <v>0</v>
      </c>
      <c r="K105" s="2">
        <v>0</v>
      </c>
      <c r="L105" s="2">
        <v>30.240000000000002</v>
      </c>
      <c r="M105" s="2">
        <v>34.74</v>
      </c>
      <c r="N105" s="380">
        <v>0.16849800000000001</v>
      </c>
      <c r="O105" s="2" t="s">
        <v>25</v>
      </c>
      <c r="P105" s="2">
        <v>50</v>
      </c>
      <c r="Q105" s="2">
        <v>0</v>
      </c>
      <c r="R105" s="8">
        <v>5.23</v>
      </c>
      <c r="S105" s="8">
        <v>376.56000000000006</v>
      </c>
      <c r="T105" s="8">
        <v>432</v>
      </c>
      <c r="U105" s="8" t="s">
        <v>725</v>
      </c>
    </row>
    <row r="106" spans="1:21" x14ac:dyDescent="0.35">
      <c r="A106" s="2">
        <v>56</v>
      </c>
      <c r="B106" s="115" t="s">
        <v>30</v>
      </c>
      <c r="C106" s="116" t="s">
        <v>31</v>
      </c>
      <c r="D106" s="2">
        <v>72</v>
      </c>
      <c r="E106" s="52">
        <v>6</v>
      </c>
      <c r="F106" s="111"/>
      <c r="H106" s="2"/>
      <c r="I106" s="2">
        <v>6</v>
      </c>
      <c r="J106" s="2">
        <v>0</v>
      </c>
      <c r="K106" s="2">
        <v>0</v>
      </c>
      <c r="L106" s="2">
        <v>30.240000000000002</v>
      </c>
      <c r="M106" s="2">
        <v>34.74</v>
      </c>
      <c r="N106" s="380">
        <v>0.16849800000000001</v>
      </c>
      <c r="O106" s="2" t="s">
        <v>25</v>
      </c>
      <c r="P106" s="2">
        <v>50</v>
      </c>
      <c r="Q106" s="2">
        <v>0</v>
      </c>
      <c r="R106" s="8">
        <v>5.23</v>
      </c>
      <c r="S106" s="8">
        <v>376.56000000000006</v>
      </c>
      <c r="T106" s="8">
        <v>432</v>
      </c>
      <c r="U106" s="8" t="s">
        <v>725</v>
      </c>
    </row>
    <row r="107" spans="1:21" x14ac:dyDescent="0.35">
      <c r="A107" s="2">
        <v>56</v>
      </c>
      <c r="B107" s="115" t="s">
        <v>32</v>
      </c>
      <c r="C107" s="116" t="s">
        <v>33</v>
      </c>
      <c r="D107" s="2">
        <v>72</v>
      </c>
      <c r="E107" s="52">
        <v>6</v>
      </c>
      <c r="F107" s="111"/>
      <c r="H107" s="2"/>
      <c r="I107" s="2">
        <v>6</v>
      </c>
      <c r="J107" s="2">
        <v>0</v>
      </c>
      <c r="K107" s="2">
        <v>0</v>
      </c>
      <c r="L107" s="2">
        <v>30.240000000000002</v>
      </c>
      <c r="M107" s="2">
        <v>34.74</v>
      </c>
      <c r="N107" s="380">
        <v>0.16849800000000001</v>
      </c>
      <c r="O107" s="2" t="s">
        <v>25</v>
      </c>
      <c r="P107" s="2">
        <v>50</v>
      </c>
      <c r="Q107" s="2">
        <v>0</v>
      </c>
      <c r="R107" s="8">
        <v>5.23</v>
      </c>
      <c r="S107" s="8">
        <v>376.56000000000006</v>
      </c>
      <c r="T107" s="8">
        <v>432</v>
      </c>
      <c r="U107" s="8" t="s">
        <v>725</v>
      </c>
    </row>
    <row r="108" spans="1:21" x14ac:dyDescent="0.35">
      <c r="A108" s="2">
        <v>56</v>
      </c>
      <c r="B108" s="115" t="s">
        <v>34</v>
      </c>
      <c r="C108" s="116" t="s">
        <v>35</v>
      </c>
      <c r="D108" s="2">
        <v>72</v>
      </c>
      <c r="E108" s="52">
        <v>6</v>
      </c>
      <c r="F108" s="111"/>
      <c r="H108" s="2"/>
      <c r="I108" s="2">
        <v>6</v>
      </c>
      <c r="J108" s="2">
        <v>0</v>
      </c>
      <c r="K108" s="2">
        <v>0</v>
      </c>
      <c r="L108" s="2">
        <v>30.240000000000002</v>
      </c>
      <c r="M108" s="2">
        <v>34.74</v>
      </c>
      <c r="N108" s="380">
        <v>0.16849800000000001</v>
      </c>
      <c r="O108" s="2" t="s">
        <v>25</v>
      </c>
      <c r="P108" s="2">
        <v>50</v>
      </c>
      <c r="Q108" s="2">
        <v>0</v>
      </c>
      <c r="R108" s="8">
        <v>5.23</v>
      </c>
      <c r="S108" s="8">
        <v>376.56000000000006</v>
      </c>
      <c r="T108" s="8">
        <v>432</v>
      </c>
      <c r="U108" s="8" t="s">
        <v>725</v>
      </c>
    </row>
    <row r="109" spans="1:21" x14ac:dyDescent="0.35">
      <c r="A109" s="2">
        <v>56</v>
      </c>
      <c r="B109" s="115" t="s">
        <v>36</v>
      </c>
      <c r="C109" s="116" t="s">
        <v>38</v>
      </c>
      <c r="D109" s="2">
        <v>72</v>
      </c>
      <c r="E109" s="52">
        <v>6</v>
      </c>
      <c r="F109" s="111"/>
      <c r="H109" s="2"/>
      <c r="I109" s="2">
        <v>6</v>
      </c>
      <c r="J109" s="2">
        <v>0</v>
      </c>
      <c r="K109" s="2">
        <v>0</v>
      </c>
      <c r="L109" s="2">
        <v>28.68</v>
      </c>
      <c r="M109" s="2">
        <v>31.5</v>
      </c>
      <c r="N109" s="380">
        <v>0.16849800000000001</v>
      </c>
      <c r="O109" s="2" t="s">
        <v>25</v>
      </c>
      <c r="P109" s="2">
        <v>50</v>
      </c>
      <c r="Q109" s="2">
        <v>0</v>
      </c>
      <c r="R109" s="8">
        <v>5.23</v>
      </c>
      <c r="S109" s="8">
        <v>376.56000000000006</v>
      </c>
      <c r="T109" s="8">
        <v>432</v>
      </c>
      <c r="U109" s="8" t="s">
        <v>725</v>
      </c>
    </row>
    <row r="110" spans="1:21" x14ac:dyDescent="0.35">
      <c r="A110" s="2">
        <v>56</v>
      </c>
      <c r="B110" s="115" t="s">
        <v>39</v>
      </c>
      <c r="C110" s="116" t="s">
        <v>40</v>
      </c>
      <c r="D110" s="2">
        <v>72</v>
      </c>
      <c r="E110" s="52">
        <v>6</v>
      </c>
      <c r="F110" s="111"/>
      <c r="H110" s="2"/>
      <c r="I110" s="2">
        <v>6</v>
      </c>
      <c r="J110" s="2">
        <v>0</v>
      </c>
      <c r="K110" s="2">
        <v>0</v>
      </c>
      <c r="L110" s="2">
        <v>28.68</v>
      </c>
      <c r="M110" s="2">
        <v>31.5</v>
      </c>
      <c r="N110" s="380">
        <v>0.16849800000000001</v>
      </c>
      <c r="O110" s="2" t="s">
        <v>25</v>
      </c>
      <c r="P110" s="2">
        <v>50</v>
      </c>
      <c r="Q110" s="2">
        <v>0</v>
      </c>
      <c r="R110" s="8">
        <v>5.23</v>
      </c>
      <c r="S110" s="8">
        <v>376.56000000000006</v>
      </c>
      <c r="T110" s="8">
        <v>432</v>
      </c>
      <c r="U110" s="8" t="s">
        <v>725</v>
      </c>
    </row>
    <row r="111" spans="1:21" x14ac:dyDescent="0.35">
      <c r="A111" s="2">
        <v>56</v>
      </c>
      <c r="B111" s="115" t="s">
        <v>41</v>
      </c>
      <c r="C111" s="116" t="s">
        <v>42</v>
      </c>
      <c r="D111" s="2">
        <v>72</v>
      </c>
      <c r="E111" s="52">
        <v>6</v>
      </c>
      <c r="F111" s="111"/>
      <c r="H111" s="2"/>
      <c r="I111" s="2">
        <v>6</v>
      </c>
      <c r="J111" s="2">
        <v>0</v>
      </c>
      <c r="K111" s="2">
        <v>0</v>
      </c>
      <c r="L111" s="2">
        <v>28.68</v>
      </c>
      <c r="M111" s="2">
        <v>31.5</v>
      </c>
      <c r="N111" s="380">
        <v>0.16849800000000001</v>
      </c>
      <c r="O111" s="2" t="s">
        <v>25</v>
      </c>
      <c r="P111" s="2">
        <v>50</v>
      </c>
      <c r="Q111" s="2">
        <v>0</v>
      </c>
      <c r="R111" s="8">
        <v>5.23</v>
      </c>
      <c r="S111" s="8">
        <v>376.56000000000006</v>
      </c>
      <c r="T111" s="8">
        <v>432</v>
      </c>
      <c r="U111" s="8" t="s">
        <v>725</v>
      </c>
    </row>
    <row r="112" spans="1:21" x14ac:dyDescent="0.35">
      <c r="A112" s="2">
        <v>56</v>
      </c>
      <c r="B112" s="115" t="s">
        <v>43</v>
      </c>
      <c r="C112" s="116" t="s">
        <v>44</v>
      </c>
      <c r="D112" s="2">
        <v>72</v>
      </c>
      <c r="E112" s="52">
        <v>6</v>
      </c>
      <c r="F112" s="111"/>
      <c r="H112" s="2"/>
      <c r="I112" s="2">
        <v>6</v>
      </c>
      <c r="J112" s="2">
        <v>0</v>
      </c>
      <c r="K112" s="2">
        <v>0</v>
      </c>
      <c r="L112" s="2">
        <v>28.68</v>
      </c>
      <c r="M112" s="2">
        <v>31.5</v>
      </c>
      <c r="N112" s="380">
        <v>0.16849800000000001</v>
      </c>
      <c r="O112" s="2" t="s">
        <v>25</v>
      </c>
      <c r="P112" s="2">
        <v>50</v>
      </c>
      <c r="Q112" s="2">
        <v>0</v>
      </c>
      <c r="R112" s="8">
        <v>5.23</v>
      </c>
      <c r="S112" s="8">
        <v>376.56000000000006</v>
      </c>
      <c r="T112" s="8">
        <v>432</v>
      </c>
      <c r="U112" s="8" t="s">
        <v>725</v>
      </c>
    </row>
    <row r="113" spans="1:21" x14ac:dyDescent="0.35">
      <c r="A113" s="2">
        <v>56</v>
      </c>
      <c r="B113" s="115" t="s">
        <v>45</v>
      </c>
      <c r="C113" s="116" t="s">
        <v>46</v>
      </c>
      <c r="D113" s="2">
        <v>72</v>
      </c>
      <c r="E113" s="52">
        <v>6.5</v>
      </c>
      <c r="F113" s="111"/>
      <c r="H113" s="2"/>
      <c r="I113" s="2">
        <v>6</v>
      </c>
      <c r="J113" s="2">
        <v>0</v>
      </c>
      <c r="K113" s="2">
        <v>0</v>
      </c>
      <c r="L113" s="2">
        <v>37.019999999999996</v>
      </c>
      <c r="M113" s="2">
        <v>40.619999999999997</v>
      </c>
      <c r="N113" s="380">
        <v>0.23389199999999999</v>
      </c>
      <c r="O113" s="2" t="s">
        <v>25</v>
      </c>
      <c r="P113" s="2">
        <v>50</v>
      </c>
      <c r="Q113" s="2">
        <v>0</v>
      </c>
      <c r="R113" s="8">
        <v>6.16</v>
      </c>
      <c r="S113" s="8">
        <v>501.84</v>
      </c>
      <c r="T113" s="8">
        <v>468</v>
      </c>
      <c r="U113" s="8" t="s">
        <v>725</v>
      </c>
    </row>
    <row r="114" spans="1:21" x14ac:dyDescent="0.35">
      <c r="A114" s="2">
        <v>56</v>
      </c>
      <c r="B114" s="115" t="s">
        <v>47</v>
      </c>
      <c r="C114" s="116" t="s">
        <v>48</v>
      </c>
      <c r="D114" s="2">
        <v>72</v>
      </c>
      <c r="E114" s="52">
        <v>6.5</v>
      </c>
      <c r="F114" s="111"/>
      <c r="H114" s="2"/>
      <c r="I114" s="2">
        <v>6</v>
      </c>
      <c r="J114" s="2">
        <v>0</v>
      </c>
      <c r="K114" s="2">
        <v>0</v>
      </c>
      <c r="L114" s="2">
        <v>37.019999999999996</v>
      </c>
      <c r="M114" s="2">
        <v>40.619999999999997</v>
      </c>
      <c r="N114" s="380">
        <v>0.23389199999999999</v>
      </c>
      <c r="O114" s="2" t="s">
        <v>25</v>
      </c>
      <c r="P114" s="2">
        <v>50</v>
      </c>
      <c r="Q114" s="2">
        <v>0</v>
      </c>
      <c r="R114" s="8">
        <v>6.16</v>
      </c>
      <c r="S114" s="8">
        <v>501.84</v>
      </c>
      <c r="T114" s="8">
        <v>468</v>
      </c>
      <c r="U114" s="8" t="s">
        <v>725</v>
      </c>
    </row>
    <row r="115" spans="1:21" x14ac:dyDescent="0.35">
      <c r="A115" s="2">
        <v>56</v>
      </c>
      <c r="B115" s="115" t="s">
        <v>49</v>
      </c>
      <c r="C115" s="116" t="s">
        <v>50</v>
      </c>
      <c r="D115" s="2">
        <v>72</v>
      </c>
      <c r="E115" s="52">
        <v>6.5</v>
      </c>
      <c r="F115" s="111"/>
      <c r="H115" s="2"/>
      <c r="I115" s="2">
        <v>6</v>
      </c>
      <c r="J115" s="2">
        <v>0</v>
      </c>
      <c r="K115" s="2">
        <v>0</v>
      </c>
      <c r="L115" s="2">
        <v>37.019999999999996</v>
      </c>
      <c r="M115" s="2">
        <v>40.619999999999997</v>
      </c>
      <c r="N115" s="380">
        <v>0.23389199999999999</v>
      </c>
      <c r="O115" s="2" t="s">
        <v>25</v>
      </c>
      <c r="P115" s="2">
        <v>50</v>
      </c>
      <c r="Q115" s="2">
        <v>0</v>
      </c>
      <c r="R115" s="8">
        <v>6.16</v>
      </c>
      <c r="S115" s="8">
        <v>501.84</v>
      </c>
      <c r="T115" s="8">
        <v>468</v>
      </c>
      <c r="U115" s="8" t="s">
        <v>725</v>
      </c>
    </row>
    <row r="116" spans="1:21" x14ac:dyDescent="0.35">
      <c r="A116" s="2">
        <v>56</v>
      </c>
      <c r="B116" s="115" t="s">
        <v>51</v>
      </c>
      <c r="C116" s="116" t="s">
        <v>52</v>
      </c>
      <c r="D116" s="2">
        <v>72</v>
      </c>
      <c r="E116" s="52">
        <v>6.5</v>
      </c>
      <c r="F116" s="111"/>
      <c r="H116" s="2"/>
      <c r="I116" s="2">
        <v>6</v>
      </c>
      <c r="J116" s="2">
        <v>0</v>
      </c>
      <c r="K116" s="2">
        <v>0</v>
      </c>
      <c r="L116" s="2">
        <v>37.019999999999996</v>
      </c>
      <c r="M116" s="2">
        <v>40.619999999999997</v>
      </c>
      <c r="N116" s="380">
        <v>0.23389199999999999</v>
      </c>
      <c r="O116" s="2" t="s">
        <v>25</v>
      </c>
      <c r="P116" s="2">
        <v>50</v>
      </c>
      <c r="Q116" s="2">
        <v>0</v>
      </c>
      <c r="R116" s="8">
        <v>6.16</v>
      </c>
      <c r="S116" s="8">
        <v>501.84</v>
      </c>
      <c r="T116" s="8">
        <v>468</v>
      </c>
      <c r="U116" s="8" t="s">
        <v>725</v>
      </c>
    </row>
    <row r="117" spans="1:21" x14ac:dyDescent="0.35">
      <c r="A117" s="2">
        <v>56</v>
      </c>
      <c r="B117" s="115" t="s">
        <v>55</v>
      </c>
      <c r="C117" s="116" t="s">
        <v>56</v>
      </c>
      <c r="D117" s="2">
        <v>72</v>
      </c>
      <c r="E117" s="52">
        <v>6.5</v>
      </c>
      <c r="F117" s="111"/>
      <c r="H117" s="2"/>
      <c r="I117" s="2">
        <v>6</v>
      </c>
      <c r="J117" s="2">
        <v>0</v>
      </c>
      <c r="K117" s="2">
        <v>0</v>
      </c>
      <c r="L117" s="2">
        <v>34.200000000000003</v>
      </c>
      <c r="M117" s="2">
        <v>37.799999999999997</v>
      </c>
      <c r="N117" s="380">
        <v>0.23389199999999999</v>
      </c>
      <c r="O117" s="2" t="s">
        <v>25</v>
      </c>
      <c r="P117" s="2">
        <v>50</v>
      </c>
      <c r="Q117" s="2">
        <v>0</v>
      </c>
      <c r="R117" s="8">
        <v>6.16</v>
      </c>
      <c r="S117" s="8">
        <v>501.84</v>
      </c>
      <c r="T117" s="8">
        <v>468</v>
      </c>
      <c r="U117" s="8" t="s">
        <v>725</v>
      </c>
    </row>
    <row r="118" spans="1:21" x14ac:dyDescent="0.35">
      <c r="A118" s="2">
        <v>56</v>
      </c>
      <c r="B118" s="115" t="s">
        <v>57</v>
      </c>
      <c r="C118" s="116" t="s">
        <v>58</v>
      </c>
      <c r="D118" s="2">
        <v>72</v>
      </c>
      <c r="E118" s="52">
        <v>6.5</v>
      </c>
      <c r="F118" s="111"/>
      <c r="H118" s="2"/>
      <c r="I118" s="2">
        <v>6</v>
      </c>
      <c r="J118" s="2">
        <v>0</v>
      </c>
      <c r="K118" s="2">
        <v>0</v>
      </c>
      <c r="L118" s="2">
        <v>34.200000000000003</v>
      </c>
      <c r="M118" s="2">
        <v>37.799999999999997</v>
      </c>
      <c r="N118" s="380">
        <v>0.23389199999999999</v>
      </c>
      <c r="O118" s="2" t="s">
        <v>25</v>
      </c>
      <c r="P118" s="2">
        <v>50</v>
      </c>
      <c r="Q118" s="2">
        <v>0</v>
      </c>
      <c r="R118" s="8">
        <v>6.16</v>
      </c>
      <c r="S118" s="8">
        <v>501.84</v>
      </c>
      <c r="T118" s="8">
        <v>468</v>
      </c>
      <c r="U118" s="8" t="s">
        <v>725</v>
      </c>
    </row>
    <row r="119" spans="1:21" x14ac:dyDescent="0.35">
      <c r="A119" s="2">
        <v>56</v>
      </c>
      <c r="B119" s="115" t="s">
        <v>59</v>
      </c>
      <c r="C119" s="116" t="s">
        <v>60</v>
      </c>
      <c r="D119" s="2">
        <v>72</v>
      </c>
      <c r="E119" s="52">
        <v>6.5</v>
      </c>
      <c r="F119" s="111"/>
      <c r="H119" s="2"/>
      <c r="I119" s="2">
        <v>6</v>
      </c>
      <c r="J119" s="2">
        <v>0</v>
      </c>
      <c r="K119" s="2">
        <v>0</v>
      </c>
      <c r="L119" s="2">
        <v>34.200000000000003</v>
      </c>
      <c r="M119" s="2">
        <v>37.799999999999997</v>
      </c>
      <c r="N119" s="380">
        <v>0.23389199999999999</v>
      </c>
      <c r="O119" s="2" t="s">
        <v>25</v>
      </c>
      <c r="P119" s="2">
        <v>50</v>
      </c>
      <c r="Q119" s="2">
        <v>0</v>
      </c>
      <c r="R119" s="8">
        <v>6.16</v>
      </c>
      <c r="S119" s="8">
        <v>501.84</v>
      </c>
      <c r="T119" s="8">
        <v>468</v>
      </c>
      <c r="U119" s="8" t="s">
        <v>725</v>
      </c>
    </row>
    <row r="120" spans="1:21" x14ac:dyDescent="0.35">
      <c r="A120" s="2">
        <v>56</v>
      </c>
      <c r="B120" s="115" t="s">
        <v>176</v>
      </c>
      <c r="C120" s="116" t="s">
        <v>179</v>
      </c>
      <c r="D120" s="2">
        <v>240</v>
      </c>
      <c r="E120" s="52">
        <v>2</v>
      </c>
      <c r="F120" s="111"/>
      <c r="H120" s="2"/>
      <c r="I120" s="2">
        <v>10</v>
      </c>
      <c r="J120" s="2">
        <v>0</v>
      </c>
      <c r="K120" s="2">
        <v>0</v>
      </c>
      <c r="L120" s="2">
        <v>63.5</v>
      </c>
      <c r="M120" s="2">
        <v>70</v>
      </c>
      <c r="N120" s="380">
        <v>0.15939</v>
      </c>
      <c r="O120" s="2" t="s">
        <v>177</v>
      </c>
      <c r="P120" s="2">
        <v>200</v>
      </c>
      <c r="Q120" s="2" t="s">
        <v>178</v>
      </c>
      <c r="R120" s="8">
        <v>2.0499999999999998</v>
      </c>
      <c r="S120" s="8">
        <v>491.99999999999994</v>
      </c>
      <c r="T120" s="8">
        <v>480</v>
      </c>
      <c r="U120" s="8" t="s">
        <v>725</v>
      </c>
    </row>
    <row r="121" spans="1:21" x14ac:dyDescent="0.35">
      <c r="A121" s="2">
        <v>56</v>
      </c>
      <c r="B121" s="115" t="s">
        <v>181</v>
      </c>
      <c r="C121" s="116" t="s">
        <v>182</v>
      </c>
      <c r="D121" s="2">
        <v>240</v>
      </c>
      <c r="E121" s="52">
        <v>2</v>
      </c>
      <c r="F121" s="111"/>
      <c r="H121" s="2"/>
      <c r="I121" s="2">
        <v>10</v>
      </c>
      <c r="J121" s="2">
        <v>0</v>
      </c>
      <c r="K121" s="2">
        <v>0</v>
      </c>
      <c r="L121" s="2">
        <v>63.5</v>
      </c>
      <c r="M121" s="2">
        <v>70</v>
      </c>
      <c r="N121" s="380">
        <v>0.15939</v>
      </c>
      <c r="O121" s="2" t="s">
        <v>177</v>
      </c>
      <c r="P121" s="2">
        <v>200</v>
      </c>
      <c r="Q121" s="2" t="s">
        <v>178</v>
      </c>
      <c r="R121" s="8">
        <v>2.0499999999999998</v>
      </c>
      <c r="S121" s="8">
        <v>491.99999999999994</v>
      </c>
      <c r="T121" s="8">
        <v>480</v>
      </c>
      <c r="U121" s="8" t="s">
        <v>725</v>
      </c>
    </row>
    <row r="122" spans="1:21" x14ac:dyDescent="0.35">
      <c r="A122" s="2">
        <v>56</v>
      </c>
      <c r="B122" s="115" t="s">
        <v>183</v>
      </c>
      <c r="C122" s="116" t="s">
        <v>184</v>
      </c>
      <c r="D122" s="2">
        <v>240</v>
      </c>
      <c r="E122" s="52">
        <v>2</v>
      </c>
      <c r="F122" s="111"/>
      <c r="H122" s="2"/>
      <c r="I122" s="2">
        <v>10</v>
      </c>
      <c r="J122" s="2">
        <v>0</v>
      </c>
      <c r="K122" s="2">
        <v>0</v>
      </c>
      <c r="L122" s="2">
        <v>63.5</v>
      </c>
      <c r="M122" s="2">
        <v>70</v>
      </c>
      <c r="N122" s="380">
        <v>0.15939</v>
      </c>
      <c r="O122" s="2" t="s">
        <v>177</v>
      </c>
      <c r="P122" s="2">
        <v>200</v>
      </c>
      <c r="Q122" s="2" t="s">
        <v>178</v>
      </c>
      <c r="R122" s="8">
        <v>2.0499999999999998</v>
      </c>
      <c r="S122" s="8">
        <v>491.99999999999994</v>
      </c>
      <c r="T122" s="8">
        <v>480</v>
      </c>
      <c r="U122" s="8" t="s">
        <v>725</v>
      </c>
    </row>
    <row r="123" spans="1:21" x14ac:dyDescent="0.35">
      <c r="A123" s="2">
        <v>56</v>
      </c>
      <c r="B123" s="115" t="s">
        <v>185</v>
      </c>
      <c r="C123" s="116" t="s">
        <v>186</v>
      </c>
      <c r="D123" s="2">
        <v>240</v>
      </c>
      <c r="E123" s="52">
        <v>2</v>
      </c>
      <c r="F123" s="111"/>
      <c r="H123" s="2"/>
      <c r="I123" s="2">
        <v>10</v>
      </c>
      <c r="J123" s="2">
        <v>0</v>
      </c>
      <c r="K123" s="2">
        <v>0</v>
      </c>
      <c r="L123" s="2">
        <v>63.5</v>
      </c>
      <c r="M123" s="2">
        <v>70</v>
      </c>
      <c r="N123" s="380">
        <v>0.15939</v>
      </c>
      <c r="O123" s="2" t="s">
        <v>177</v>
      </c>
      <c r="P123" s="2">
        <v>200</v>
      </c>
      <c r="Q123" s="2" t="s">
        <v>178</v>
      </c>
      <c r="R123" s="8">
        <v>2.0499999999999998</v>
      </c>
      <c r="S123" s="8">
        <v>491.99999999999994</v>
      </c>
      <c r="T123" s="8">
        <v>480</v>
      </c>
      <c r="U123" s="8" t="s">
        <v>725</v>
      </c>
    </row>
    <row r="124" spans="1:21" x14ac:dyDescent="0.35">
      <c r="A124" s="2">
        <v>55</v>
      </c>
      <c r="B124" s="115" t="s">
        <v>61</v>
      </c>
      <c r="C124" s="116" t="s">
        <v>64</v>
      </c>
      <c r="D124" s="2">
        <v>6</v>
      </c>
      <c r="E124" s="52"/>
      <c r="F124" s="111"/>
      <c r="H124" s="2">
        <v>6</v>
      </c>
      <c r="I124" s="2">
        <v>1</v>
      </c>
      <c r="J124" s="2">
        <v>0</v>
      </c>
      <c r="K124" s="2">
        <v>1</v>
      </c>
      <c r="L124" s="2">
        <v>2.4</v>
      </c>
      <c r="M124" s="2">
        <v>2.6</v>
      </c>
      <c r="N124" s="380">
        <v>3.6093750000000002E-3</v>
      </c>
      <c r="O124" s="2" t="s">
        <v>62</v>
      </c>
      <c r="P124" s="2">
        <v>50</v>
      </c>
      <c r="Q124" s="2" t="s">
        <v>63</v>
      </c>
      <c r="R124" s="8" t="s">
        <v>949</v>
      </c>
      <c r="S124" s="8" t="s">
        <v>949</v>
      </c>
      <c r="T124" s="8">
        <v>0</v>
      </c>
      <c r="U124" s="8" t="s">
        <v>843</v>
      </c>
    </row>
    <row r="125" spans="1:21" x14ac:dyDescent="0.35">
      <c r="A125" s="2">
        <v>54</v>
      </c>
      <c r="B125" s="115" t="s">
        <v>120</v>
      </c>
      <c r="C125" s="116" t="s">
        <v>713</v>
      </c>
      <c r="D125" s="2"/>
      <c r="E125" s="52"/>
      <c r="F125" s="111"/>
      <c r="H125" s="2">
        <v>120</v>
      </c>
      <c r="I125" s="2">
        <v>0</v>
      </c>
      <c r="J125" s="2">
        <v>0</v>
      </c>
      <c r="K125" s="2">
        <v>5</v>
      </c>
      <c r="L125" s="2">
        <v>47.400000000000006</v>
      </c>
      <c r="M125" s="2">
        <v>49.5</v>
      </c>
      <c r="N125" s="380">
        <v>0</v>
      </c>
      <c r="O125" s="2" t="s">
        <v>116</v>
      </c>
      <c r="P125" s="2">
        <v>100</v>
      </c>
      <c r="Q125" s="2" t="s">
        <v>63</v>
      </c>
      <c r="R125" s="8" t="s">
        <v>949</v>
      </c>
      <c r="S125" s="8" t="s">
        <v>949</v>
      </c>
      <c r="T125" s="8">
        <v>0</v>
      </c>
      <c r="U125" s="8" t="s">
        <v>843</v>
      </c>
    </row>
    <row r="126" spans="1:21" x14ac:dyDescent="0.35">
      <c r="A126" s="2">
        <v>54</v>
      </c>
      <c r="B126" s="115" t="s">
        <v>137</v>
      </c>
      <c r="C126" s="116" t="s">
        <v>712</v>
      </c>
      <c r="D126" s="2"/>
      <c r="E126" s="52"/>
      <c r="F126" s="111"/>
      <c r="H126" s="2">
        <v>120</v>
      </c>
      <c r="I126" s="2">
        <v>0</v>
      </c>
      <c r="J126" s="2">
        <v>0</v>
      </c>
      <c r="K126" s="2">
        <v>5</v>
      </c>
      <c r="L126" s="2">
        <v>45.599999999999994</v>
      </c>
      <c r="M126" s="2">
        <v>47.5</v>
      </c>
      <c r="N126" s="380">
        <v>0</v>
      </c>
      <c r="O126" s="2" t="s">
        <v>133</v>
      </c>
      <c r="P126" s="2">
        <v>100</v>
      </c>
      <c r="Q126" s="2" t="s">
        <v>63</v>
      </c>
      <c r="R126" s="8" t="s">
        <v>949</v>
      </c>
      <c r="S126" s="8" t="s">
        <v>949</v>
      </c>
      <c r="T126" s="8">
        <v>0</v>
      </c>
      <c r="U126" s="8" t="s">
        <v>843</v>
      </c>
    </row>
    <row r="127" spans="1:21" x14ac:dyDescent="0.35">
      <c r="A127" s="2">
        <v>53</v>
      </c>
      <c r="B127" s="115" t="s">
        <v>122</v>
      </c>
      <c r="C127" s="116" t="s">
        <v>123</v>
      </c>
      <c r="D127" s="2">
        <v>720</v>
      </c>
      <c r="E127" s="52">
        <v>11.68</v>
      </c>
      <c r="F127" s="111"/>
      <c r="H127" s="2"/>
      <c r="I127" s="2">
        <v>30</v>
      </c>
      <c r="J127" s="2">
        <v>0</v>
      </c>
      <c r="K127" s="2">
        <v>0</v>
      </c>
      <c r="L127" s="2">
        <v>284.40000000000003</v>
      </c>
      <c r="M127" s="2">
        <v>297</v>
      </c>
      <c r="N127" s="380">
        <v>0.51892499999999997</v>
      </c>
      <c r="O127" s="2" t="s">
        <v>116</v>
      </c>
      <c r="P127" s="2">
        <v>100</v>
      </c>
      <c r="Q127" s="2" t="s">
        <v>63</v>
      </c>
      <c r="R127" s="8">
        <v>11.68</v>
      </c>
      <c r="S127" s="8">
        <v>8409.6</v>
      </c>
      <c r="T127" s="8">
        <v>8409.6</v>
      </c>
      <c r="U127" s="8" t="s">
        <v>725</v>
      </c>
    </row>
    <row r="128" spans="1:21" x14ac:dyDescent="0.35">
      <c r="A128" s="2">
        <v>52</v>
      </c>
      <c r="B128" s="115" t="s">
        <v>45</v>
      </c>
      <c r="C128" s="116" t="s">
        <v>46</v>
      </c>
      <c r="D128" s="2">
        <v>3</v>
      </c>
      <c r="E128" s="52"/>
      <c r="F128" s="111"/>
      <c r="H128" s="2"/>
      <c r="I128" s="2">
        <v>1</v>
      </c>
      <c r="J128" s="2">
        <v>0</v>
      </c>
      <c r="K128" s="2">
        <v>0</v>
      </c>
      <c r="L128" s="2">
        <v>1.5425</v>
      </c>
      <c r="M128" s="2">
        <v>1.6924999999999999</v>
      </c>
      <c r="N128" s="380">
        <v>9.7455000000000007E-3</v>
      </c>
      <c r="O128" s="2" t="s">
        <v>25</v>
      </c>
      <c r="P128" s="2">
        <v>50</v>
      </c>
      <c r="Q128" s="2">
        <v>0</v>
      </c>
      <c r="R128" s="8">
        <v>6.16</v>
      </c>
      <c r="S128" s="8">
        <v>20.91</v>
      </c>
      <c r="T128" s="8">
        <v>0</v>
      </c>
      <c r="U128" s="8" t="s">
        <v>845</v>
      </c>
    </row>
    <row r="129" spans="1:21" x14ac:dyDescent="0.35">
      <c r="A129" s="2">
        <v>52</v>
      </c>
      <c r="B129" s="115" t="s">
        <v>47</v>
      </c>
      <c r="C129" s="116" t="s">
        <v>48</v>
      </c>
      <c r="D129" s="2">
        <v>3</v>
      </c>
      <c r="E129" s="52"/>
      <c r="F129" s="111"/>
      <c r="H129" s="2"/>
      <c r="I129" s="2">
        <v>1</v>
      </c>
      <c r="J129" s="2">
        <v>0</v>
      </c>
      <c r="K129" s="2">
        <v>0</v>
      </c>
      <c r="L129" s="2">
        <v>1.5425</v>
      </c>
      <c r="M129" s="2">
        <v>1.6924999999999999</v>
      </c>
      <c r="N129" s="380">
        <v>9.7455000000000007E-3</v>
      </c>
      <c r="O129" s="2" t="s">
        <v>25</v>
      </c>
      <c r="P129" s="2">
        <v>50</v>
      </c>
      <c r="Q129" s="2">
        <v>0</v>
      </c>
      <c r="R129" s="8">
        <v>6.16</v>
      </c>
      <c r="S129" s="8">
        <v>20.91</v>
      </c>
      <c r="T129" s="8">
        <v>0</v>
      </c>
      <c r="U129" s="8" t="s">
        <v>845</v>
      </c>
    </row>
    <row r="130" spans="1:21" x14ac:dyDescent="0.35">
      <c r="A130" s="2">
        <v>52</v>
      </c>
      <c r="B130" s="115" t="s">
        <v>49</v>
      </c>
      <c r="C130" s="116" t="s">
        <v>50</v>
      </c>
      <c r="D130" s="2">
        <v>3</v>
      </c>
      <c r="E130" s="52"/>
      <c r="F130" s="111"/>
      <c r="H130" s="2"/>
      <c r="I130" s="2">
        <v>1</v>
      </c>
      <c r="J130" s="2">
        <v>0</v>
      </c>
      <c r="K130" s="2">
        <v>0</v>
      </c>
      <c r="L130" s="2">
        <v>1.5425</v>
      </c>
      <c r="M130" s="2">
        <v>1.6924999999999999</v>
      </c>
      <c r="N130" s="380">
        <v>9.7455000000000007E-3</v>
      </c>
      <c r="O130" s="2" t="s">
        <v>25</v>
      </c>
      <c r="P130" s="2">
        <v>50</v>
      </c>
      <c r="Q130" s="2">
        <v>0</v>
      </c>
      <c r="R130" s="8">
        <v>6.16</v>
      </c>
      <c r="S130" s="8">
        <v>20.91</v>
      </c>
      <c r="T130" s="8">
        <v>0</v>
      </c>
      <c r="U130" s="8" t="s">
        <v>845</v>
      </c>
    </row>
    <row r="131" spans="1:21" x14ac:dyDescent="0.35">
      <c r="A131" s="2">
        <v>52</v>
      </c>
      <c r="B131" s="115" t="s">
        <v>51</v>
      </c>
      <c r="C131" s="116" t="s">
        <v>52</v>
      </c>
      <c r="D131" s="2">
        <v>3</v>
      </c>
      <c r="E131" s="52"/>
      <c r="F131" s="111"/>
      <c r="H131" s="2"/>
      <c r="I131" s="2">
        <v>1</v>
      </c>
      <c r="J131" s="2">
        <v>0</v>
      </c>
      <c r="K131" s="2">
        <v>0</v>
      </c>
      <c r="L131" s="2">
        <v>1.5425</v>
      </c>
      <c r="M131" s="2">
        <v>1.6924999999999999</v>
      </c>
      <c r="N131" s="380">
        <v>9.7455000000000007E-3</v>
      </c>
      <c r="O131" s="2" t="s">
        <v>25</v>
      </c>
      <c r="P131" s="2">
        <v>50</v>
      </c>
      <c r="Q131" s="2">
        <v>0</v>
      </c>
      <c r="R131" s="8">
        <v>6.16</v>
      </c>
      <c r="S131" s="8">
        <v>20.91</v>
      </c>
      <c r="T131" s="8">
        <v>0</v>
      </c>
      <c r="U131" s="8" t="s">
        <v>845</v>
      </c>
    </row>
    <row r="132" spans="1:21" x14ac:dyDescent="0.35">
      <c r="A132" s="2">
        <v>51</v>
      </c>
      <c r="B132" s="115" t="s">
        <v>122</v>
      </c>
      <c r="C132" s="116" t="s">
        <v>123</v>
      </c>
      <c r="D132" s="2">
        <v>3661</v>
      </c>
      <c r="E132" s="52">
        <v>11.68</v>
      </c>
      <c r="F132" s="111"/>
      <c r="H132" s="2"/>
      <c r="I132" s="2">
        <v>153</v>
      </c>
      <c r="J132" s="2">
        <v>0</v>
      </c>
      <c r="K132" s="2">
        <v>0</v>
      </c>
      <c r="L132" s="2">
        <v>1446.095</v>
      </c>
      <c r="M132" s="2">
        <v>1510.1624999999999</v>
      </c>
      <c r="N132" s="380">
        <v>2.6385894791666664</v>
      </c>
      <c r="O132" s="2" t="s">
        <v>116</v>
      </c>
      <c r="P132" s="2">
        <v>100</v>
      </c>
      <c r="Q132" s="2" t="s">
        <v>63</v>
      </c>
      <c r="R132" s="8">
        <v>11.68</v>
      </c>
      <c r="S132" s="8">
        <v>42760.479999999996</v>
      </c>
      <c r="T132" s="8">
        <v>42760.479999999996</v>
      </c>
      <c r="U132" s="8" t="s">
        <v>725</v>
      </c>
    </row>
    <row r="133" spans="1:21" x14ac:dyDescent="0.35">
      <c r="A133" s="2">
        <v>51</v>
      </c>
      <c r="B133" s="115" t="s">
        <v>24</v>
      </c>
      <c r="C133" s="116" t="s">
        <v>27</v>
      </c>
      <c r="D133" s="2">
        <v>247</v>
      </c>
      <c r="E133" s="52">
        <v>5.23</v>
      </c>
      <c r="F133" s="111"/>
      <c r="H133" s="2"/>
      <c r="I133" s="2">
        <v>21</v>
      </c>
      <c r="J133" s="2">
        <v>0</v>
      </c>
      <c r="K133" s="2">
        <v>0</v>
      </c>
      <c r="L133" s="2">
        <v>103.74</v>
      </c>
      <c r="M133" s="2">
        <v>119.17749999999999</v>
      </c>
      <c r="N133" s="380">
        <v>0.57804175000000002</v>
      </c>
      <c r="O133" s="2" t="s">
        <v>25</v>
      </c>
      <c r="P133" s="2">
        <v>50</v>
      </c>
      <c r="Q133" s="2">
        <v>0</v>
      </c>
      <c r="R133" s="8">
        <v>5.23</v>
      </c>
      <c r="S133" s="8">
        <v>1291.8100000000002</v>
      </c>
      <c r="T133" s="8">
        <v>1291.8100000000002</v>
      </c>
      <c r="U133" s="8" t="s">
        <v>725</v>
      </c>
    </row>
    <row r="134" spans="1:21" x14ac:dyDescent="0.35">
      <c r="A134" s="2">
        <v>51</v>
      </c>
      <c r="B134" s="115" t="s">
        <v>30</v>
      </c>
      <c r="C134" s="116" t="s">
        <v>31</v>
      </c>
      <c r="D134" s="2">
        <v>260</v>
      </c>
      <c r="E134" s="52">
        <v>5.23</v>
      </c>
      <c r="F134" s="111"/>
      <c r="H134" s="2"/>
      <c r="I134" s="2">
        <v>22</v>
      </c>
      <c r="J134" s="2">
        <v>0</v>
      </c>
      <c r="K134" s="2">
        <v>0</v>
      </c>
      <c r="L134" s="2">
        <v>109.2</v>
      </c>
      <c r="M134" s="2">
        <v>125.45</v>
      </c>
      <c r="N134" s="380">
        <v>0.60846500000000003</v>
      </c>
      <c r="O134" s="2" t="s">
        <v>25</v>
      </c>
      <c r="P134" s="2">
        <v>50</v>
      </c>
      <c r="Q134" s="2">
        <v>0</v>
      </c>
      <c r="R134" s="8">
        <v>5.23</v>
      </c>
      <c r="S134" s="8">
        <v>1359.8000000000002</v>
      </c>
      <c r="T134" s="8">
        <v>1359.8000000000002</v>
      </c>
      <c r="U134" s="8" t="s">
        <v>725</v>
      </c>
    </row>
    <row r="135" spans="1:21" x14ac:dyDescent="0.35">
      <c r="A135" s="2">
        <v>51</v>
      </c>
      <c r="B135" s="115" t="s">
        <v>32</v>
      </c>
      <c r="C135" s="116" t="s">
        <v>33</v>
      </c>
      <c r="D135" s="2">
        <v>334</v>
      </c>
      <c r="E135" s="52">
        <v>5.23</v>
      </c>
      <c r="F135" s="111"/>
      <c r="H135" s="2"/>
      <c r="I135" s="2">
        <v>28</v>
      </c>
      <c r="J135" s="2">
        <v>0</v>
      </c>
      <c r="K135" s="2">
        <v>0</v>
      </c>
      <c r="L135" s="2">
        <v>140.28</v>
      </c>
      <c r="M135" s="2">
        <v>161.155</v>
      </c>
      <c r="N135" s="380">
        <v>0.78164349999999994</v>
      </c>
      <c r="O135" s="2" t="s">
        <v>25</v>
      </c>
      <c r="P135" s="2">
        <v>50</v>
      </c>
      <c r="Q135" s="2">
        <v>0</v>
      </c>
      <c r="R135" s="8">
        <v>5.23</v>
      </c>
      <c r="S135" s="8">
        <v>1746.8200000000002</v>
      </c>
      <c r="T135" s="8">
        <v>1746.8200000000002</v>
      </c>
      <c r="U135" s="8" t="s">
        <v>725</v>
      </c>
    </row>
    <row r="136" spans="1:21" x14ac:dyDescent="0.35">
      <c r="A136" s="2">
        <v>51</v>
      </c>
      <c r="B136" s="115" t="s">
        <v>34</v>
      </c>
      <c r="C136" s="116" t="s">
        <v>35</v>
      </c>
      <c r="D136" s="2">
        <v>348</v>
      </c>
      <c r="E136" s="52">
        <v>5.23</v>
      </c>
      <c r="F136" s="111"/>
      <c r="H136" s="2"/>
      <c r="I136" s="2">
        <v>29</v>
      </c>
      <c r="J136" s="2">
        <v>0</v>
      </c>
      <c r="K136" s="2">
        <v>0</v>
      </c>
      <c r="L136" s="2">
        <v>146.16</v>
      </c>
      <c r="M136" s="2">
        <v>167.91</v>
      </c>
      <c r="N136" s="380">
        <v>0.81440699999999999</v>
      </c>
      <c r="O136" s="2" t="s">
        <v>25</v>
      </c>
      <c r="P136" s="2">
        <v>50</v>
      </c>
      <c r="Q136" s="2">
        <v>0</v>
      </c>
      <c r="R136" s="8">
        <v>5.23</v>
      </c>
      <c r="S136" s="8">
        <v>1820.0400000000002</v>
      </c>
      <c r="T136" s="8">
        <v>1820.0400000000002</v>
      </c>
      <c r="U136" s="8" t="s">
        <v>725</v>
      </c>
    </row>
    <row r="137" spans="1:21" x14ac:dyDescent="0.35">
      <c r="A137" s="2">
        <v>51</v>
      </c>
      <c r="B137" s="115" t="s">
        <v>36</v>
      </c>
      <c r="C137" s="116" t="s">
        <v>38</v>
      </c>
      <c r="D137" s="2">
        <v>338</v>
      </c>
      <c r="E137" s="52">
        <v>5.23</v>
      </c>
      <c r="F137" s="111"/>
      <c r="H137" s="2"/>
      <c r="I137" s="2">
        <v>29</v>
      </c>
      <c r="J137" s="2">
        <v>0</v>
      </c>
      <c r="K137" s="2">
        <v>0</v>
      </c>
      <c r="L137" s="2">
        <v>134.63666666666668</v>
      </c>
      <c r="M137" s="2">
        <v>147.875</v>
      </c>
      <c r="N137" s="380">
        <v>0.79100450000000011</v>
      </c>
      <c r="O137" s="2" t="s">
        <v>25</v>
      </c>
      <c r="P137" s="2">
        <v>50</v>
      </c>
      <c r="Q137" s="2">
        <v>0</v>
      </c>
      <c r="R137" s="8">
        <v>5.23</v>
      </c>
      <c r="S137" s="8">
        <v>1767.7400000000002</v>
      </c>
      <c r="T137" s="8">
        <v>1767.7400000000002</v>
      </c>
      <c r="U137" s="8" t="s">
        <v>725</v>
      </c>
    </row>
    <row r="138" spans="1:21" x14ac:dyDescent="0.35">
      <c r="A138" s="2">
        <v>51</v>
      </c>
      <c r="B138" s="115" t="s">
        <v>41</v>
      </c>
      <c r="C138" s="116" t="s">
        <v>42</v>
      </c>
      <c r="D138" s="2">
        <v>362</v>
      </c>
      <c r="E138" s="52">
        <v>5.23</v>
      </c>
      <c r="F138" s="111"/>
      <c r="H138" s="2"/>
      <c r="I138" s="2">
        <v>31</v>
      </c>
      <c r="J138" s="2">
        <v>0</v>
      </c>
      <c r="K138" s="2">
        <v>0</v>
      </c>
      <c r="L138" s="2">
        <v>144.19666666666669</v>
      </c>
      <c r="M138" s="2">
        <v>158.375</v>
      </c>
      <c r="N138" s="380">
        <v>0.84717050000000016</v>
      </c>
      <c r="O138" s="2" t="s">
        <v>25</v>
      </c>
      <c r="P138" s="2">
        <v>50</v>
      </c>
      <c r="Q138" s="2">
        <v>0</v>
      </c>
      <c r="R138" s="8">
        <v>5.23</v>
      </c>
      <c r="S138" s="8">
        <v>1893.2600000000002</v>
      </c>
      <c r="T138" s="8">
        <v>1893.2600000000002</v>
      </c>
      <c r="U138" s="8" t="s">
        <v>725</v>
      </c>
    </row>
    <row r="139" spans="1:21" x14ac:dyDescent="0.35">
      <c r="A139" s="2">
        <v>51</v>
      </c>
      <c r="B139" s="115" t="s">
        <v>43</v>
      </c>
      <c r="C139" s="116" t="s">
        <v>44</v>
      </c>
      <c r="D139" s="2">
        <v>396</v>
      </c>
      <c r="E139" s="52">
        <v>5.23</v>
      </c>
      <c r="F139" s="111"/>
      <c r="H139" s="2"/>
      <c r="I139" s="2">
        <v>33</v>
      </c>
      <c r="J139" s="2">
        <v>0</v>
      </c>
      <c r="K139" s="2">
        <v>0</v>
      </c>
      <c r="L139" s="2">
        <v>157.74</v>
      </c>
      <c r="M139" s="2">
        <v>173.25</v>
      </c>
      <c r="N139" s="380">
        <v>0.92673899999999998</v>
      </c>
      <c r="O139" s="2" t="s">
        <v>25</v>
      </c>
      <c r="P139" s="2">
        <v>50</v>
      </c>
      <c r="Q139" s="2">
        <v>0</v>
      </c>
      <c r="R139" s="8">
        <v>5.23</v>
      </c>
      <c r="S139" s="8">
        <v>2071.0800000000004</v>
      </c>
      <c r="T139" s="8">
        <v>2071.0800000000004</v>
      </c>
      <c r="U139" s="8" t="s">
        <v>725</v>
      </c>
    </row>
    <row r="140" spans="1:21" x14ac:dyDescent="0.35">
      <c r="A140" s="2">
        <v>49</v>
      </c>
      <c r="B140" s="115" t="s">
        <v>742</v>
      </c>
      <c r="C140" s="116" t="s">
        <v>939</v>
      </c>
      <c r="D140" s="2">
        <v>2496</v>
      </c>
      <c r="E140" s="52">
        <v>4.21</v>
      </c>
      <c r="F140" s="111"/>
      <c r="H140" s="2"/>
      <c r="I140" s="2">
        <v>104</v>
      </c>
      <c r="J140" s="2">
        <v>0</v>
      </c>
      <c r="K140" s="2">
        <v>0</v>
      </c>
      <c r="L140" s="2">
        <v>676.41599999999994</v>
      </c>
      <c r="M140" s="2">
        <v>737.36</v>
      </c>
      <c r="N140" s="380">
        <v>1.6680299999999999</v>
      </c>
      <c r="O140" s="2" t="s">
        <v>158</v>
      </c>
      <c r="P140" s="2">
        <v>100</v>
      </c>
      <c r="Q140" s="2">
        <v>33072000</v>
      </c>
      <c r="R140" s="8" t="s">
        <v>949</v>
      </c>
      <c r="S140" s="8" t="s">
        <v>949</v>
      </c>
      <c r="T140" s="8">
        <v>10508.16</v>
      </c>
      <c r="U140" s="8" t="s">
        <v>843</v>
      </c>
    </row>
    <row r="141" spans="1:21" x14ac:dyDescent="0.35">
      <c r="A141" s="2">
        <v>49</v>
      </c>
      <c r="B141" s="115" t="s">
        <v>744</v>
      </c>
      <c r="C141" s="116" t="s">
        <v>940</v>
      </c>
      <c r="D141" s="2">
        <v>2496</v>
      </c>
      <c r="E141" s="52">
        <v>4.21</v>
      </c>
      <c r="F141" s="111"/>
      <c r="H141" s="2"/>
      <c r="I141" s="2">
        <v>104</v>
      </c>
      <c r="J141" s="2">
        <v>0</v>
      </c>
      <c r="K141" s="2">
        <v>0</v>
      </c>
      <c r="L141" s="2">
        <v>676.41599999999994</v>
      </c>
      <c r="M141" s="2">
        <v>737.36</v>
      </c>
      <c r="N141" s="380">
        <v>1.6680299999999999</v>
      </c>
      <c r="O141" s="2" t="s">
        <v>158</v>
      </c>
      <c r="P141" s="2">
        <v>100</v>
      </c>
      <c r="Q141" s="2">
        <v>33072000</v>
      </c>
      <c r="R141" s="8" t="s">
        <v>949</v>
      </c>
      <c r="S141" s="8" t="s">
        <v>949</v>
      </c>
      <c r="T141" s="8">
        <v>10508.16</v>
      </c>
      <c r="U141" s="8" t="s">
        <v>843</v>
      </c>
    </row>
    <row r="142" spans="1:21" x14ac:dyDescent="0.35">
      <c r="A142" s="2">
        <v>49</v>
      </c>
      <c r="B142" s="115" t="s">
        <v>746</v>
      </c>
      <c r="C142" s="116" t="s">
        <v>941</v>
      </c>
      <c r="D142" s="2">
        <v>2496</v>
      </c>
      <c r="E142" s="52">
        <v>4.21</v>
      </c>
      <c r="F142" s="111"/>
      <c r="H142" s="2"/>
      <c r="I142" s="2">
        <v>104</v>
      </c>
      <c r="J142" s="2">
        <v>0</v>
      </c>
      <c r="K142" s="2">
        <v>0</v>
      </c>
      <c r="L142" s="2">
        <v>676.41599999999994</v>
      </c>
      <c r="M142" s="2">
        <v>737.36</v>
      </c>
      <c r="N142" s="380">
        <v>1.6680299999999999</v>
      </c>
      <c r="O142" s="2" t="s">
        <v>158</v>
      </c>
      <c r="P142" s="2">
        <v>100</v>
      </c>
      <c r="Q142" s="2">
        <v>33072000</v>
      </c>
      <c r="R142" s="8" t="s">
        <v>949</v>
      </c>
      <c r="S142" s="8" t="s">
        <v>949</v>
      </c>
      <c r="T142" s="8">
        <v>10508.16</v>
      </c>
      <c r="U142" s="8" t="s">
        <v>843</v>
      </c>
    </row>
    <row r="143" spans="1:21" x14ac:dyDescent="0.35">
      <c r="A143" s="2">
        <v>49</v>
      </c>
      <c r="B143" s="115" t="s">
        <v>748</v>
      </c>
      <c r="C143" s="116" t="s">
        <v>942</v>
      </c>
      <c r="D143" s="2">
        <v>2496</v>
      </c>
      <c r="E143" s="52">
        <v>4.21</v>
      </c>
      <c r="F143" s="111"/>
      <c r="H143" s="2"/>
      <c r="I143" s="2">
        <v>104</v>
      </c>
      <c r="J143" s="2">
        <v>0</v>
      </c>
      <c r="K143" s="2">
        <v>0</v>
      </c>
      <c r="L143" s="2">
        <v>676.41599999999994</v>
      </c>
      <c r="M143" s="2">
        <v>737.36</v>
      </c>
      <c r="N143" s="380">
        <v>1.6680299999999999</v>
      </c>
      <c r="O143" s="2" t="s">
        <v>158</v>
      </c>
      <c r="P143" s="2">
        <v>100</v>
      </c>
      <c r="Q143" s="2">
        <v>33072000</v>
      </c>
      <c r="R143" s="8" t="s">
        <v>949</v>
      </c>
      <c r="S143" s="8" t="s">
        <v>949</v>
      </c>
      <c r="T143" s="8">
        <v>10508.16</v>
      </c>
      <c r="U143" s="8" t="s">
        <v>843</v>
      </c>
    </row>
    <row r="144" spans="1:21" x14ac:dyDescent="0.35">
      <c r="A144" s="2">
        <v>49</v>
      </c>
      <c r="B144" s="115" t="s">
        <v>752</v>
      </c>
      <c r="C144" s="116" t="s">
        <v>936</v>
      </c>
      <c r="D144" s="2">
        <v>5016</v>
      </c>
      <c r="E144" s="52">
        <v>4.21</v>
      </c>
      <c r="F144" s="111"/>
      <c r="H144" s="2"/>
      <c r="I144" s="2">
        <v>209</v>
      </c>
      <c r="J144" s="2">
        <v>0</v>
      </c>
      <c r="K144" s="2">
        <v>0</v>
      </c>
      <c r="L144" s="2">
        <v>1274.0640000000001</v>
      </c>
      <c r="M144" s="2">
        <v>1421.2</v>
      </c>
      <c r="N144" s="380">
        <v>4.7383957499999996</v>
      </c>
      <c r="O144" s="2" t="s">
        <v>158</v>
      </c>
      <c r="P144" s="2">
        <v>100</v>
      </c>
      <c r="Q144" s="2">
        <v>33072000</v>
      </c>
      <c r="R144" s="8" t="s">
        <v>949</v>
      </c>
      <c r="S144" s="8" t="s">
        <v>949</v>
      </c>
      <c r="T144" s="8">
        <v>21117.360000000001</v>
      </c>
      <c r="U144" s="8" t="s">
        <v>843</v>
      </c>
    </row>
    <row r="145" spans="1:21" x14ac:dyDescent="0.35">
      <c r="A145" s="2">
        <v>49</v>
      </c>
      <c r="B145" s="115" t="s">
        <v>754</v>
      </c>
      <c r="C145" s="116" t="s">
        <v>938</v>
      </c>
      <c r="D145" s="2">
        <v>5016</v>
      </c>
      <c r="E145" s="52">
        <v>4.21</v>
      </c>
      <c r="F145" s="111"/>
      <c r="H145" s="2"/>
      <c r="I145" s="2">
        <v>209</v>
      </c>
      <c r="J145" s="2">
        <v>0</v>
      </c>
      <c r="K145" s="2">
        <v>0</v>
      </c>
      <c r="L145" s="2">
        <v>1274.0640000000001</v>
      </c>
      <c r="M145" s="2">
        <v>1421.2</v>
      </c>
      <c r="N145" s="380">
        <v>4.7383957499999996</v>
      </c>
      <c r="O145" s="2" t="s">
        <v>158</v>
      </c>
      <c r="P145" s="2">
        <v>100</v>
      </c>
      <c r="Q145" s="2">
        <v>33072000</v>
      </c>
      <c r="R145" s="8" t="s">
        <v>949</v>
      </c>
      <c r="S145" s="8" t="s">
        <v>949</v>
      </c>
      <c r="T145" s="8">
        <v>21117.360000000001</v>
      </c>
      <c r="U145" s="8" t="s">
        <v>843</v>
      </c>
    </row>
    <row r="146" spans="1:21" x14ac:dyDescent="0.35">
      <c r="A146" s="2">
        <v>49</v>
      </c>
      <c r="B146" s="115" t="s">
        <v>756</v>
      </c>
      <c r="C146" s="116" t="s">
        <v>937</v>
      </c>
      <c r="D146" s="2">
        <v>5016</v>
      </c>
      <c r="E146" s="52">
        <v>4.21</v>
      </c>
      <c r="F146" s="111"/>
      <c r="H146" s="2"/>
      <c r="I146" s="2">
        <v>209</v>
      </c>
      <c r="J146" s="2">
        <v>0</v>
      </c>
      <c r="K146" s="2">
        <v>0</v>
      </c>
      <c r="L146" s="2">
        <v>1274.0640000000001</v>
      </c>
      <c r="M146" s="2">
        <v>1421.2</v>
      </c>
      <c r="N146" s="380">
        <v>4.7383957499999996</v>
      </c>
      <c r="O146" s="2" t="s">
        <v>158</v>
      </c>
      <c r="P146" s="2">
        <v>100</v>
      </c>
      <c r="Q146" s="2">
        <v>33072000</v>
      </c>
      <c r="R146" s="8" t="s">
        <v>949</v>
      </c>
      <c r="S146" s="8" t="s">
        <v>949</v>
      </c>
      <c r="T146" s="8">
        <v>21117.360000000001</v>
      </c>
      <c r="U146" s="8" t="s">
        <v>843</v>
      </c>
    </row>
    <row r="147" spans="1:21" x14ac:dyDescent="0.35">
      <c r="A147" s="2">
        <v>49</v>
      </c>
      <c r="B147" s="115" t="s">
        <v>831</v>
      </c>
      <c r="C147" s="116" t="s">
        <v>832</v>
      </c>
      <c r="D147" s="2">
        <v>14720</v>
      </c>
      <c r="E147" s="52">
        <v>0.158</v>
      </c>
      <c r="F147" s="111"/>
      <c r="H147" s="2"/>
      <c r="I147" s="2" t="s">
        <v>949</v>
      </c>
      <c r="J147" s="2" t="s">
        <v>949</v>
      </c>
      <c r="K147" s="2" t="s">
        <v>949</v>
      </c>
      <c r="L147" s="2" t="s">
        <v>949</v>
      </c>
      <c r="M147" s="2" t="s">
        <v>949</v>
      </c>
      <c r="N147" s="380" t="s">
        <v>949</v>
      </c>
      <c r="O147" s="2">
        <v>0</v>
      </c>
      <c r="P147" s="2">
        <v>0</v>
      </c>
      <c r="Q147" s="2">
        <v>0</v>
      </c>
      <c r="R147" s="8" t="s">
        <v>949</v>
      </c>
      <c r="S147" s="8" t="s">
        <v>949</v>
      </c>
      <c r="T147" s="8">
        <v>2325.7600000000002</v>
      </c>
      <c r="U147" s="8" t="s">
        <v>843</v>
      </c>
    </row>
    <row r="148" spans="1:21" x14ac:dyDescent="0.35">
      <c r="A148" s="2">
        <v>49</v>
      </c>
      <c r="B148" s="115" t="s">
        <v>833</v>
      </c>
      <c r="C148" s="116" t="s">
        <v>834</v>
      </c>
      <c r="D148" s="2">
        <v>14720</v>
      </c>
      <c r="E148" s="52">
        <v>0.158</v>
      </c>
      <c r="F148" s="111"/>
      <c r="H148" s="2"/>
      <c r="I148" s="2" t="s">
        <v>949</v>
      </c>
      <c r="J148" s="2" t="s">
        <v>949</v>
      </c>
      <c r="K148" s="2" t="s">
        <v>949</v>
      </c>
      <c r="L148" s="2" t="s">
        <v>949</v>
      </c>
      <c r="M148" s="2" t="s">
        <v>949</v>
      </c>
      <c r="N148" s="380" t="s">
        <v>949</v>
      </c>
      <c r="O148" s="2">
        <v>0</v>
      </c>
      <c r="P148" s="2">
        <v>0</v>
      </c>
      <c r="Q148" s="2">
        <v>0</v>
      </c>
      <c r="R148" s="8" t="s">
        <v>949</v>
      </c>
      <c r="S148" s="8" t="s">
        <v>949</v>
      </c>
      <c r="T148" s="8">
        <v>2325.7600000000002</v>
      </c>
      <c r="U148" s="8" t="s">
        <v>843</v>
      </c>
    </row>
    <row r="149" spans="1:21" x14ac:dyDescent="0.35">
      <c r="A149" s="2">
        <v>48</v>
      </c>
      <c r="B149" s="115" t="s">
        <v>61</v>
      </c>
      <c r="C149" s="116" t="s">
        <v>64</v>
      </c>
      <c r="D149" s="2"/>
      <c r="E149" s="52"/>
      <c r="F149" s="111"/>
      <c r="H149" s="2">
        <v>12</v>
      </c>
      <c r="I149" s="2">
        <v>0</v>
      </c>
      <c r="J149" s="2">
        <v>0</v>
      </c>
      <c r="K149" s="2">
        <v>1</v>
      </c>
      <c r="L149" s="2">
        <v>2.4</v>
      </c>
      <c r="M149" s="2">
        <v>2.6</v>
      </c>
      <c r="N149" s="380">
        <v>0</v>
      </c>
      <c r="O149" s="2" t="s">
        <v>62</v>
      </c>
      <c r="P149" s="2">
        <v>50</v>
      </c>
      <c r="Q149" s="2">
        <v>33030010</v>
      </c>
      <c r="R149" s="8" t="s">
        <v>949</v>
      </c>
      <c r="S149" s="8" t="s">
        <v>949</v>
      </c>
      <c r="T149" s="8">
        <v>0</v>
      </c>
      <c r="U149" s="8" t="s">
        <v>843</v>
      </c>
    </row>
    <row r="150" spans="1:21" x14ac:dyDescent="0.35">
      <c r="A150" s="2">
        <v>48</v>
      </c>
      <c r="B150" s="115" t="s">
        <v>120</v>
      </c>
      <c r="C150" s="116" t="s">
        <v>713</v>
      </c>
      <c r="D150" s="2">
        <v>120</v>
      </c>
      <c r="E150" s="52">
        <v>11.68</v>
      </c>
      <c r="F150" s="111">
        <v>44</v>
      </c>
      <c r="G150" s="52">
        <v>6.25</v>
      </c>
      <c r="H150" s="2">
        <v>76</v>
      </c>
      <c r="I150" s="2">
        <v>7</v>
      </c>
      <c r="J150" s="2">
        <v>2</v>
      </c>
      <c r="K150" s="2">
        <v>4</v>
      </c>
      <c r="L150" s="2">
        <v>94.800000000000011</v>
      </c>
      <c r="M150" s="2">
        <v>99</v>
      </c>
      <c r="N150" s="380">
        <v>0.11819958333333333</v>
      </c>
      <c r="O150" s="2" t="s">
        <v>116</v>
      </c>
      <c r="P150" s="2">
        <v>100</v>
      </c>
      <c r="Q150" s="2" t="s">
        <v>63</v>
      </c>
      <c r="R150" s="8" t="s">
        <v>949</v>
      </c>
      <c r="S150" s="8" t="s">
        <v>949</v>
      </c>
      <c r="T150" s="8">
        <v>1676.6</v>
      </c>
      <c r="U150" s="8" t="s">
        <v>843</v>
      </c>
    </row>
    <row r="151" spans="1:21" x14ac:dyDescent="0.35">
      <c r="A151" s="2">
        <v>47</v>
      </c>
      <c r="B151" s="115" t="s">
        <v>170</v>
      </c>
      <c r="C151" s="116" t="s">
        <v>171</v>
      </c>
      <c r="D151" s="2">
        <v>10368</v>
      </c>
      <c r="E151" s="52">
        <v>0.81599999999999995</v>
      </c>
      <c r="F151" s="111"/>
      <c r="H151" s="2"/>
      <c r="I151" s="2">
        <v>216</v>
      </c>
      <c r="J151" s="2">
        <v>0</v>
      </c>
      <c r="K151" s="2">
        <v>0</v>
      </c>
      <c r="L151" s="2">
        <v>1615.68</v>
      </c>
      <c r="M151" s="2">
        <v>1663.2</v>
      </c>
      <c r="N151" s="380">
        <v>7.354152</v>
      </c>
      <c r="O151" s="2" t="s">
        <v>158</v>
      </c>
      <c r="P151" s="2">
        <v>175</v>
      </c>
      <c r="Q151" s="2" t="s">
        <v>159</v>
      </c>
      <c r="R151" s="8" t="s">
        <v>949</v>
      </c>
      <c r="S151" s="8" t="s">
        <v>949</v>
      </c>
      <c r="T151" s="8">
        <v>8460.2879999999986</v>
      </c>
      <c r="U151" s="8" t="s">
        <v>843</v>
      </c>
    </row>
    <row r="152" spans="1:21" x14ac:dyDescent="0.35">
      <c r="A152" s="2">
        <v>47</v>
      </c>
      <c r="B152" s="115" t="s">
        <v>172</v>
      </c>
      <c r="C152" s="116" t="s">
        <v>173</v>
      </c>
      <c r="D152" s="2">
        <v>10368</v>
      </c>
      <c r="E152" s="52">
        <v>0.81599999999999995</v>
      </c>
      <c r="F152" s="111"/>
      <c r="H152" s="2"/>
      <c r="I152" s="2">
        <v>216</v>
      </c>
      <c r="J152" s="2">
        <v>0</v>
      </c>
      <c r="K152" s="2">
        <v>0</v>
      </c>
      <c r="L152" s="2">
        <v>1615.68</v>
      </c>
      <c r="M152" s="2">
        <v>1663.2</v>
      </c>
      <c r="N152" s="380">
        <v>7.354152</v>
      </c>
      <c r="O152" s="2" t="s">
        <v>158</v>
      </c>
      <c r="P152" s="2">
        <v>175</v>
      </c>
      <c r="Q152" s="2" t="s">
        <v>159</v>
      </c>
      <c r="R152" s="8" t="s">
        <v>949</v>
      </c>
      <c r="S152" s="8" t="s">
        <v>949</v>
      </c>
      <c r="T152" s="8">
        <v>8460.2879999999986</v>
      </c>
      <c r="U152" s="8" t="s">
        <v>843</v>
      </c>
    </row>
    <row r="153" spans="1:21" x14ac:dyDescent="0.35">
      <c r="A153" s="2">
        <v>47</v>
      </c>
      <c r="B153" s="115" t="s">
        <v>174</v>
      </c>
      <c r="C153" s="116" t="s">
        <v>175</v>
      </c>
      <c r="D153" s="2">
        <v>10368</v>
      </c>
      <c r="E153" s="52">
        <v>0.81599999999999995</v>
      </c>
      <c r="F153" s="111"/>
      <c r="H153" s="2"/>
      <c r="I153" s="2">
        <v>216</v>
      </c>
      <c r="J153" s="2">
        <v>0</v>
      </c>
      <c r="K153" s="2">
        <v>0</v>
      </c>
      <c r="L153" s="2">
        <v>1615.68</v>
      </c>
      <c r="M153" s="2">
        <v>1663.2</v>
      </c>
      <c r="N153" s="380">
        <v>7.354152</v>
      </c>
      <c r="O153" s="2" t="s">
        <v>158</v>
      </c>
      <c r="P153" s="2">
        <v>175</v>
      </c>
      <c r="Q153" s="2" t="s">
        <v>159</v>
      </c>
      <c r="R153" s="8" t="s">
        <v>949</v>
      </c>
      <c r="S153" s="8" t="s">
        <v>949</v>
      </c>
      <c r="T153" s="8">
        <v>8460.2879999999986</v>
      </c>
      <c r="U153" s="8" t="s">
        <v>843</v>
      </c>
    </row>
    <row r="154" spans="1:21" x14ac:dyDescent="0.35">
      <c r="A154" s="2">
        <v>47</v>
      </c>
      <c r="B154" s="115" t="s">
        <v>101</v>
      </c>
      <c r="C154" s="116" t="s">
        <v>102</v>
      </c>
      <c r="D154" s="2">
        <v>10368</v>
      </c>
      <c r="E154" s="52">
        <v>0.81599999999999995</v>
      </c>
      <c r="F154" s="111"/>
      <c r="H154" s="2"/>
      <c r="I154" s="2">
        <v>432</v>
      </c>
      <c r="J154" s="2">
        <v>0</v>
      </c>
      <c r="K154" s="2">
        <v>0</v>
      </c>
      <c r="L154" s="2">
        <v>3248.64</v>
      </c>
      <c r="M154" s="2">
        <v>3555.36</v>
      </c>
      <c r="N154" s="380">
        <v>9.6966719999999995</v>
      </c>
      <c r="O154" s="2" t="s">
        <v>62</v>
      </c>
      <c r="P154" s="2">
        <v>100</v>
      </c>
      <c r="Q154" s="2" t="s">
        <v>63</v>
      </c>
      <c r="R154" s="8" t="s">
        <v>949</v>
      </c>
      <c r="S154" s="8" t="s">
        <v>949</v>
      </c>
      <c r="T154" s="8">
        <v>8460.2879999999986</v>
      </c>
      <c r="U154" s="8" t="s">
        <v>843</v>
      </c>
    </row>
    <row r="155" spans="1:21" x14ac:dyDescent="0.35">
      <c r="A155" s="2">
        <v>47</v>
      </c>
      <c r="B155" s="115" t="s">
        <v>164</v>
      </c>
      <c r="C155" s="116" t="s">
        <v>165</v>
      </c>
      <c r="D155" s="2">
        <v>3840</v>
      </c>
      <c r="E155" s="52">
        <v>0.81599999999999995</v>
      </c>
      <c r="F155" s="111"/>
      <c r="H155" s="2"/>
      <c r="I155" s="2">
        <v>80</v>
      </c>
      <c r="J155" s="2">
        <v>0</v>
      </c>
      <c r="K155" s="2">
        <v>0</v>
      </c>
      <c r="L155" s="2">
        <v>503.04</v>
      </c>
      <c r="M155" s="2">
        <v>562.88</v>
      </c>
      <c r="N155" s="380">
        <v>2.0992000000000002</v>
      </c>
      <c r="O155" s="2" t="s">
        <v>158</v>
      </c>
      <c r="P155" s="2">
        <v>150</v>
      </c>
      <c r="Q155" s="2" t="s">
        <v>159</v>
      </c>
      <c r="R155" s="8" t="s">
        <v>949</v>
      </c>
      <c r="S155" s="8" t="s">
        <v>949</v>
      </c>
      <c r="T155" s="8">
        <v>3133.4399999999996</v>
      </c>
      <c r="U155" s="8" t="s">
        <v>843</v>
      </c>
    </row>
    <row r="156" spans="1:21" x14ac:dyDescent="0.35">
      <c r="A156" s="2">
        <v>46</v>
      </c>
      <c r="B156" s="115" t="s">
        <v>189</v>
      </c>
      <c r="C156" s="116" t="s">
        <v>191</v>
      </c>
      <c r="D156" s="2">
        <v>22092</v>
      </c>
      <c r="E156" s="52">
        <v>0.93</v>
      </c>
      <c r="F156" s="111"/>
      <c r="H156" s="2"/>
      <c r="I156" s="2">
        <v>461</v>
      </c>
      <c r="J156" s="2">
        <v>0</v>
      </c>
      <c r="K156" s="2">
        <v>0</v>
      </c>
      <c r="L156" s="2">
        <v>0</v>
      </c>
      <c r="M156" s="2">
        <v>0</v>
      </c>
      <c r="N156" s="380">
        <v>0</v>
      </c>
      <c r="O156" s="2" t="s">
        <v>190</v>
      </c>
      <c r="P156" s="2">
        <v>0</v>
      </c>
      <c r="Q156" s="2">
        <v>33072000</v>
      </c>
      <c r="R156" s="8" t="s">
        <v>949</v>
      </c>
      <c r="S156" s="8" t="s">
        <v>949</v>
      </c>
      <c r="T156" s="8">
        <v>20545.560000000001</v>
      </c>
      <c r="U156" s="8" t="s">
        <v>843</v>
      </c>
    </row>
    <row r="157" spans="1:21" x14ac:dyDescent="0.35">
      <c r="A157" s="2">
        <v>46</v>
      </c>
      <c r="B157" s="115" t="s">
        <v>192</v>
      </c>
      <c r="C157" s="116" t="s">
        <v>193</v>
      </c>
      <c r="D157" s="2">
        <v>24828</v>
      </c>
      <c r="E157" s="52">
        <v>0.93</v>
      </c>
      <c r="F157" s="111"/>
      <c r="H157" s="2"/>
      <c r="I157" s="2">
        <v>518</v>
      </c>
      <c r="J157" s="2">
        <v>0</v>
      </c>
      <c r="K157" s="2">
        <v>0</v>
      </c>
      <c r="L157" s="2">
        <v>0</v>
      </c>
      <c r="M157" s="2">
        <v>0</v>
      </c>
      <c r="N157" s="380">
        <v>0</v>
      </c>
      <c r="O157" s="2" t="s">
        <v>190</v>
      </c>
      <c r="P157" s="2">
        <v>0</v>
      </c>
      <c r="Q157" s="2">
        <v>33072000</v>
      </c>
      <c r="R157" s="8" t="s">
        <v>949</v>
      </c>
      <c r="S157" s="8" t="s">
        <v>949</v>
      </c>
      <c r="T157" s="8">
        <v>23090.04</v>
      </c>
      <c r="U157" s="8" t="s">
        <v>843</v>
      </c>
    </row>
    <row r="158" spans="1:21" x14ac:dyDescent="0.35">
      <c r="A158" s="2">
        <v>46</v>
      </c>
      <c r="B158" s="115" t="s">
        <v>194</v>
      </c>
      <c r="C158" s="116" t="s">
        <v>195</v>
      </c>
      <c r="D158" s="2">
        <v>21120</v>
      </c>
      <c r="E158" s="52">
        <v>0.93</v>
      </c>
      <c r="F158" s="111"/>
      <c r="H158" s="2"/>
      <c r="I158" s="2">
        <v>440</v>
      </c>
      <c r="J158" s="2">
        <v>0</v>
      </c>
      <c r="K158" s="2">
        <v>0</v>
      </c>
      <c r="L158" s="2">
        <v>0</v>
      </c>
      <c r="M158" s="2">
        <v>0</v>
      </c>
      <c r="N158" s="380">
        <v>0</v>
      </c>
      <c r="O158" s="2" t="s">
        <v>190</v>
      </c>
      <c r="P158" s="2">
        <v>0</v>
      </c>
      <c r="Q158" s="2">
        <v>33072000</v>
      </c>
      <c r="R158" s="8" t="s">
        <v>949</v>
      </c>
      <c r="S158" s="8" t="s">
        <v>949</v>
      </c>
      <c r="T158" s="8">
        <v>19641.600000000002</v>
      </c>
      <c r="U158" s="8" t="s">
        <v>843</v>
      </c>
    </row>
    <row r="159" spans="1:21" x14ac:dyDescent="0.35">
      <c r="A159" s="2">
        <v>46</v>
      </c>
      <c r="B159" s="115" t="s">
        <v>196</v>
      </c>
      <c r="C159" s="116" t="s">
        <v>197</v>
      </c>
      <c r="D159" s="2">
        <v>23352</v>
      </c>
      <c r="E159" s="52">
        <v>0.93</v>
      </c>
      <c r="F159" s="111"/>
      <c r="H159" s="2"/>
      <c r="I159" s="2">
        <v>487</v>
      </c>
      <c r="J159" s="2">
        <v>0</v>
      </c>
      <c r="K159" s="2">
        <v>0</v>
      </c>
      <c r="L159" s="2">
        <v>0</v>
      </c>
      <c r="M159" s="2">
        <v>0</v>
      </c>
      <c r="N159" s="380">
        <v>0</v>
      </c>
      <c r="O159" s="2" t="s">
        <v>190</v>
      </c>
      <c r="P159" s="2">
        <v>0</v>
      </c>
      <c r="Q159" s="2">
        <v>33072000</v>
      </c>
      <c r="R159" s="8" t="s">
        <v>949</v>
      </c>
      <c r="S159" s="8" t="s">
        <v>949</v>
      </c>
      <c r="T159" s="8">
        <v>21717.360000000001</v>
      </c>
      <c r="U159" s="8" t="s">
        <v>843</v>
      </c>
    </row>
    <row r="160" spans="1:21" x14ac:dyDescent="0.35">
      <c r="A160" s="2">
        <v>45</v>
      </c>
      <c r="B160" s="115" t="s">
        <v>149</v>
      </c>
      <c r="C160" s="116" t="s">
        <v>150</v>
      </c>
      <c r="D160" s="2">
        <v>902</v>
      </c>
      <c r="E160" s="52">
        <v>11.68</v>
      </c>
      <c r="F160" s="111"/>
      <c r="H160" s="2"/>
      <c r="I160" s="2">
        <v>38</v>
      </c>
      <c r="J160" s="2">
        <v>0</v>
      </c>
      <c r="K160" s="2">
        <v>0</v>
      </c>
      <c r="L160" s="2">
        <v>356.29</v>
      </c>
      <c r="M160" s="2">
        <v>372.07500000000005</v>
      </c>
      <c r="N160" s="380">
        <v>0.65888281250000003</v>
      </c>
      <c r="O160" s="2" t="s">
        <v>116</v>
      </c>
      <c r="P160" s="2">
        <v>100</v>
      </c>
      <c r="Q160" s="2" t="s">
        <v>63</v>
      </c>
      <c r="R160" s="8" t="s">
        <v>949</v>
      </c>
      <c r="S160" s="8" t="s">
        <v>949</v>
      </c>
      <c r="T160" s="8">
        <v>10535.36</v>
      </c>
      <c r="U160" s="8" t="s">
        <v>843</v>
      </c>
    </row>
    <row r="161" spans="1:21" x14ac:dyDescent="0.35">
      <c r="A161" s="2">
        <v>45</v>
      </c>
      <c r="B161" s="115" t="s">
        <v>151</v>
      </c>
      <c r="C161" s="116" t="s">
        <v>152</v>
      </c>
      <c r="D161" s="2">
        <v>1016</v>
      </c>
      <c r="E161" s="52">
        <v>11.68</v>
      </c>
      <c r="F161" s="111"/>
      <c r="H161" s="2"/>
      <c r="I161" s="2">
        <v>43</v>
      </c>
      <c r="J161" s="2">
        <v>0</v>
      </c>
      <c r="K161" s="2">
        <v>0</v>
      </c>
      <c r="L161" s="2">
        <v>401.32000000000005</v>
      </c>
      <c r="M161" s="2">
        <v>419.1</v>
      </c>
      <c r="N161" s="380">
        <v>0.74215624999999996</v>
      </c>
      <c r="O161" s="2" t="s">
        <v>116</v>
      </c>
      <c r="P161" s="2">
        <v>100</v>
      </c>
      <c r="Q161" s="2" t="s">
        <v>63</v>
      </c>
      <c r="R161" s="8" t="s">
        <v>949</v>
      </c>
      <c r="S161" s="8" t="s">
        <v>949</v>
      </c>
      <c r="T161" s="8">
        <v>11866.88</v>
      </c>
      <c r="U161" s="8" t="s">
        <v>843</v>
      </c>
    </row>
    <row r="162" spans="1:21" x14ac:dyDescent="0.35">
      <c r="A162" s="2">
        <v>44</v>
      </c>
      <c r="B162" s="115" t="s">
        <v>66</v>
      </c>
      <c r="C162" s="116" t="s">
        <v>67</v>
      </c>
      <c r="D162" s="2">
        <v>4608</v>
      </c>
      <c r="E162" s="52">
        <v>4.4139999999999997</v>
      </c>
      <c r="F162" s="111"/>
      <c r="H162" s="2"/>
      <c r="I162" s="2">
        <v>192</v>
      </c>
      <c r="J162" s="2">
        <v>0</v>
      </c>
      <c r="K162" s="2">
        <v>0</v>
      </c>
      <c r="L162" s="2">
        <v>921.59999999999991</v>
      </c>
      <c r="M162" s="2">
        <v>998.40000000000009</v>
      </c>
      <c r="N162" s="380">
        <v>2.7719999999999998</v>
      </c>
      <c r="O162" s="2" t="s">
        <v>62</v>
      </c>
      <c r="P162" s="2">
        <v>50</v>
      </c>
      <c r="Q162" s="2" t="s">
        <v>63</v>
      </c>
      <c r="R162" s="8" t="s">
        <v>949</v>
      </c>
      <c r="S162" s="8" t="s">
        <v>949</v>
      </c>
      <c r="T162" s="8">
        <v>20339.712</v>
      </c>
      <c r="U162" s="8" t="s">
        <v>843</v>
      </c>
    </row>
    <row r="163" spans="1:21" x14ac:dyDescent="0.35">
      <c r="A163" s="2">
        <v>44</v>
      </c>
      <c r="B163" s="115" t="s">
        <v>70</v>
      </c>
      <c r="C163" s="116" t="s">
        <v>71</v>
      </c>
      <c r="D163" s="2">
        <v>4603</v>
      </c>
      <c r="E163" s="52">
        <v>4.4139999999999997</v>
      </c>
      <c r="F163" s="111"/>
      <c r="H163" s="2">
        <v>5</v>
      </c>
      <c r="I163" s="2">
        <v>192</v>
      </c>
      <c r="J163" s="2">
        <v>0</v>
      </c>
      <c r="K163" s="2">
        <v>1</v>
      </c>
      <c r="L163" s="2">
        <v>921.59999999999991</v>
      </c>
      <c r="M163" s="2">
        <v>998.40000000000009</v>
      </c>
      <c r="N163" s="380">
        <v>2.7689921874999994</v>
      </c>
      <c r="O163" s="2" t="s">
        <v>62</v>
      </c>
      <c r="P163" s="2">
        <v>50</v>
      </c>
      <c r="Q163" s="2" t="s">
        <v>63</v>
      </c>
      <c r="R163" s="8" t="s">
        <v>949</v>
      </c>
      <c r="S163" s="8" t="s">
        <v>949</v>
      </c>
      <c r="T163" s="8">
        <v>20317.642</v>
      </c>
      <c r="U163" s="8" t="s">
        <v>843</v>
      </c>
    </row>
    <row r="164" spans="1:21" x14ac:dyDescent="0.35">
      <c r="A164" s="2">
        <v>44</v>
      </c>
      <c r="B164" s="115" t="s">
        <v>72</v>
      </c>
      <c r="C164" s="116" t="s">
        <v>73</v>
      </c>
      <c r="D164" s="2">
        <v>4680</v>
      </c>
      <c r="E164" s="52">
        <v>4.4139999999999997</v>
      </c>
      <c r="F164" s="111"/>
      <c r="H164" s="2">
        <v>312</v>
      </c>
      <c r="I164" s="2">
        <v>195</v>
      </c>
      <c r="J164" s="2">
        <v>0</v>
      </c>
      <c r="K164" s="2">
        <v>13</v>
      </c>
      <c r="L164" s="2">
        <v>973.43999999999994</v>
      </c>
      <c r="M164" s="2">
        <v>1056.6400000000001</v>
      </c>
      <c r="N164" s="380">
        <v>3.5948834999999999</v>
      </c>
      <c r="O164" s="2" t="s">
        <v>62</v>
      </c>
      <c r="P164" s="2">
        <v>50</v>
      </c>
      <c r="Q164" s="2" t="s">
        <v>63</v>
      </c>
      <c r="R164" s="8" t="s">
        <v>949</v>
      </c>
      <c r="S164" s="8" t="s">
        <v>949</v>
      </c>
      <c r="T164" s="8">
        <v>20657.519999999997</v>
      </c>
      <c r="U164" s="8" t="s">
        <v>843</v>
      </c>
    </row>
    <row r="165" spans="1:21" x14ac:dyDescent="0.35">
      <c r="A165" s="2">
        <v>44</v>
      </c>
      <c r="B165" s="115" t="s">
        <v>74</v>
      </c>
      <c r="C165" s="116" t="s">
        <v>75</v>
      </c>
      <c r="D165" s="2">
        <v>4290</v>
      </c>
      <c r="E165" s="52">
        <v>4.4139999999999997</v>
      </c>
      <c r="F165" s="111"/>
      <c r="H165" s="2">
        <v>318</v>
      </c>
      <c r="I165" s="2">
        <v>179</v>
      </c>
      <c r="J165" s="2">
        <v>0</v>
      </c>
      <c r="K165" s="2">
        <v>14</v>
      </c>
      <c r="L165" s="2">
        <v>898.56</v>
      </c>
      <c r="M165" s="2">
        <v>975.36</v>
      </c>
      <c r="N165" s="380">
        <v>3.2953098750000001</v>
      </c>
      <c r="O165" s="2" t="s">
        <v>62</v>
      </c>
      <c r="P165" s="2">
        <v>50</v>
      </c>
      <c r="Q165" s="2" t="s">
        <v>63</v>
      </c>
      <c r="R165" s="8" t="s">
        <v>949</v>
      </c>
      <c r="S165" s="8" t="s">
        <v>949</v>
      </c>
      <c r="T165" s="8">
        <v>18936.059999999998</v>
      </c>
      <c r="U165" s="8" t="s">
        <v>843</v>
      </c>
    </row>
    <row r="166" spans="1:21" x14ac:dyDescent="0.35">
      <c r="A166" s="2">
        <v>44</v>
      </c>
      <c r="B166" s="115" t="s">
        <v>76</v>
      </c>
      <c r="C166" s="116" t="s">
        <v>77</v>
      </c>
      <c r="D166" s="2">
        <v>4292</v>
      </c>
      <c r="E166" s="52">
        <v>4.4139999999999997</v>
      </c>
      <c r="F166" s="111"/>
      <c r="H166" s="2">
        <v>316</v>
      </c>
      <c r="I166" s="2">
        <v>179</v>
      </c>
      <c r="J166" s="2">
        <v>0</v>
      </c>
      <c r="K166" s="2">
        <v>14</v>
      </c>
      <c r="L166" s="2">
        <v>898.56</v>
      </c>
      <c r="M166" s="2">
        <v>975.36</v>
      </c>
      <c r="N166" s="380">
        <v>3.2968461499999999</v>
      </c>
      <c r="O166" s="2" t="s">
        <v>62</v>
      </c>
      <c r="P166" s="2">
        <v>50</v>
      </c>
      <c r="Q166" s="2" t="s">
        <v>63</v>
      </c>
      <c r="R166" s="8" t="s">
        <v>949</v>
      </c>
      <c r="S166" s="8" t="s">
        <v>949</v>
      </c>
      <c r="T166" s="8">
        <v>18944.887999999999</v>
      </c>
      <c r="U166" s="8" t="s">
        <v>843</v>
      </c>
    </row>
    <row r="167" spans="1:21" x14ac:dyDescent="0.35">
      <c r="A167" s="2">
        <v>44</v>
      </c>
      <c r="B167" s="115" t="s">
        <v>78</v>
      </c>
      <c r="C167" s="116" t="s">
        <v>79</v>
      </c>
      <c r="D167" s="2">
        <v>4437</v>
      </c>
      <c r="E167" s="52">
        <v>4.4139999999999997</v>
      </c>
      <c r="F167" s="111"/>
      <c r="H167" s="2">
        <v>318</v>
      </c>
      <c r="I167" s="2">
        <v>185</v>
      </c>
      <c r="J167" s="2">
        <v>0</v>
      </c>
      <c r="K167" s="2">
        <v>14</v>
      </c>
      <c r="L167" s="2">
        <v>927.22499999999991</v>
      </c>
      <c r="M167" s="2">
        <v>1006.475</v>
      </c>
      <c r="N167" s="380">
        <v>3.4082260875000001</v>
      </c>
      <c r="O167" s="2" t="s">
        <v>62</v>
      </c>
      <c r="P167" s="2">
        <v>50</v>
      </c>
      <c r="Q167" s="2" t="s">
        <v>63</v>
      </c>
      <c r="R167" s="8" t="s">
        <v>949</v>
      </c>
      <c r="S167" s="8" t="s">
        <v>949</v>
      </c>
      <c r="T167" s="8">
        <v>19584.917999999998</v>
      </c>
      <c r="U167" s="8" t="s">
        <v>843</v>
      </c>
    </row>
    <row r="168" spans="1:21" x14ac:dyDescent="0.35">
      <c r="A168" s="2">
        <v>43</v>
      </c>
      <c r="B168" s="115" t="s">
        <v>126</v>
      </c>
      <c r="C168" s="116" t="s">
        <v>127</v>
      </c>
      <c r="D168" s="2"/>
      <c r="E168" s="52"/>
      <c r="F168" s="111"/>
      <c r="H168" s="2">
        <v>681</v>
      </c>
      <c r="I168" s="2">
        <v>0</v>
      </c>
      <c r="J168" s="2">
        <v>0</v>
      </c>
      <c r="K168" s="2">
        <v>29</v>
      </c>
      <c r="L168" s="2">
        <v>258.77999999999997</v>
      </c>
      <c r="M168" s="2">
        <v>269.5625</v>
      </c>
      <c r="N168" s="380">
        <v>0</v>
      </c>
      <c r="O168" s="2" t="s">
        <v>116</v>
      </c>
      <c r="P168" s="2">
        <v>100</v>
      </c>
      <c r="Q168" s="2" t="s">
        <v>63</v>
      </c>
      <c r="R168" s="8" t="s">
        <v>949</v>
      </c>
      <c r="S168" s="8" t="s">
        <v>949</v>
      </c>
      <c r="T168" s="8">
        <v>0</v>
      </c>
      <c r="U168" s="8" t="s">
        <v>843</v>
      </c>
    </row>
    <row r="169" spans="1:21" x14ac:dyDescent="0.35">
      <c r="A169" s="2">
        <v>42</v>
      </c>
      <c r="B169" s="115" t="s">
        <v>61</v>
      </c>
      <c r="C169" s="116" t="s">
        <v>64</v>
      </c>
      <c r="D169" s="2">
        <v>3316</v>
      </c>
      <c r="E169" s="52">
        <v>4.4139999999999997</v>
      </c>
      <c r="F169" s="111"/>
      <c r="H169" s="2">
        <v>4</v>
      </c>
      <c r="I169" s="2">
        <v>139</v>
      </c>
      <c r="J169" s="2">
        <v>0</v>
      </c>
      <c r="K169" s="2">
        <v>1</v>
      </c>
      <c r="L169" s="2">
        <v>664</v>
      </c>
      <c r="M169" s="2">
        <v>719.33333333333337</v>
      </c>
      <c r="N169" s="380">
        <v>1.99478125</v>
      </c>
      <c r="O169" s="2" t="s">
        <v>62</v>
      </c>
      <c r="P169" s="2">
        <v>50</v>
      </c>
      <c r="Q169" s="2" t="s">
        <v>63</v>
      </c>
      <c r="R169" s="8" t="s">
        <v>949</v>
      </c>
      <c r="S169" s="8" t="s">
        <v>949</v>
      </c>
      <c r="T169" s="8">
        <v>14636.823999999999</v>
      </c>
      <c r="U169" s="8" t="s">
        <v>843</v>
      </c>
    </row>
    <row r="170" spans="1:21" x14ac:dyDescent="0.35">
      <c r="A170" s="2">
        <v>42</v>
      </c>
      <c r="B170" s="115" t="s">
        <v>68</v>
      </c>
      <c r="C170" s="116" t="s">
        <v>69</v>
      </c>
      <c r="D170" s="2">
        <v>4352</v>
      </c>
      <c r="E170" s="52">
        <v>4.4139999999999997</v>
      </c>
      <c r="F170" s="111"/>
      <c r="H170" s="2"/>
      <c r="I170" s="2">
        <v>182</v>
      </c>
      <c r="J170" s="2">
        <v>0</v>
      </c>
      <c r="K170" s="2">
        <v>0</v>
      </c>
      <c r="L170" s="2">
        <v>870.4</v>
      </c>
      <c r="M170" s="2">
        <v>942.93333333333339</v>
      </c>
      <c r="N170" s="380">
        <v>2.6180000000000003</v>
      </c>
      <c r="O170" s="2" t="s">
        <v>62</v>
      </c>
      <c r="P170" s="2">
        <v>50</v>
      </c>
      <c r="Q170" s="2" t="s">
        <v>63</v>
      </c>
      <c r="R170" s="8" t="s">
        <v>949</v>
      </c>
      <c r="S170" s="8" t="s">
        <v>949</v>
      </c>
      <c r="T170" s="8">
        <v>19209.727999999999</v>
      </c>
      <c r="U170" s="8" t="s">
        <v>843</v>
      </c>
    </row>
    <row r="171" spans="1:21" x14ac:dyDescent="0.35">
      <c r="A171" s="2">
        <v>41</v>
      </c>
      <c r="B171" s="115" t="s">
        <v>115</v>
      </c>
      <c r="C171" s="116" t="s">
        <v>117</v>
      </c>
      <c r="D171" s="2">
        <v>48</v>
      </c>
      <c r="E171" s="52">
        <v>15.849721162312886</v>
      </c>
      <c r="F171" s="111"/>
      <c r="H171" s="2"/>
      <c r="I171" s="2">
        <v>2</v>
      </c>
      <c r="J171" s="2">
        <v>0</v>
      </c>
      <c r="K171" s="2">
        <v>0</v>
      </c>
      <c r="L171" s="2">
        <v>18.96</v>
      </c>
      <c r="M171" s="2">
        <v>19.8</v>
      </c>
      <c r="N171" s="380">
        <v>3.4595000000000001E-2</v>
      </c>
      <c r="O171" s="2" t="s">
        <v>116</v>
      </c>
      <c r="P171" s="2">
        <v>100</v>
      </c>
      <c r="Q171" s="2" t="s">
        <v>63</v>
      </c>
      <c r="R171" s="8">
        <v>11.68</v>
      </c>
      <c r="S171" s="8">
        <v>560.64</v>
      </c>
      <c r="T171" s="8">
        <v>760.78661579101845</v>
      </c>
      <c r="U171" s="8" t="s">
        <v>725</v>
      </c>
    </row>
    <row r="172" spans="1:21" x14ac:dyDescent="0.35">
      <c r="A172" s="2">
        <v>41</v>
      </c>
      <c r="B172" s="115" t="s">
        <v>118</v>
      </c>
      <c r="C172" s="116" t="s">
        <v>119</v>
      </c>
      <c r="D172" s="2">
        <v>48</v>
      </c>
      <c r="E172" s="52">
        <v>15.849721162312886</v>
      </c>
      <c r="F172" s="111"/>
      <c r="H172" s="2"/>
      <c r="I172" s="2">
        <v>2</v>
      </c>
      <c r="J172" s="2">
        <v>0</v>
      </c>
      <c r="K172" s="2">
        <v>0</v>
      </c>
      <c r="L172" s="2">
        <v>18.96</v>
      </c>
      <c r="M172" s="2">
        <v>19.8</v>
      </c>
      <c r="N172" s="380">
        <v>3.4595000000000001E-2</v>
      </c>
      <c r="O172" s="2" t="s">
        <v>116</v>
      </c>
      <c r="P172" s="2">
        <v>100</v>
      </c>
      <c r="Q172" s="2" t="s">
        <v>63</v>
      </c>
      <c r="R172" s="8">
        <v>11.68</v>
      </c>
      <c r="S172" s="8">
        <v>560.64</v>
      </c>
      <c r="T172" s="8">
        <v>760.78661579101845</v>
      </c>
      <c r="U172" s="8" t="s">
        <v>725</v>
      </c>
    </row>
    <row r="173" spans="1:21" x14ac:dyDescent="0.35">
      <c r="A173" s="2">
        <v>41</v>
      </c>
      <c r="B173" s="115" t="s">
        <v>120</v>
      </c>
      <c r="C173" s="116" t="s">
        <v>713</v>
      </c>
      <c r="D173" s="2">
        <v>48</v>
      </c>
      <c r="E173" s="52">
        <v>15.849721162312886</v>
      </c>
      <c r="F173" s="111"/>
      <c r="H173" s="2"/>
      <c r="I173" s="2">
        <v>2</v>
      </c>
      <c r="J173" s="2">
        <v>0</v>
      </c>
      <c r="K173" s="2">
        <v>0</v>
      </c>
      <c r="L173" s="2">
        <v>18.96</v>
      </c>
      <c r="M173" s="2">
        <v>19.8</v>
      </c>
      <c r="N173" s="380">
        <v>3.4595000000000001E-2</v>
      </c>
      <c r="O173" s="2" t="s">
        <v>116</v>
      </c>
      <c r="P173" s="2">
        <v>100</v>
      </c>
      <c r="Q173" s="2" t="s">
        <v>63</v>
      </c>
      <c r="R173" s="8">
        <v>11.68</v>
      </c>
      <c r="S173" s="8">
        <v>560.64</v>
      </c>
      <c r="T173" s="8">
        <v>760.78661579101845</v>
      </c>
      <c r="U173" s="8" t="s">
        <v>725</v>
      </c>
    </row>
    <row r="174" spans="1:21" x14ac:dyDescent="0.35">
      <c r="A174" s="2">
        <v>41</v>
      </c>
      <c r="B174" s="115" t="s">
        <v>122</v>
      </c>
      <c r="C174" s="116" t="s">
        <v>123</v>
      </c>
      <c r="D174" s="2">
        <v>48</v>
      </c>
      <c r="E174" s="52">
        <v>15.849721162312886</v>
      </c>
      <c r="F174" s="111"/>
      <c r="H174" s="2"/>
      <c r="I174" s="2">
        <v>2</v>
      </c>
      <c r="J174" s="2">
        <v>0</v>
      </c>
      <c r="K174" s="2">
        <v>0</v>
      </c>
      <c r="L174" s="2">
        <v>18.96</v>
      </c>
      <c r="M174" s="2">
        <v>19.8</v>
      </c>
      <c r="N174" s="380">
        <v>3.4595000000000001E-2</v>
      </c>
      <c r="O174" s="2" t="s">
        <v>116</v>
      </c>
      <c r="P174" s="2">
        <v>100</v>
      </c>
      <c r="Q174" s="2" t="s">
        <v>63</v>
      </c>
      <c r="R174" s="8">
        <v>11.68</v>
      </c>
      <c r="S174" s="8">
        <v>560.64</v>
      </c>
      <c r="T174" s="8">
        <v>760.78661579101845</v>
      </c>
      <c r="U174" s="8" t="s">
        <v>725</v>
      </c>
    </row>
    <row r="175" spans="1:21" x14ac:dyDescent="0.35">
      <c r="A175" s="2">
        <v>41</v>
      </c>
      <c r="B175" s="115" t="s">
        <v>124</v>
      </c>
      <c r="C175" s="116" t="s">
        <v>125</v>
      </c>
      <c r="D175" s="2">
        <v>48</v>
      </c>
      <c r="E175" s="52">
        <v>15.849721162312886</v>
      </c>
      <c r="F175" s="111"/>
      <c r="H175" s="2"/>
      <c r="I175" s="2">
        <v>2</v>
      </c>
      <c r="J175" s="2">
        <v>0</v>
      </c>
      <c r="K175" s="2">
        <v>0</v>
      </c>
      <c r="L175" s="2">
        <v>18.239999999999998</v>
      </c>
      <c r="M175" s="2">
        <v>19</v>
      </c>
      <c r="N175" s="380">
        <v>3.5062500000000003E-2</v>
      </c>
      <c r="O175" s="2" t="s">
        <v>116</v>
      </c>
      <c r="P175" s="2">
        <v>100</v>
      </c>
      <c r="Q175" s="2" t="s">
        <v>63</v>
      </c>
      <c r="R175" s="8">
        <v>11.68</v>
      </c>
      <c r="S175" s="8">
        <v>560.64</v>
      </c>
      <c r="T175" s="8">
        <v>760.78661579101845</v>
      </c>
      <c r="U175" s="8" t="s">
        <v>725</v>
      </c>
    </row>
    <row r="176" spans="1:21" x14ac:dyDescent="0.35">
      <c r="A176" s="2">
        <v>41</v>
      </c>
      <c r="B176" s="115" t="s">
        <v>126</v>
      </c>
      <c r="C176" s="116" t="s">
        <v>127</v>
      </c>
      <c r="D176" s="2">
        <v>48</v>
      </c>
      <c r="E176" s="52">
        <v>15.849721162312886</v>
      </c>
      <c r="F176" s="111"/>
      <c r="H176" s="2"/>
      <c r="I176" s="2">
        <v>2</v>
      </c>
      <c r="J176" s="2">
        <v>0</v>
      </c>
      <c r="K176" s="2">
        <v>0</v>
      </c>
      <c r="L176" s="2">
        <v>18.239999999999998</v>
      </c>
      <c r="M176" s="2">
        <v>19</v>
      </c>
      <c r="N176" s="380">
        <v>3.5062500000000003E-2</v>
      </c>
      <c r="O176" s="2" t="s">
        <v>116</v>
      </c>
      <c r="P176" s="2">
        <v>100</v>
      </c>
      <c r="Q176" s="2" t="s">
        <v>63</v>
      </c>
      <c r="R176" s="8">
        <v>11.68</v>
      </c>
      <c r="S176" s="8">
        <v>560.64</v>
      </c>
      <c r="T176" s="8">
        <v>760.78661579101845</v>
      </c>
      <c r="U176" s="8" t="s">
        <v>725</v>
      </c>
    </row>
    <row r="177" spans="1:21" x14ac:dyDescent="0.35">
      <c r="A177" s="2">
        <v>41</v>
      </c>
      <c r="B177" s="115" t="s">
        <v>128</v>
      </c>
      <c r="C177" s="116" t="s">
        <v>129</v>
      </c>
      <c r="D177" s="2">
        <v>48</v>
      </c>
      <c r="E177" s="52">
        <v>15.849721162312886</v>
      </c>
      <c r="F177" s="111"/>
      <c r="H177" s="2"/>
      <c r="I177" s="2">
        <v>2</v>
      </c>
      <c r="J177" s="2">
        <v>0</v>
      </c>
      <c r="K177" s="2">
        <v>0</v>
      </c>
      <c r="L177" s="2">
        <v>18.239999999999998</v>
      </c>
      <c r="M177" s="2">
        <v>19</v>
      </c>
      <c r="N177" s="380">
        <v>3.5062500000000003E-2</v>
      </c>
      <c r="O177" s="2" t="s">
        <v>116</v>
      </c>
      <c r="P177" s="2">
        <v>100</v>
      </c>
      <c r="Q177" s="2" t="s">
        <v>63</v>
      </c>
      <c r="R177" s="8">
        <v>11.68</v>
      </c>
      <c r="S177" s="8">
        <v>560.64</v>
      </c>
      <c r="T177" s="8">
        <v>760.78661579101845</v>
      </c>
      <c r="U177" s="8" t="s">
        <v>725</v>
      </c>
    </row>
    <row r="178" spans="1:21" x14ac:dyDescent="0.35">
      <c r="A178" s="2">
        <v>41</v>
      </c>
      <c r="B178" s="115" t="s">
        <v>130</v>
      </c>
      <c r="C178" s="116" t="s">
        <v>131</v>
      </c>
      <c r="D178" s="2">
        <v>48</v>
      </c>
      <c r="E178" s="52">
        <v>15.849721162312886</v>
      </c>
      <c r="F178" s="111"/>
      <c r="H178" s="2"/>
      <c r="I178" s="2">
        <v>2</v>
      </c>
      <c r="J178" s="2">
        <v>0</v>
      </c>
      <c r="K178" s="2">
        <v>0</v>
      </c>
      <c r="L178" s="2">
        <v>18.239999999999998</v>
      </c>
      <c r="M178" s="2">
        <v>19</v>
      </c>
      <c r="N178" s="380">
        <v>3.5062500000000003E-2</v>
      </c>
      <c r="O178" s="2" t="s">
        <v>116</v>
      </c>
      <c r="P178" s="2">
        <v>100</v>
      </c>
      <c r="Q178" s="2" t="s">
        <v>63</v>
      </c>
      <c r="R178" s="8">
        <v>11.68</v>
      </c>
      <c r="S178" s="8">
        <v>560.64</v>
      </c>
      <c r="T178" s="8">
        <v>760.78661579101845</v>
      </c>
      <c r="U178" s="8" t="s">
        <v>725</v>
      </c>
    </row>
    <row r="179" spans="1:21" x14ac:dyDescent="0.35">
      <c r="A179" s="2">
        <v>41</v>
      </c>
      <c r="B179" s="115" t="s">
        <v>149</v>
      </c>
      <c r="C179" s="116" t="s">
        <v>150</v>
      </c>
      <c r="D179" s="2">
        <v>48</v>
      </c>
      <c r="E179" s="52">
        <v>15.849721162312886</v>
      </c>
      <c r="F179" s="111"/>
      <c r="H179" s="2"/>
      <c r="I179" s="2">
        <v>2</v>
      </c>
      <c r="J179" s="2">
        <v>0</v>
      </c>
      <c r="K179" s="2">
        <v>0</v>
      </c>
      <c r="L179" s="2">
        <v>18.96</v>
      </c>
      <c r="M179" s="2">
        <v>19.8</v>
      </c>
      <c r="N179" s="380">
        <v>3.5062500000000003E-2</v>
      </c>
      <c r="O179" s="2" t="s">
        <v>116</v>
      </c>
      <c r="P179" s="2">
        <v>100</v>
      </c>
      <c r="Q179" s="2" t="s">
        <v>63</v>
      </c>
      <c r="R179" s="8">
        <v>11.68</v>
      </c>
      <c r="S179" s="8">
        <v>560.64</v>
      </c>
      <c r="T179" s="8">
        <v>760.78661579101845</v>
      </c>
      <c r="U179" s="8" t="s">
        <v>725</v>
      </c>
    </row>
    <row r="180" spans="1:21" x14ac:dyDescent="0.35">
      <c r="A180" s="2">
        <v>41</v>
      </c>
      <c r="B180" s="115" t="s">
        <v>151</v>
      </c>
      <c r="C180" s="116" t="s">
        <v>152</v>
      </c>
      <c r="D180" s="2">
        <v>48</v>
      </c>
      <c r="E180" s="52">
        <v>15.849721162312886</v>
      </c>
      <c r="F180" s="111"/>
      <c r="H180" s="2"/>
      <c r="I180" s="2">
        <v>2</v>
      </c>
      <c r="J180" s="2">
        <v>0</v>
      </c>
      <c r="K180" s="2">
        <v>0</v>
      </c>
      <c r="L180" s="2">
        <v>18.96</v>
      </c>
      <c r="M180" s="2">
        <v>19.8</v>
      </c>
      <c r="N180" s="380">
        <v>3.5062500000000003E-2</v>
      </c>
      <c r="O180" s="2" t="s">
        <v>116</v>
      </c>
      <c r="P180" s="2">
        <v>100</v>
      </c>
      <c r="Q180" s="2" t="s">
        <v>63</v>
      </c>
      <c r="R180" s="8">
        <v>11.68</v>
      </c>
      <c r="S180" s="8">
        <v>560.64</v>
      </c>
      <c r="T180" s="8">
        <v>760.78661579101845</v>
      </c>
      <c r="U180" s="8" t="s">
        <v>725</v>
      </c>
    </row>
    <row r="181" spans="1:21" x14ac:dyDescent="0.35">
      <c r="A181" s="2">
        <v>40</v>
      </c>
      <c r="B181" s="115" t="s">
        <v>168</v>
      </c>
      <c r="C181" s="116" t="s">
        <v>169</v>
      </c>
      <c r="D181" s="2">
        <v>10032</v>
      </c>
      <c r="E181" s="52">
        <v>1.06</v>
      </c>
      <c r="F181" s="111"/>
      <c r="H181" s="2"/>
      <c r="I181" s="2">
        <v>209</v>
      </c>
      <c r="J181" s="2">
        <v>0</v>
      </c>
      <c r="K181" s="2">
        <v>0</v>
      </c>
      <c r="L181" s="2">
        <v>1563.3200000000002</v>
      </c>
      <c r="M181" s="2">
        <v>1609.3</v>
      </c>
      <c r="N181" s="380">
        <v>7.1158229999999998</v>
      </c>
      <c r="O181" s="2" t="s">
        <v>158</v>
      </c>
      <c r="P181" s="2">
        <v>175</v>
      </c>
      <c r="Q181" s="2" t="s">
        <v>159</v>
      </c>
      <c r="R181" s="8">
        <v>1.1599999999999999</v>
      </c>
      <c r="S181" s="8">
        <v>11637.119999999999</v>
      </c>
      <c r="T181" s="8">
        <v>10633.92</v>
      </c>
      <c r="U181" s="8" t="s">
        <v>725</v>
      </c>
    </row>
    <row r="182" spans="1:21" x14ac:dyDescent="0.35">
      <c r="A182" s="2">
        <v>40</v>
      </c>
      <c r="B182" s="115" t="s">
        <v>170</v>
      </c>
      <c r="C182" s="116" t="s">
        <v>171</v>
      </c>
      <c r="D182" s="2">
        <v>10032</v>
      </c>
      <c r="E182" s="52">
        <v>1.06</v>
      </c>
      <c r="F182" s="111"/>
      <c r="H182" s="2"/>
      <c r="I182" s="2">
        <v>209</v>
      </c>
      <c r="J182" s="2">
        <v>0</v>
      </c>
      <c r="K182" s="2">
        <v>0</v>
      </c>
      <c r="L182" s="2">
        <v>1563.3200000000002</v>
      </c>
      <c r="M182" s="2">
        <v>1609.3</v>
      </c>
      <c r="N182" s="380">
        <v>7.1158229999999998</v>
      </c>
      <c r="O182" s="2" t="s">
        <v>158</v>
      </c>
      <c r="P182" s="2">
        <v>175</v>
      </c>
      <c r="Q182" s="2" t="s">
        <v>159</v>
      </c>
      <c r="R182" s="8">
        <v>1.1599999999999999</v>
      </c>
      <c r="S182" s="8">
        <v>11637.119999999999</v>
      </c>
      <c r="T182" s="8">
        <v>10633.92</v>
      </c>
      <c r="U182" s="8" t="s">
        <v>725</v>
      </c>
    </row>
    <row r="183" spans="1:21" x14ac:dyDescent="0.35">
      <c r="A183" s="2">
        <v>40</v>
      </c>
      <c r="B183" s="115" t="s">
        <v>172</v>
      </c>
      <c r="C183" s="116" t="s">
        <v>173</v>
      </c>
      <c r="D183" s="2">
        <v>10032</v>
      </c>
      <c r="E183" s="52">
        <v>1.06</v>
      </c>
      <c r="F183" s="111"/>
      <c r="H183" s="2"/>
      <c r="I183" s="2">
        <v>209</v>
      </c>
      <c r="J183" s="2">
        <v>0</v>
      </c>
      <c r="K183" s="2">
        <v>0</v>
      </c>
      <c r="L183" s="2">
        <v>1563.3200000000002</v>
      </c>
      <c r="M183" s="2">
        <v>1609.3</v>
      </c>
      <c r="N183" s="380">
        <v>7.1158229999999998</v>
      </c>
      <c r="O183" s="2" t="s">
        <v>158</v>
      </c>
      <c r="P183" s="2">
        <v>175</v>
      </c>
      <c r="Q183" s="2" t="s">
        <v>159</v>
      </c>
      <c r="R183" s="8">
        <v>1.1599999999999999</v>
      </c>
      <c r="S183" s="8">
        <v>11637.119999999999</v>
      </c>
      <c r="T183" s="8">
        <v>10633.92</v>
      </c>
      <c r="U183" s="8" t="s">
        <v>725</v>
      </c>
    </row>
    <row r="184" spans="1:21" x14ac:dyDescent="0.35">
      <c r="A184" s="2">
        <v>40</v>
      </c>
      <c r="B184" s="115" t="s">
        <v>174</v>
      </c>
      <c r="C184" s="116" t="s">
        <v>175</v>
      </c>
      <c r="D184" s="2">
        <v>10032</v>
      </c>
      <c r="E184" s="52">
        <v>1.06</v>
      </c>
      <c r="F184" s="111"/>
      <c r="H184" s="2"/>
      <c r="I184" s="2">
        <v>209</v>
      </c>
      <c r="J184" s="2">
        <v>0</v>
      </c>
      <c r="K184" s="2">
        <v>0</v>
      </c>
      <c r="L184" s="2">
        <v>1563.3200000000002</v>
      </c>
      <c r="M184" s="2">
        <v>1609.3</v>
      </c>
      <c r="N184" s="380">
        <v>7.1158229999999998</v>
      </c>
      <c r="O184" s="2" t="s">
        <v>158</v>
      </c>
      <c r="P184" s="2">
        <v>175</v>
      </c>
      <c r="Q184" s="2" t="s">
        <v>159</v>
      </c>
      <c r="R184" s="8">
        <v>1.1599999999999999</v>
      </c>
      <c r="S184" s="8">
        <v>11637.119999999999</v>
      </c>
      <c r="T184" s="8">
        <v>10633.92</v>
      </c>
      <c r="U184" s="8" t="s">
        <v>725</v>
      </c>
    </row>
    <row r="185" spans="1:21" x14ac:dyDescent="0.35">
      <c r="A185" s="2">
        <v>40</v>
      </c>
      <c r="B185" s="115" t="s">
        <v>166</v>
      </c>
      <c r="C185" s="116" t="s">
        <v>167</v>
      </c>
      <c r="D185" s="2">
        <v>10032</v>
      </c>
      <c r="E185" s="52">
        <v>1.03</v>
      </c>
      <c r="F185" s="111"/>
      <c r="H185" s="2"/>
      <c r="I185" s="2">
        <v>209</v>
      </c>
      <c r="J185" s="2">
        <v>0</v>
      </c>
      <c r="K185" s="2">
        <v>0</v>
      </c>
      <c r="L185" s="2">
        <v>1314.192</v>
      </c>
      <c r="M185" s="2">
        <v>1470.5239999999999</v>
      </c>
      <c r="N185" s="380">
        <v>5.4841600000000001</v>
      </c>
      <c r="O185" s="2" t="s">
        <v>158</v>
      </c>
      <c r="P185" s="2">
        <v>150</v>
      </c>
      <c r="Q185" s="2" t="s">
        <v>159</v>
      </c>
      <c r="R185" s="8">
        <v>0.81499999999999995</v>
      </c>
      <c r="S185" s="8">
        <v>8176.079999999999</v>
      </c>
      <c r="T185" s="8">
        <v>10332.960000000001</v>
      </c>
      <c r="U185" s="8" t="s">
        <v>725</v>
      </c>
    </row>
    <row r="186" spans="1:21" x14ac:dyDescent="0.35">
      <c r="A186" s="2">
        <v>40</v>
      </c>
      <c r="B186" s="115" t="s">
        <v>115</v>
      </c>
      <c r="C186" s="116" t="s">
        <v>117</v>
      </c>
      <c r="D186" s="2">
        <v>360</v>
      </c>
      <c r="E186" s="52">
        <v>14.53</v>
      </c>
      <c r="F186" s="111"/>
      <c r="H186" s="2">
        <v>52</v>
      </c>
      <c r="I186" s="2">
        <v>15</v>
      </c>
      <c r="J186" s="2">
        <v>0</v>
      </c>
      <c r="K186" s="2">
        <v>3</v>
      </c>
      <c r="L186" s="2">
        <v>162.74</v>
      </c>
      <c r="M186" s="2">
        <v>169.95000000000002</v>
      </c>
      <c r="N186" s="380">
        <v>0.25946249999999998</v>
      </c>
      <c r="O186" s="2" t="s">
        <v>116</v>
      </c>
      <c r="P186" s="2">
        <v>100</v>
      </c>
      <c r="Q186" s="2" t="s">
        <v>63</v>
      </c>
      <c r="R186" s="8">
        <v>11.68</v>
      </c>
      <c r="S186" s="8">
        <v>4812.16</v>
      </c>
      <c r="T186" s="8">
        <v>5230.8</v>
      </c>
      <c r="U186" s="8" t="s">
        <v>725</v>
      </c>
    </row>
    <row r="187" spans="1:21" x14ac:dyDescent="0.35">
      <c r="A187" s="2">
        <v>40</v>
      </c>
      <c r="B187" s="115" t="s">
        <v>118</v>
      </c>
      <c r="C187" s="116" t="s">
        <v>119</v>
      </c>
      <c r="D187" s="2">
        <v>360</v>
      </c>
      <c r="E187" s="52">
        <v>14.53</v>
      </c>
      <c r="F187" s="111"/>
      <c r="H187" s="2">
        <v>51</v>
      </c>
      <c r="I187" s="2">
        <v>15</v>
      </c>
      <c r="J187" s="2">
        <v>0</v>
      </c>
      <c r="K187" s="2">
        <v>3</v>
      </c>
      <c r="L187" s="2">
        <v>162.345</v>
      </c>
      <c r="M187" s="2">
        <v>169.53749999999999</v>
      </c>
      <c r="N187" s="380">
        <v>0.25946249999999998</v>
      </c>
      <c r="O187" s="2" t="s">
        <v>116</v>
      </c>
      <c r="P187" s="2">
        <v>100</v>
      </c>
      <c r="Q187" s="2" t="s">
        <v>63</v>
      </c>
      <c r="R187" s="8">
        <v>11.68</v>
      </c>
      <c r="S187" s="8">
        <v>4800.4799999999996</v>
      </c>
      <c r="T187" s="8">
        <v>5230.8</v>
      </c>
      <c r="U187" s="8" t="s">
        <v>725</v>
      </c>
    </row>
    <row r="188" spans="1:21" x14ac:dyDescent="0.35">
      <c r="A188" s="2">
        <v>40</v>
      </c>
      <c r="B188" s="115" t="s">
        <v>120</v>
      </c>
      <c r="C188" s="116" t="s">
        <v>713</v>
      </c>
      <c r="D188" s="2">
        <v>360</v>
      </c>
      <c r="E188" s="52">
        <v>14.53</v>
      </c>
      <c r="F188" s="111"/>
      <c r="H188" s="2">
        <v>52</v>
      </c>
      <c r="I188" s="2">
        <v>15</v>
      </c>
      <c r="J188" s="2">
        <v>0</v>
      </c>
      <c r="K188" s="2">
        <v>3</v>
      </c>
      <c r="L188" s="2">
        <v>162.74</v>
      </c>
      <c r="M188" s="2">
        <v>169.95000000000002</v>
      </c>
      <c r="N188" s="380">
        <v>0.25946249999999998</v>
      </c>
      <c r="O188" s="2" t="s">
        <v>116</v>
      </c>
      <c r="P188" s="2">
        <v>100</v>
      </c>
      <c r="Q188" s="2" t="s">
        <v>63</v>
      </c>
      <c r="R188" s="8">
        <v>11.68</v>
      </c>
      <c r="S188" s="8">
        <v>4812.16</v>
      </c>
      <c r="T188" s="8">
        <v>5230.8</v>
      </c>
      <c r="U188" s="8" t="s">
        <v>725</v>
      </c>
    </row>
    <row r="189" spans="1:21" x14ac:dyDescent="0.35">
      <c r="A189" s="2">
        <v>40</v>
      </c>
      <c r="B189" s="115" t="s">
        <v>122</v>
      </c>
      <c r="C189" s="116" t="s">
        <v>123</v>
      </c>
      <c r="D189" s="2">
        <v>360</v>
      </c>
      <c r="E189" s="52">
        <v>14.53</v>
      </c>
      <c r="F189" s="111"/>
      <c r="H189" s="2">
        <v>51</v>
      </c>
      <c r="I189" s="2">
        <v>15</v>
      </c>
      <c r="J189" s="2">
        <v>0</v>
      </c>
      <c r="K189" s="2">
        <v>3</v>
      </c>
      <c r="L189" s="2">
        <v>162.345</v>
      </c>
      <c r="M189" s="2">
        <v>169.53749999999999</v>
      </c>
      <c r="N189" s="380">
        <v>0.25946249999999998</v>
      </c>
      <c r="O189" s="2" t="s">
        <v>116</v>
      </c>
      <c r="P189" s="2">
        <v>100</v>
      </c>
      <c r="Q189" s="2" t="s">
        <v>63</v>
      </c>
      <c r="R189" s="8">
        <v>11.68</v>
      </c>
      <c r="S189" s="8">
        <v>4800.4799999999996</v>
      </c>
      <c r="T189" s="8">
        <v>5230.8</v>
      </c>
      <c r="U189" s="8" t="s">
        <v>725</v>
      </c>
    </row>
    <row r="190" spans="1:21" x14ac:dyDescent="0.35">
      <c r="A190" s="2">
        <v>40</v>
      </c>
      <c r="B190" s="115" t="s">
        <v>124</v>
      </c>
      <c r="C190" s="116" t="s">
        <v>125</v>
      </c>
      <c r="D190" s="2">
        <v>420</v>
      </c>
      <c r="E190" s="52">
        <v>14.53</v>
      </c>
      <c r="F190" s="111"/>
      <c r="H190" s="2">
        <v>60</v>
      </c>
      <c r="I190" s="2">
        <v>18</v>
      </c>
      <c r="J190" s="2">
        <v>0</v>
      </c>
      <c r="K190" s="2">
        <v>3</v>
      </c>
      <c r="L190" s="2">
        <v>182.39999999999998</v>
      </c>
      <c r="M190" s="2">
        <v>190</v>
      </c>
      <c r="N190" s="380">
        <v>0.30679687500000002</v>
      </c>
      <c r="O190" s="2" t="s">
        <v>116</v>
      </c>
      <c r="P190" s="2">
        <v>100</v>
      </c>
      <c r="Q190" s="2" t="s">
        <v>63</v>
      </c>
      <c r="R190" s="8">
        <v>11.68</v>
      </c>
      <c r="S190" s="8">
        <v>5606.4</v>
      </c>
      <c r="T190" s="8">
        <v>6102.5999999999995</v>
      </c>
      <c r="U190" s="8" t="s">
        <v>725</v>
      </c>
    </row>
    <row r="191" spans="1:21" x14ac:dyDescent="0.35">
      <c r="A191" s="2">
        <v>40</v>
      </c>
      <c r="B191" s="115" t="s">
        <v>126</v>
      </c>
      <c r="C191" s="116" t="s">
        <v>127</v>
      </c>
      <c r="D191" s="2">
        <v>360</v>
      </c>
      <c r="E191" s="52">
        <v>14.53</v>
      </c>
      <c r="F191" s="111"/>
      <c r="H191" s="2">
        <v>52</v>
      </c>
      <c r="I191" s="2">
        <v>15</v>
      </c>
      <c r="J191" s="2">
        <v>0</v>
      </c>
      <c r="K191" s="2">
        <v>3</v>
      </c>
      <c r="L191" s="2">
        <v>156.56</v>
      </c>
      <c r="M191" s="2">
        <v>163.08333333333334</v>
      </c>
      <c r="N191" s="380">
        <v>0.26296874999999997</v>
      </c>
      <c r="O191" s="2" t="s">
        <v>116</v>
      </c>
      <c r="P191" s="2">
        <v>100</v>
      </c>
      <c r="Q191" s="2" t="s">
        <v>63</v>
      </c>
      <c r="R191" s="8">
        <v>11.68</v>
      </c>
      <c r="S191" s="8">
        <v>4812.16</v>
      </c>
      <c r="T191" s="8">
        <v>5230.8</v>
      </c>
      <c r="U191" s="8" t="s">
        <v>725</v>
      </c>
    </row>
    <row r="192" spans="1:21" x14ac:dyDescent="0.35">
      <c r="A192" s="2">
        <v>40</v>
      </c>
      <c r="B192" s="115" t="s">
        <v>128</v>
      </c>
      <c r="C192" s="116" t="s">
        <v>129</v>
      </c>
      <c r="D192" s="2">
        <v>360</v>
      </c>
      <c r="E192" s="52">
        <v>14.53</v>
      </c>
      <c r="F192" s="111"/>
      <c r="H192" s="2">
        <v>51</v>
      </c>
      <c r="I192" s="2">
        <v>15</v>
      </c>
      <c r="J192" s="2">
        <v>0</v>
      </c>
      <c r="K192" s="2">
        <v>3</v>
      </c>
      <c r="L192" s="2">
        <v>156.17999999999998</v>
      </c>
      <c r="M192" s="2">
        <v>162.6875</v>
      </c>
      <c r="N192" s="380">
        <v>0.26296874999999997</v>
      </c>
      <c r="O192" s="2" t="s">
        <v>116</v>
      </c>
      <c r="P192" s="2">
        <v>100</v>
      </c>
      <c r="Q192" s="2" t="s">
        <v>63</v>
      </c>
      <c r="R192" s="8">
        <v>11.68</v>
      </c>
      <c r="S192" s="8">
        <v>4800.4799999999996</v>
      </c>
      <c r="T192" s="8">
        <v>5230.8</v>
      </c>
      <c r="U192" s="8" t="s">
        <v>725</v>
      </c>
    </row>
    <row r="193" spans="1:21" x14ac:dyDescent="0.35">
      <c r="A193" s="2">
        <v>40</v>
      </c>
      <c r="B193" s="115" t="s">
        <v>130</v>
      </c>
      <c r="C193" s="116" t="s">
        <v>131</v>
      </c>
      <c r="D193" s="2">
        <v>360</v>
      </c>
      <c r="E193" s="52">
        <v>14.53</v>
      </c>
      <c r="F193" s="111"/>
      <c r="H193" s="2">
        <v>51</v>
      </c>
      <c r="I193" s="2">
        <v>15</v>
      </c>
      <c r="J193" s="2">
        <v>0</v>
      </c>
      <c r="K193" s="2">
        <v>3</v>
      </c>
      <c r="L193" s="2">
        <v>156.17999999999998</v>
      </c>
      <c r="M193" s="2">
        <v>162.6875</v>
      </c>
      <c r="N193" s="380">
        <v>0.26296874999999997</v>
      </c>
      <c r="O193" s="2" t="s">
        <v>116</v>
      </c>
      <c r="P193" s="2">
        <v>100</v>
      </c>
      <c r="Q193" s="2" t="s">
        <v>63</v>
      </c>
      <c r="R193" s="8">
        <v>11.68</v>
      </c>
      <c r="S193" s="8">
        <v>4800.4799999999996</v>
      </c>
      <c r="T193" s="8">
        <v>5230.8</v>
      </c>
      <c r="U193" s="8" t="s">
        <v>725</v>
      </c>
    </row>
    <row r="194" spans="1:21" x14ac:dyDescent="0.35">
      <c r="A194" s="2">
        <v>40</v>
      </c>
      <c r="B194" s="115" t="s">
        <v>189</v>
      </c>
      <c r="C194" s="116" t="s">
        <v>191</v>
      </c>
      <c r="D194" s="2">
        <v>25008</v>
      </c>
      <c r="E194" s="52">
        <v>1</v>
      </c>
      <c r="F194" s="111"/>
      <c r="H194" s="2"/>
      <c r="I194" s="2">
        <v>521</v>
      </c>
      <c r="J194" s="2">
        <v>0</v>
      </c>
      <c r="K194" s="2">
        <v>0</v>
      </c>
      <c r="L194" s="2">
        <v>0</v>
      </c>
      <c r="M194" s="2">
        <v>0</v>
      </c>
      <c r="N194" s="380">
        <v>0</v>
      </c>
      <c r="O194" s="2" t="s">
        <v>190</v>
      </c>
      <c r="P194" s="2">
        <v>0</v>
      </c>
      <c r="Q194" s="2">
        <v>33072000</v>
      </c>
      <c r="R194" s="8">
        <v>0.93</v>
      </c>
      <c r="S194" s="8">
        <v>23257.440000000002</v>
      </c>
      <c r="T194" s="8">
        <v>25008</v>
      </c>
      <c r="U194" s="8" t="s">
        <v>725</v>
      </c>
    </row>
    <row r="195" spans="1:21" x14ac:dyDescent="0.35">
      <c r="A195" s="2">
        <v>40</v>
      </c>
      <c r="B195" s="115" t="s">
        <v>196</v>
      </c>
      <c r="C195" s="116" t="s">
        <v>197</v>
      </c>
      <c r="D195" s="2">
        <v>50004</v>
      </c>
      <c r="E195" s="52">
        <v>1</v>
      </c>
      <c r="F195" s="111"/>
      <c r="H195" s="2"/>
      <c r="I195" s="2">
        <v>1042</v>
      </c>
      <c r="J195" s="2">
        <v>0</v>
      </c>
      <c r="K195" s="2">
        <v>0</v>
      </c>
      <c r="L195" s="2">
        <v>0</v>
      </c>
      <c r="M195" s="2">
        <v>0</v>
      </c>
      <c r="N195" s="380">
        <v>0</v>
      </c>
      <c r="O195" s="2" t="s">
        <v>190</v>
      </c>
      <c r="P195" s="2">
        <v>0</v>
      </c>
      <c r="Q195" s="2">
        <v>33072000</v>
      </c>
      <c r="R195" s="8">
        <v>0.93</v>
      </c>
      <c r="S195" s="8">
        <v>46503.72</v>
      </c>
      <c r="T195" s="8">
        <v>50004</v>
      </c>
      <c r="U195" s="8" t="s">
        <v>725</v>
      </c>
    </row>
    <row r="196" spans="1:21" x14ac:dyDescent="0.35">
      <c r="A196" s="2">
        <v>39</v>
      </c>
      <c r="B196" s="115" t="s">
        <v>99</v>
      </c>
      <c r="C196" s="116" t="s">
        <v>100</v>
      </c>
      <c r="D196" s="2">
        <v>144</v>
      </c>
      <c r="E196" s="52">
        <v>7.5</v>
      </c>
      <c r="F196" s="111"/>
      <c r="H196" s="2">
        <v>12</v>
      </c>
      <c r="I196" s="2">
        <v>6</v>
      </c>
      <c r="J196" s="2">
        <v>0</v>
      </c>
      <c r="K196" s="2">
        <v>1</v>
      </c>
      <c r="L196" s="2">
        <v>48.879999999999995</v>
      </c>
      <c r="M196" s="2">
        <v>53.495000000000005</v>
      </c>
      <c r="N196" s="380">
        <v>0.145899</v>
      </c>
      <c r="O196" s="2" t="s">
        <v>1095</v>
      </c>
      <c r="P196" s="2">
        <v>100</v>
      </c>
      <c r="Q196" s="2" t="s">
        <v>63</v>
      </c>
      <c r="R196" s="8">
        <v>5</v>
      </c>
      <c r="S196" s="8">
        <v>780</v>
      </c>
      <c r="T196" s="8">
        <v>1080</v>
      </c>
      <c r="U196" s="8" t="s">
        <v>725</v>
      </c>
    </row>
    <row r="197" spans="1:21" x14ac:dyDescent="0.35">
      <c r="A197" s="2">
        <v>39</v>
      </c>
      <c r="B197" s="115" t="s">
        <v>101</v>
      </c>
      <c r="C197" s="116" t="s">
        <v>102</v>
      </c>
      <c r="D197" s="2">
        <v>144</v>
      </c>
      <c r="E197" s="52">
        <v>7.5</v>
      </c>
      <c r="F197" s="111"/>
      <c r="H197" s="2">
        <v>12</v>
      </c>
      <c r="I197" s="2">
        <v>6</v>
      </c>
      <c r="J197" s="2">
        <v>0</v>
      </c>
      <c r="K197" s="2">
        <v>1</v>
      </c>
      <c r="L197" s="2">
        <v>48.879999999999995</v>
      </c>
      <c r="M197" s="2">
        <v>53.495000000000005</v>
      </c>
      <c r="N197" s="380">
        <v>0.145899</v>
      </c>
      <c r="O197" s="2" t="s">
        <v>1095</v>
      </c>
      <c r="P197" s="2">
        <v>100</v>
      </c>
      <c r="Q197" s="2" t="s">
        <v>63</v>
      </c>
      <c r="R197" s="8">
        <v>5</v>
      </c>
      <c r="S197" s="8">
        <v>780</v>
      </c>
      <c r="T197" s="8">
        <v>1080</v>
      </c>
      <c r="U197" s="8" t="s">
        <v>725</v>
      </c>
    </row>
    <row r="198" spans="1:21" x14ac:dyDescent="0.35">
      <c r="A198" s="2">
        <v>39</v>
      </c>
      <c r="B198" s="115" t="s">
        <v>103</v>
      </c>
      <c r="C198" s="116" t="s">
        <v>104</v>
      </c>
      <c r="D198" s="2">
        <v>144</v>
      </c>
      <c r="E198" s="52">
        <v>7.5</v>
      </c>
      <c r="F198" s="111"/>
      <c r="H198" s="2">
        <v>12</v>
      </c>
      <c r="I198" s="2">
        <v>6</v>
      </c>
      <c r="J198" s="2">
        <v>0</v>
      </c>
      <c r="K198" s="2">
        <v>1</v>
      </c>
      <c r="L198" s="2">
        <v>48.879999999999995</v>
      </c>
      <c r="M198" s="2">
        <v>53.495000000000005</v>
      </c>
      <c r="N198" s="380">
        <v>0.145899</v>
      </c>
      <c r="O198" s="2" t="s">
        <v>1095</v>
      </c>
      <c r="P198" s="2">
        <v>100</v>
      </c>
      <c r="Q198" s="2" t="s">
        <v>63</v>
      </c>
      <c r="R198" s="8">
        <v>5</v>
      </c>
      <c r="S198" s="8">
        <v>780</v>
      </c>
      <c r="T198" s="8">
        <v>1080</v>
      </c>
      <c r="U198" s="8" t="s">
        <v>725</v>
      </c>
    </row>
    <row r="199" spans="1:21" x14ac:dyDescent="0.35">
      <c r="A199" s="2">
        <v>39</v>
      </c>
      <c r="B199" s="115" t="s">
        <v>105</v>
      </c>
      <c r="C199" s="116" t="s">
        <v>106</v>
      </c>
      <c r="D199" s="2">
        <v>144</v>
      </c>
      <c r="E199" s="52">
        <v>7.5</v>
      </c>
      <c r="F199" s="111"/>
      <c r="H199" s="2">
        <v>12</v>
      </c>
      <c r="I199" s="2">
        <v>6</v>
      </c>
      <c r="J199" s="2">
        <v>0</v>
      </c>
      <c r="K199" s="2">
        <v>1</v>
      </c>
      <c r="L199" s="2">
        <v>48.879999999999995</v>
      </c>
      <c r="M199" s="2">
        <v>53.495000000000005</v>
      </c>
      <c r="N199" s="380">
        <v>0.145899</v>
      </c>
      <c r="O199" s="2" t="s">
        <v>1095</v>
      </c>
      <c r="P199" s="2">
        <v>100</v>
      </c>
      <c r="Q199" s="2" t="s">
        <v>63</v>
      </c>
      <c r="R199" s="8">
        <v>5</v>
      </c>
      <c r="S199" s="8">
        <v>780</v>
      </c>
      <c r="T199" s="8">
        <v>1080</v>
      </c>
      <c r="U199" s="8" t="s">
        <v>725</v>
      </c>
    </row>
    <row r="200" spans="1:21" x14ac:dyDescent="0.35">
      <c r="A200" s="2">
        <v>39</v>
      </c>
      <c r="B200" s="115" t="s">
        <v>107</v>
      </c>
      <c r="C200" s="116" t="s">
        <v>108</v>
      </c>
      <c r="D200" s="2">
        <v>144</v>
      </c>
      <c r="E200" s="52">
        <v>7.5</v>
      </c>
      <c r="F200" s="111"/>
      <c r="H200" s="2">
        <v>12</v>
      </c>
      <c r="I200" s="2">
        <v>6</v>
      </c>
      <c r="J200" s="2">
        <v>0</v>
      </c>
      <c r="K200" s="2">
        <v>1</v>
      </c>
      <c r="L200" s="2">
        <v>44.655000000000001</v>
      </c>
      <c r="M200" s="2">
        <v>49.14</v>
      </c>
      <c r="N200" s="380">
        <v>0.1635075</v>
      </c>
      <c r="O200" s="2" t="s">
        <v>1095</v>
      </c>
      <c r="P200" s="2">
        <v>100</v>
      </c>
      <c r="Q200" s="2" t="s">
        <v>63</v>
      </c>
      <c r="R200" s="8">
        <v>5</v>
      </c>
      <c r="S200" s="8">
        <v>780</v>
      </c>
      <c r="T200" s="8">
        <v>1080</v>
      </c>
      <c r="U200" s="8" t="s">
        <v>725</v>
      </c>
    </row>
    <row r="201" spans="1:21" x14ac:dyDescent="0.35">
      <c r="A201" s="2">
        <v>39</v>
      </c>
      <c r="B201" s="115" t="s">
        <v>109</v>
      </c>
      <c r="C201" s="116" t="s">
        <v>110</v>
      </c>
      <c r="D201" s="2">
        <v>144</v>
      </c>
      <c r="E201" s="52">
        <v>7.5</v>
      </c>
      <c r="F201" s="111"/>
      <c r="H201" s="2">
        <v>12</v>
      </c>
      <c r="I201" s="2">
        <v>6</v>
      </c>
      <c r="J201" s="2">
        <v>0</v>
      </c>
      <c r="K201" s="2">
        <v>1</v>
      </c>
      <c r="L201" s="2">
        <v>44.655000000000001</v>
      </c>
      <c r="M201" s="2">
        <v>49.14</v>
      </c>
      <c r="N201" s="380">
        <v>0.1635075</v>
      </c>
      <c r="O201" s="2" t="s">
        <v>1095</v>
      </c>
      <c r="P201" s="2">
        <v>100</v>
      </c>
      <c r="Q201" s="2" t="s">
        <v>63</v>
      </c>
      <c r="R201" s="8">
        <v>5</v>
      </c>
      <c r="S201" s="8">
        <v>780</v>
      </c>
      <c r="T201" s="8">
        <v>1080</v>
      </c>
      <c r="U201" s="8" t="s">
        <v>725</v>
      </c>
    </row>
    <row r="202" spans="1:21" x14ac:dyDescent="0.35">
      <c r="A202" s="2">
        <v>39</v>
      </c>
      <c r="B202" s="115" t="s">
        <v>111</v>
      </c>
      <c r="C202" s="116" t="s">
        <v>112</v>
      </c>
      <c r="D202" s="2">
        <v>144</v>
      </c>
      <c r="E202" s="52">
        <v>7.5</v>
      </c>
      <c r="F202" s="111"/>
      <c r="H202" s="2">
        <v>12</v>
      </c>
      <c r="I202" s="2">
        <v>6</v>
      </c>
      <c r="J202" s="2">
        <v>0</v>
      </c>
      <c r="K202" s="2">
        <v>1</v>
      </c>
      <c r="L202" s="2">
        <v>44.655000000000001</v>
      </c>
      <c r="M202" s="2">
        <v>49.14</v>
      </c>
      <c r="N202" s="380">
        <v>0.1635075</v>
      </c>
      <c r="O202" s="2" t="s">
        <v>1095</v>
      </c>
      <c r="P202" s="2">
        <v>100</v>
      </c>
      <c r="Q202" s="2" t="s">
        <v>63</v>
      </c>
      <c r="R202" s="8">
        <v>5</v>
      </c>
      <c r="S202" s="8">
        <v>780</v>
      </c>
      <c r="T202" s="8">
        <v>1080</v>
      </c>
      <c r="U202" s="8" t="s">
        <v>725</v>
      </c>
    </row>
    <row r="203" spans="1:21" x14ac:dyDescent="0.35">
      <c r="A203" s="2">
        <v>39</v>
      </c>
      <c r="B203" s="115" t="s">
        <v>113</v>
      </c>
      <c r="C203" s="116" t="s">
        <v>114</v>
      </c>
      <c r="D203" s="2">
        <v>144</v>
      </c>
      <c r="E203" s="52">
        <v>7.5</v>
      </c>
      <c r="F203" s="111"/>
      <c r="H203" s="2">
        <v>12</v>
      </c>
      <c r="I203" s="2">
        <v>6</v>
      </c>
      <c r="J203" s="2">
        <v>0</v>
      </c>
      <c r="K203" s="2">
        <v>1</v>
      </c>
      <c r="L203" s="2">
        <v>44.655000000000001</v>
      </c>
      <c r="M203" s="2">
        <v>49.14</v>
      </c>
      <c r="N203" s="380">
        <v>0.1635075</v>
      </c>
      <c r="O203" s="2" t="s">
        <v>1095</v>
      </c>
      <c r="P203" s="2">
        <v>100</v>
      </c>
      <c r="Q203" s="2" t="s">
        <v>63</v>
      </c>
      <c r="R203" s="8">
        <v>5</v>
      </c>
      <c r="S203" s="8">
        <v>780</v>
      </c>
      <c r="T203" s="8">
        <v>1080</v>
      </c>
      <c r="U203" s="8" t="s">
        <v>725</v>
      </c>
    </row>
    <row r="204" spans="1:21" x14ac:dyDescent="0.35">
      <c r="A204" s="2">
        <v>39</v>
      </c>
      <c r="B204" s="115" t="s">
        <v>115</v>
      </c>
      <c r="C204" s="116" t="s">
        <v>117</v>
      </c>
      <c r="D204" s="2">
        <v>72</v>
      </c>
      <c r="E204" s="52">
        <v>15.55</v>
      </c>
      <c r="F204" s="111"/>
      <c r="H204" s="2">
        <v>6</v>
      </c>
      <c r="I204" s="2">
        <v>3</v>
      </c>
      <c r="J204" s="2">
        <v>0</v>
      </c>
      <c r="K204" s="2">
        <v>1</v>
      </c>
      <c r="L204" s="2">
        <v>30.810000000000002</v>
      </c>
      <c r="M204" s="2">
        <v>32.175000000000004</v>
      </c>
      <c r="N204" s="380">
        <v>5.6216874999999999E-2</v>
      </c>
      <c r="O204" s="2" t="s">
        <v>116</v>
      </c>
      <c r="P204" s="2">
        <v>100</v>
      </c>
      <c r="Q204" s="2" t="s">
        <v>63</v>
      </c>
      <c r="R204" s="8">
        <v>11.68</v>
      </c>
      <c r="S204" s="8">
        <v>911.04</v>
      </c>
      <c r="T204" s="8">
        <v>1119.6000000000001</v>
      </c>
      <c r="U204" s="8" t="s">
        <v>725</v>
      </c>
    </row>
    <row r="205" spans="1:21" x14ac:dyDescent="0.35">
      <c r="A205" s="2">
        <v>39</v>
      </c>
      <c r="B205" s="115" t="s">
        <v>118</v>
      </c>
      <c r="C205" s="116" t="s">
        <v>119</v>
      </c>
      <c r="D205" s="2">
        <v>72</v>
      </c>
      <c r="E205" s="52">
        <v>15.55</v>
      </c>
      <c r="F205" s="111"/>
      <c r="H205" s="2">
        <v>6</v>
      </c>
      <c r="I205" s="2">
        <v>3</v>
      </c>
      <c r="J205" s="2">
        <v>0</v>
      </c>
      <c r="K205" s="2">
        <v>1</v>
      </c>
      <c r="L205" s="2">
        <v>30.810000000000002</v>
      </c>
      <c r="M205" s="2">
        <v>32.175000000000004</v>
      </c>
      <c r="N205" s="380">
        <v>5.6216874999999999E-2</v>
      </c>
      <c r="O205" s="2" t="s">
        <v>116</v>
      </c>
      <c r="P205" s="2">
        <v>100</v>
      </c>
      <c r="Q205" s="2" t="s">
        <v>63</v>
      </c>
      <c r="R205" s="8">
        <v>11.68</v>
      </c>
      <c r="S205" s="8">
        <v>911.04</v>
      </c>
      <c r="T205" s="8">
        <v>1119.6000000000001</v>
      </c>
      <c r="U205" s="8" t="s">
        <v>725</v>
      </c>
    </row>
    <row r="206" spans="1:21" x14ac:dyDescent="0.35">
      <c r="A206" s="2">
        <v>39</v>
      </c>
      <c r="B206" s="115" t="s">
        <v>120</v>
      </c>
      <c r="C206" s="116" t="s">
        <v>713</v>
      </c>
      <c r="D206" s="2">
        <v>72</v>
      </c>
      <c r="E206" s="52">
        <v>15.55</v>
      </c>
      <c r="F206" s="111"/>
      <c r="H206" s="2">
        <v>6</v>
      </c>
      <c r="I206" s="2">
        <v>3</v>
      </c>
      <c r="J206" s="2">
        <v>0</v>
      </c>
      <c r="K206" s="2">
        <v>1</v>
      </c>
      <c r="L206" s="2">
        <v>30.810000000000002</v>
      </c>
      <c r="M206" s="2">
        <v>32.175000000000004</v>
      </c>
      <c r="N206" s="380">
        <v>5.6216874999999999E-2</v>
      </c>
      <c r="O206" s="2" t="s">
        <v>116</v>
      </c>
      <c r="P206" s="2">
        <v>100</v>
      </c>
      <c r="Q206" s="2" t="s">
        <v>63</v>
      </c>
      <c r="R206" s="8">
        <v>11.68</v>
      </c>
      <c r="S206" s="8">
        <v>911.04</v>
      </c>
      <c r="T206" s="8">
        <v>1119.6000000000001</v>
      </c>
      <c r="U206" s="8" t="s">
        <v>725</v>
      </c>
    </row>
    <row r="207" spans="1:21" x14ac:dyDescent="0.35">
      <c r="A207" s="2">
        <v>39</v>
      </c>
      <c r="B207" s="115" t="s">
        <v>122</v>
      </c>
      <c r="C207" s="116" t="s">
        <v>123</v>
      </c>
      <c r="D207" s="2">
        <v>72</v>
      </c>
      <c r="E207" s="52">
        <v>15.55</v>
      </c>
      <c r="F207" s="111"/>
      <c r="H207" s="2">
        <v>6</v>
      </c>
      <c r="I207" s="2">
        <v>3</v>
      </c>
      <c r="J207" s="2">
        <v>0</v>
      </c>
      <c r="K207" s="2">
        <v>1</v>
      </c>
      <c r="L207" s="2">
        <v>30.810000000000002</v>
      </c>
      <c r="M207" s="2">
        <v>32.175000000000004</v>
      </c>
      <c r="N207" s="380">
        <v>5.6216874999999999E-2</v>
      </c>
      <c r="O207" s="2" t="s">
        <v>116</v>
      </c>
      <c r="P207" s="2">
        <v>100</v>
      </c>
      <c r="Q207" s="2" t="s">
        <v>63</v>
      </c>
      <c r="R207" s="8">
        <v>11.68</v>
      </c>
      <c r="S207" s="8">
        <v>911.04</v>
      </c>
      <c r="T207" s="8">
        <v>1119.6000000000001</v>
      </c>
      <c r="U207" s="8" t="s">
        <v>725</v>
      </c>
    </row>
    <row r="208" spans="1:21" x14ac:dyDescent="0.35">
      <c r="A208" s="2">
        <v>39</v>
      </c>
      <c r="B208" s="115" t="s">
        <v>124</v>
      </c>
      <c r="C208" s="116" t="s">
        <v>125</v>
      </c>
      <c r="D208" s="2">
        <v>72</v>
      </c>
      <c r="E208" s="52">
        <v>15.55</v>
      </c>
      <c r="F208" s="111"/>
      <c r="H208" s="2">
        <v>6</v>
      </c>
      <c r="I208" s="2">
        <v>3</v>
      </c>
      <c r="J208" s="2">
        <v>0</v>
      </c>
      <c r="K208" s="2">
        <v>1</v>
      </c>
      <c r="L208" s="2">
        <v>29.639999999999997</v>
      </c>
      <c r="M208" s="2">
        <v>30.875</v>
      </c>
      <c r="N208" s="380">
        <v>5.6976562500000001E-2</v>
      </c>
      <c r="O208" s="2" t="s">
        <v>116</v>
      </c>
      <c r="P208" s="2">
        <v>100</v>
      </c>
      <c r="Q208" s="2" t="s">
        <v>63</v>
      </c>
      <c r="R208" s="8">
        <v>11.68</v>
      </c>
      <c r="S208" s="8">
        <v>911.04</v>
      </c>
      <c r="T208" s="8">
        <v>1119.6000000000001</v>
      </c>
      <c r="U208" s="8" t="s">
        <v>725</v>
      </c>
    </row>
    <row r="209" spans="1:21" x14ac:dyDescent="0.35">
      <c r="A209" s="2">
        <v>39</v>
      </c>
      <c r="B209" s="115" t="s">
        <v>126</v>
      </c>
      <c r="C209" s="116" t="s">
        <v>127</v>
      </c>
      <c r="D209" s="2">
        <v>72</v>
      </c>
      <c r="E209" s="52">
        <v>15.55</v>
      </c>
      <c r="F209" s="111"/>
      <c r="H209" s="2">
        <v>6</v>
      </c>
      <c r="I209" s="2">
        <v>3</v>
      </c>
      <c r="J209" s="2">
        <v>0</v>
      </c>
      <c r="K209" s="2">
        <v>1</v>
      </c>
      <c r="L209" s="2">
        <v>29.639999999999997</v>
      </c>
      <c r="M209" s="2">
        <v>30.875</v>
      </c>
      <c r="N209" s="380">
        <v>5.6976562500000001E-2</v>
      </c>
      <c r="O209" s="2" t="s">
        <v>116</v>
      </c>
      <c r="P209" s="2">
        <v>100</v>
      </c>
      <c r="Q209" s="2" t="s">
        <v>63</v>
      </c>
      <c r="R209" s="8">
        <v>11.68</v>
      </c>
      <c r="S209" s="8">
        <v>911.04</v>
      </c>
      <c r="T209" s="8">
        <v>1119.6000000000001</v>
      </c>
      <c r="U209" s="8" t="s">
        <v>725</v>
      </c>
    </row>
    <row r="210" spans="1:21" x14ac:dyDescent="0.35">
      <c r="A210" s="2">
        <v>39</v>
      </c>
      <c r="B210" s="115" t="s">
        <v>128</v>
      </c>
      <c r="C210" s="116" t="s">
        <v>129</v>
      </c>
      <c r="D210" s="2">
        <v>72</v>
      </c>
      <c r="E210" s="52">
        <v>15.55</v>
      </c>
      <c r="F210" s="111"/>
      <c r="H210" s="2">
        <v>6</v>
      </c>
      <c r="I210" s="2">
        <v>3</v>
      </c>
      <c r="J210" s="2">
        <v>0</v>
      </c>
      <c r="K210" s="2">
        <v>1</v>
      </c>
      <c r="L210" s="2">
        <v>29.639999999999997</v>
      </c>
      <c r="M210" s="2">
        <v>30.875</v>
      </c>
      <c r="N210" s="380">
        <v>5.6976562500000001E-2</v>
      </c>
      <c r="O210" s="2" t="s">
        <v>116</v>
      </c>
      <c r="P210" s="2">
        <v>100</v>
      </c>
      <c r="Q210" s="2" t="s">
        <v>63</v>
      </c>
      <c r="R210" s="8">
        <v>11.68</v>
      </c>
      <c r="S210" s="8">
        <v>911.04</v>
      </c>
      <c r="T210" s="8">
        <v>1119.6000000000001</v>
      </c>
      <c r="U210" s="8" t="s">
        <v>725</v>
      </c>
    </row>
    <row r="211" spans="1:21" x14ac:dyDescent="0.35">
      <c r="A211" s="2">
        <v>39</v>
      </c>
      <c r="B211" s="115" t="s">
        <v>130</v>
      </c>
      <c r="C211" s="116" t="s">
        <v>131</v>
      </c>
      <c r="D211" s="2">
        <v>72</v>
      </c>
      <c r="E211" s="52">
        <v>15.55</v>
      </c>
      <c r="F211" s="111"/>
      <c r="H211" s="2">
        <v>6</v>
      </c>
      <c r="I211" s="2">
        <v>3</v>
      </c>
      <c r="J211" s="2">
        <v>0</v>
      </c>
      <c r="K211" s="2">
        <v>1</v>
      </c>
      <c r="L211" s="2">
        <v>29.639999999999997</v>
      </c>
      <c r="M211" s="2">
        <v>30.875</v>
      </c>
      <c r="N211" s="380">
        <v>5.6976562500000001E-2</v>
      </c>
      <c r="O211" s="2" t="s">
        <v>116</v>
      </c>
      <c r="P211" s="2">
        <v>100</v>
      </c>
      <c r="Q211" s="2" t="s">
        <v>63</v>
      </c>
      <c r="R211" s="8">
        <v>11.68</v>
      </c>
      <c r="S211" s="8">
        <v>911.04</v>
      </c>
      <c r="T211" s="8">
        <v>1119.6000000000001</v>
      </c>
      <c r="U211" s="8" t="s">
        <v>725</v>
      </c>
    </row>
    <row r="212" spans="1:21" x14ac:dyDescent="0.35">
      <c r="A212" s="2">
        <v>39</v>
      </c>
      <c r="B212" s="115" t="s">
        <v>24</v>
      </c>
      <c r="C212" s="116" t="s">
        <v>27</v>
      </c>
      <c r="D212" s="2">
        <v>48</v>
      </c>
      <c r="E212" s="52">
        <v>7.5</v>
      </c>
      <c r="F212" s="111"/>
      <c r="H212" s="2"/>
      <c r="I212" s="2">
        <v>4</v>
      </c>
      <c r="J212" s="2">
        <v>0</v>
      </c>
      <c r="K212" s="2">
        <v>0</v>
      </c>
      <c r="L212" s="2">
        <v>20.16</v>
      </c>
      <c r="M212" s="2">
        <v>23.16</v>
      </c>
      <c r="N212" s="380">
        <v>0.112332</v>
      </c>
      <c r="O212" s="2" t="s">
        <v>25</v>
      </c>
      <c r="P212" s="2">
        <v>50</v>
      </c>
      <c r="Q212" s="2">
        <v>0</v>
      </c>
      <c r="R212" s="8">
        <v>5.23</v>
      </c>
      <c r="S212" s="8">
        <v>251.04000000000002</v>
      </c>
      <c r="T212" s="8">
        <v>360</v>
      </c>
      <c r="U212" s="8" t="s">
        <v>725</v>
      </c>
    </row>
    <row r="213" spans="1:21" x14ac:dyDescent="0.35">
      <c r="A213" s="2">
        <v>39</v>
      </c>
      <c r="B213" s="115" t="s">
        <v>30</v>
      </c>
      <c r="C213" s="116" t="s">
        <v>31</v>
      </c>
      <c r="D213" s="2">
        <v>48</v>
      </c>
      <c r="E213" s="52">
        <v>7.5</v>
      </c>
      <c r="F213" s="111"/>
      <c r="H213" s="2"/>
      <c r="I213" s="2">
        <v>4</v>
      </c>
      <c r="J213" s="2">
        <v>0</v>
      </c>
      <c r="K213" s="2">
        <v>0</v>
      </c>
      <c r="L213" s="2">
        <v>20.16</v>
      </c>
      <c r="M213" s="2">
        <v>23.16</v>
      </c>
      <c r="N213" s="380">
        <v>0.112332</v>
      </c>
      <c r="O213" s="2" t="s">
        <v>25</v>
      </c>
      <c r="P213" s="2">
        <v>50</v>
      </c>
      <c r="Q213" s="2">
        <v>0</v>
      </c>
      <c r="R213" s="8">
        <v>5.23</v>
      </c>
      <c r="S213" s="8">
        <v>251.04000000000002</v>
      </c>
      <c r="T213" s="8">
        <v>360</v>
      </c>
      <c r="U213" s="8" t="s">
        <v>725</v>
      </c>
    </row>
    <row r="214" spans="1:21" x14ac:dyDescent="0.35">
      <c r="A214" s="2">
        <v>39</v>
      </c>
      <c r="B214" s="115" t="s">
        <v>32</v>
      </c>
      <c r="C214" s="116" t="s">
        <v>33</v>
      </c>
      <c r="D214" s="2">
        <v>48</v>
      </c>
      <c r="E214" s="52">
        <v>7.5</v>
      </c>
      <c r="F214" s="111"/>
      <c r="H214" s="2"/>
      <c r="I214" s="2">
        <v>4</v>
      </c>
      <c r="J214" s="2">
        <v>0</v>
      </c>
      <c r="K214" s="2">
        <v>0</v>
      </c>
      <c r="L214" s="2">
        <v>20.16</v>
      </c>
      <c r="M214" s="2">
        <v>23.16</v>
      </c>
      <c r="N214" s="380">
        <v>0.112332</v>
      </c>
      <c r="O214" s="2" t="s">
        <v>25</v>
      </c>
      <c r="P214" s="2">
        <v>50</v>
      </c>
      <c r="Q214" s="2">
        <v>0</v>
      </c>
      <c r="R214" s="8">
        <v>5.23</v>
      </c>
      <c r="S214" s="8">
        <v>251.04000000000002</v>
      </c>
      <c r="T214" s="8">
        <v>360</v>
      </c>
      <c r="U214" s="8" t="s">
        <v>725</v>
      </c>
    </row>
    <row r="215" spans="1:21" x14ac:dyDescent="0.35">
      <c r="A215" s="2">
        <v>39</v>
      </c>
      <c r="B215" s="115" t="s">
        <v>34</v>
      </c>
      <c r="C215" s="116" t="s">
        <v>35</v>
      </c>
      <c r="D215" s="2">
        <v>48</v>
      </c>
      <c r="E215" s="52">
        <v>7.5</v>
      </c>
      <c r="F215" s="111"/>
      <c r="H215" s="2"/>
      <c r="I215" s="2">
        <v>4</v>
      </c>
      <c r="J215" s="2">
        <v>0</v>
      </c>
      <c r="K215" s="2">
        <v>0</v>
      </c>
      <c r="L215" s="2">
        <v>20.16</v>
      </c>
      <c r="M215" s="2">
        <v>23.16</v>
      </c>
      <c r="N215" s="380">
        <v>0.112332</v>
      </c>
      <c r="O215" s="2" t="s">
        <v>25</v>
      </c>
      <c r="P215" s="2">
        <v>50</v>
      </c>
      <c r="Q215" s="2">
        <v>0</v>
      </c>
      <c r="R215" s="8">
        <v>5.23</v>
      </c>
      <c r="S215" s="8">
        <v>251.04000000000002</v>
      </c>
      <c r="T215" s="8">
        <v>360</v>
      </c>
      <c r="U215" s="8" t="s">
        <v>725</v>
      </c>
    </row>
    <row r="216" spans="1:21" x14ac:dyDescent="0.35">
      <c r="A216" s="2">
        <v>39</v>
      </c>
      <c r="B216" s="115" t="s">
        <v>36</v>
      </c>
      <c r="C216" s="116" t="s">
        <v>38</v>
      </c>
      <c r="D216" s="2">
        <v>48</v>
      </c>
      <c r="E216" s="52">
        <v>7.5</v>
      </c>
      <c r="F216" s="111"/>
      <c r="H216" s="2"/>
      <c r="I216" s="2">
        <v>4</v>
      </c>
      <c r="J216" s="2">
        <v>0</v>
      </c>
      <c r="K216" s="2">
        <v>0</v>
      </c>
      <c r="L216" s="2">
        <v>19.12</v>
      </c>
      <c r="M216" s="2">
        <v>21</v>
      </c>
      <c r="N216" s="380">
        <v>0.112332</v>
      </c>
      <c r="O216" s="2" t="s">
        <v>25</v>
      </c>
      <c r="P216" s="2">
        <v>50</v>
      </c>
      <c r="Q216" s="2">
        <v>0</v>
      </c>
      <c r="R216" s="8">
        <v>5.23</v>
      </c>
      <c r="S216" s="8">
        <v>251.04000000000002</v>
      </c>
      <c r="T216" s="8">
        <v>360</v>
      </c>
      <c r="U216" s="8" t="s">
        <v>725</v>
      </c>
    </row>
    <row r="217" spans="1:21" x14ac:dyDescent="0.35">
      <c r="A217" s="2">
        <v>39</v>
      </c>
      <c r="B217" s="115" t="s">
        <v>39</v>
      </c>
      <c r="C217" s="116" t="s">
        <v>40</v>
      </c>
      <c r="D217" s="2">
        <v>48</v>
      </c>
      <c r="E217" s="52">
        <v>7.5</v>
      </c>
      <c r="F217" s="111"/>
      <c r="H217" s="2"/>
      <c r="I217" s="2">
        <v>4</v>
      </c>
      <c r="J217" s="2">
        <v>0</v>
      </c>
      <c r="K217" s="2">
        <v>0</v>
      </c>
      <c r="L217" s="2">
        <v>19.12</v>
      </c>
      <c r="M217" s="2">
        <v>21</v>
      </c>
      <c r="N217" s="380">
        <v>0.112332</v>
      </c>
      <c r="O217" s="2" t="s">
        <v>25</v>
      </c>
      <c r="P217" s="2">
        <v>50</v>
      </c>
      <c r="Q217" s="2">
        <v>0</v>
      </c>
      <c r="R217" s="8">
        <v>5.23</v>
      </c>
      <c r="S217" s="8">
        <v>251.04000000000002</v>
      </c>
      <c r="T217" s="8">
        <v>360</v>
      </c>
      <c r="U217" s="8" t="s">
        <v>725</v>
      </c>
    </row>
    <row r="218" spans="1:21" x14ac:dyDescent="0.35">
      <c r="A218" s="2">
        <v>39</v>
      </c>
      <c r="B218" s="115" t="s">
        <v>41</v>
      </c>
      <c r="C218" s="116" t="s">
        <v>42</v>
      </c>
      <c r="D218" s="2">
        <v>48</v>
      </c>
      <c r="E218" s="52">
        <v>7.5</v>
      </c>
      <c r="F218" s="111"/>
      <c r="H218" s="2"/>
      <c r="I218" s="2">
        <v>4</v>
      </c>
      <c r="J218" s="2">
        <v>0</v>
      </c>
      <c r="K218" s="2">
        <v>0</v>
      </c>
      <c r="L218" s="2">
        <v>19.12</v>
      </c>
      <c r="M218" s="2">
        <v>21</v>
      </c>
      <c r="N218" s="380">
        <v>0.112332</v>
      </c>
      <c r="O218" s="2" t="s">
        <v>25</v>
      </c>
      <c r="P218" s="2">
        <v>50</v>
      </c>
      <c r="Q218" s="2">
        <v>0</v>
      </c>
      <c r="R218" s="8">
        <v>5.23</v>
      </c>
      <c r="S218" s="8">
        <v>251.04000000000002</v>
      </c>
      <c r="T218" s="8">
        <v>360</v>
      </c>
      <c r="U218" s="8" t="s">
        <v>725</v>
      </c>
    </row>
    <row r="219" spans="1:21" x14ac:dyDescent="0.35">
      <c r="A219" s="2">
        <v>39</v>
      </c>
      <c r="B219" s="115" t="s">
        <v>43</v>
      </c>
      <c r="C219" s="116" t="s">
        <v>44</v>
      </c>
      <c r="D219" s="2">
        <v>48</v>
      </c>
      <c r="E219" s="52">
        <v>7.5</v>
      </c>
      <c r="F219" s="111"/>
      <c r="H219" s="2"/>
      <c r="I219" s="2">
        <v>4</v>
      </c>
      <c r="J219" s="2">
        <v>0</v>
      </c>
      <c r="K219" s="2">
        <v>0</v>
      </c>
      <c r="L219" s="2">
        <v>19.12</v>
      </c>
      <c r="M219" s="2">
        <v>21</v>
      </c>
      <c r="N219" s="380">
        <v>0.112332</v>
      </c>
      <c r="O219" s="2" t="s">
        <v>25</v>
      </c>
      <c r="P219" s="2">
        <v>50</v>
      </c>
      <c r="Q219" s="2">
        <v>0</v>
      </c>
      <c r="R219" s="8">
        <v>5.23</v>
      </c>
      <c r="S219" s="8">
        <v>251.04000000000002</v>
      </c>
      <c r="T219" s="8">
        <v>360</v>
      </c>
      <c r="U219" s="8" t="s">
        <v>725</v>
      </c>
    </row>
    <row r="220" spans="1:21" x14ac:dyDescent="0.35">
      <c r="A220" s="2">
        <v>38</v>
      </c>
      <c r="B220" s="115" t="s">
        <v>848</v>
      </c>
      <c r="C220" s="116" t="s">
        <v>886</v>
      </c>
      <c r="D220" s="2">
        <v>30</v>
      </c>
      <c r="E220" s="52">
        <v>13.11</v>
      </c>
      <c r="F220" s="111"/>
      <c r="H220" s="2"/>
      <c r="I220" s="2" t="s">
        <v>949</v>
      </c>
      <c r="J220" s="2" t="s">
        <v>949</v>
      </c>
      <c r="K220" s="2" t="s">
        <v>949</v>
      </c>
      <c r="L220" s="2" t="s">
        <v>949</v>
      </c>
      <c r="M220" s="2" t="s">
        <v>949</v>
      </c>
      <c r="N220" s="380" t="s">
        <v>949</v>
      </c>
      <c r="O220" s="2" t="s">
        <v>959</v>
      </c>
      <c r="P220" s="2">
        <v>0</v>
      </c>
      <c r="Q220" s="2">
        <v>0</v>
      </c>
      <c r="R220" s="8" t="s">
        <v>949</v>
      </c>
      <c r="S220" s="8" t="s">
        <v>949</v>
      </c>
      <c r="T220" s="8">
        <v>393.29999999999995</v>
      </c>
      <c r="U220" s="8" t="s">
        <v>725</v>
      </c>
    </row>
    <row r="221" spans="1:21" x14ac:dyDescent="0.35">
      <c r="A221" s="2">
        <v>38</v>
      </c>
      <c r="B221" s="115" t="s">
        <v>849</v>
      </c>
      <c r="C221" s="116" t="s">
        <v>887</v>
      </c>
      <c r="D221" s="2">
        <v>30</v>
      </c>
      <c r="E221" s="52">
        <v>13.11</v>
      </c>
      <c r="F221" s="111"/>
      <c r="H221" s="2"/>
      <c r="I221" s="2" t="s">
        <v>949</v>
      </c>
      <c r="J221" s="2" t="s">
        <v>949</v>
      </c>
      <c r="K221" s="2" t="s">
        <v>949</v>
      </c>
      <c r="L221" s="2" t="s">
        <v>949</v>
      </c>
      <c r="M221" s="2" t="s">
        <v>949</v>
      </c>
      <c r="N221" s="380" t="s">
        <v>949</v>
      </c>
      <c r="O221" s="2" t="s">
        <v>959</v>
      </c>
      <c r="P221" s="2">
        <v>0</v>
      </c>
      <c r="Q221" s="2">
        <v>0</v>
      </c>
      <c r="R221" s="8" t="s">
        <v>949</v>
      </c>
      <c r="S221" s="8" t="s">
        <v>949</v>
      </c>
      <c r="T221" s="8">
        <v>393.29999999999995</v>
      </c>
      <c r="U221" s="8" t="s">
        <v>725</v>
      </c>
    </row>
    <row r="222" spans="1:21" x14ac:dyDescent="0.35">
      <c r="A222" s="2">
        <v>38</v>
      </c>
      <c r="B222" s="115" t="s">
        <v>850</v>
      </c>
      <c r="C222" s="116" t="s">
        <v>888</v>
      </c>
      <c r="D222" s="2">
        <v>30</v>
      </c>
      <c r="E222" s="52">
        <v>13.11</v>
      </c>
      <c r="F222" s="111"/>
      <c r="H222" s="2"/>
      <c r="I222" s="2" t="s">
        <v>949</v>
      </c>
      <c r="J222" s="2" t="s">
        <v>949</v>
      </c>
      <c r="K222" s="2" t="s">
        <v>949</v>
      </c>
      <c r="L222" s="2" t="s">
        <v>949</v>
      </c>
      <c r="M222" s="2" t="s">
        <v>949</v>
      </c>
      <c r="N222" s="380" t="s">
        <v>949</v>
      </c>
      <c r="O222" s="2" t="s">
        <v>959</v>
      </c>
      <c r="P222" s="2">
        <v>0</v>
      </c>
      <c r="Q222" s="2">
        <v>0</v>
      </c>
      <c r="R222" s="8" t="s">
        <v>949</v>
      </c>
      <c r="S222" s="8" t="s">
        <v>949</v>
      </c>
      <c r="T222" s="8">
        <v>393.29999999999995</v>
      </c>
      <c r="U222" s="8" t="s">
        <v>725</v>
      </c>
    </row>
    <row r="223" spans="1:21" x14ac:dyDescent="0.35">
      <c r="A223" s="2">
        <v>38</v>
      </c>
      <c r="B223" s="115" t="s">
        <v>852</v>
      </c>
      <c r="C223" s="116" t="s">
        <v>890</v>
      </c>
      <c r="D223" s="2">
        <v>30</v>
      </c>
      <c r="E223" s="52">
        <v>13.11</v>
      </c>
      <c r="F223" s="111"/>
      <c r="H223" s="2"/>
      <c r="I223" s="2" t="s">
        <v>949</v>
      </c>
      <c r="J223" s="2" t="s">
        <v>949</v>
      </c>
      <c r="K223" s="2" t="s">
        <v>949</v>
      </c>
      <c r="L223" s="2" t="s">
        <v>949</v>
      </c>
      <c r="M223" s="2" t="s">
        <v>949</v>
      </c>
      <c r="N223" s="380" t="s">
        <v>949</v>
      </c>
      <c r="O223" s="2" t="s">
        <v>959</v>
      </c>
      <c r="P223" s="2">
        <v>0</v>
      </c>
      <c r="Q223" s="2">
        <v>0</v>
      </c>
      <c r="R223" s="8" t="s">
        <v>949</v>
      </c>
      <c r="S223" s="8" t="s">
        <v>949</v>
      </c>
      <c r="T223" s="8">
        <v>393.29999999999995</v>
      </c>
      <c r="U223" s="8" t="s">
        <v>725</v>
      </c>
    </row>
    <row r="224" spans="1:21" x14ac:dyDescent="0.35">
      <c r="A224" s="2">
        <v>38</v>
      </c>
      <c r="B224" s="115" t="s">
        <v>854</v>
      </c>
      <c r="C224" s="116" t="s">
        <v>892</v>
      </c>
      <c r="D224" s="2">
        <v>30</v>
      </c>
      <c r="E224" s="52">
        <v>13.11</v>
      </c>
      <c r="F224" s="111"/>
      <c r="H224" s="2"/>
      <c r="I224" s="2" t="s">
        <v>949</v>
      </c>
      <c r="J224" s="2" t="s">
        <v>949</v>
      </c>
      <c r="K224" s="2" t="s">
        <v>949</v>
      </c>
      <c r="L224" s="2" t="s">
        <v>949</v>
      </c>
      <c r="M224" s="2" t="s">
        <v>949</v>
      </c>
      <c r="N224" s="380" t="s">
        <v>949</v>
      </c>
      <c r="O224" s="2" t="s">
        <v>959</v>
      </c>
      <c r="P224" s="2">
        <v>0</v>
      </c>
      <c r="Q224" s="2">
        <v>0</v>
      </c>
      <c r="R224" s="8" t="s">
        <v>949</v>
      </c>
      <c r="S224" s="8" t="s">
        <v>949</v>
      </c>
      <c r="T224" s="8">
        <v>393.29999999999995</v>
      </c>
      <c r="U224" s="8" t="s">
        <v>725</v>
      </c>
    </row>
    <row r="225" spans="1:21" x14ac:dyDescent="0.35">
      <c r="A225" s="2">
        <v>38</v>
      </c>
      <c r="B225" s="115" t="s">
        <v>855</v>
      </c>
      <c r="C225" s="116" t="s">
        <v>893</v>
      </c>
      <c r="D225" s="2">
        <v>30</v>
      </c>
      <c r="E225" s="52">
        <v>13.11</v>
      </c>
      <c r="F225" s="111"/>
      <c r="H225" s="2"/>
      <c r="I225" s="2" t="s">
        <v>949</v>
      </c>
      <c r="J225" s="2" t="s">
        <v>949</v>
      </c>
      <c r="K225" s="2" t="s">
        <v>949</v>
      </c>
      <c r="L225" s="2" t="s">
        <v>949</v>
      </c>
      <c r="M225" s="2" t="s">
        <v>949</v>
      </c>
      <c r="N225" s="380" t="s">
        <v>949</v>
      </c>
      <c r="O225" s="2" t="s">
        <v>959</v>
      </c>
      <c r="P225" s="2">
        <v>0</v>
      </c>
      <c r="Q225" s="2">
        <v>0</v>
      </c>
      <c r="R225" s="8" t="s">
        <v>949</v>
      </c>
      <c r="S225" s="8" t="s">
        <v>949</v>
      </c>
      <c r="T225" s="8">
        <v>393.29999999999995</v>
      </c>
      <c r="U225" s="8" t="s">
        <v>725</v>
      </c>
    </row>
    <row r="226" spans="1:21" x14ac:dyDescent="0.35">
      <c r="A226" s="2">
        <v>38</v>
      </c>
      <c r="B226" s="115" t="s">
        <v>856</v>
      </c>
      <c r="C226" s="116" t="s">
        <v>894</v>
      </c>
      <c r="D226" s="2">
        <v>30</v>
      </c>
      <c r="E226" s="52">
        <v>13.11</v>
      </c>
      <c r="F226" s="111"/>
      <c r="H226" s="2"/>
      <c r="I226" s="2" t="s">
        <v>949</v>
      </c>
      <c r="J226" s="2" t="s">
        <v>949</v>
      </c>
      <c r="K226" s="2" t="s">
        <v>949</v>
      </c>
      <c r="L226" s="2" t="s">
        <v>949</v>
      </c>
      <c r="M226" s="2" t="s">
        <v>949</v>
      </c>
      <c r="N226" s="380" t="s">
        <v>949</v>
      </c>
      <c r="O226" s="2" t="s">
        <v>959</v>
      </c>
      <c r="P226" s="2">
        <v>0</v>
      </c>
      <c r="Q226" s="2">
        <v>0</v>
      </c>
      <c r="R226" s="8" t="s">
        <v>949</v>
      </c>
      <c r="S226" s="8" t="s">
        <v>949</v>
      </c>
      <c r="T226" s="8">
        <v>393.29999999999995</v>
      </c>
      <c r="U226" s="8" t="s">
        <v>725</v>
      </c>
    </row>
    <row r="227" spans="1:21" x14ac:dyDescent="0.35">
      <c r="A227" s="2">
        <v>38</v>
      </c>
      <c r="B227" s="115" t="s">
        <v>859</v>
      </c>
      <c r="C227" s="116" t="s">
        <v>897</v>
      </c>
      <c r="D227" s="2">
        <v>30</v>
      </c>
      <c r="E227" s="52">
        <v>13.11</v>
      </c>
      <c r="F227" s="111"/>
      <c r="H227" s="2"/>
      <c r="I227" s="2" t="s">
        <v>949</v>
      </c>
      <c r="J227" s="2" t="s">
        <v>949</v>
      </c>
      <c r="K227" s="2" t="s">
        <v>949</v>
      </c>
      <c r="L227" s="2" t="s">
        <v>949</v>
      </c>
      <c r="M227" s="2" t="s">
        <v>949</v>
      </c>
      <c r="N227" s="380" t="s">
        <v>949</v>
      </c>
      <c r="O227" s="2" t="s">
        <v>959</v>
      </c>
      <c r="P227" s="2">
        <v>0</v>
      </c>
      <c r="Q227" s="2">
        <v>0</v>
      </c>
      <c r="R227" s="8" t="s">
        <v>949</v>
      </c>
      <c r="S227" s="8" t="s">
        <v>949</v>
      </c>
      <c r="T227" s="8">
        <v>393.29999999999995</v>
      </c>
      <c r="U227" s="8" t="s">
        <v>725</v>
      </c>
    </row>
    <row r="228" spans="1:21" x14ac:dyDescent="0.35">
      <c r="A228" s="2">
        <v>38</v>
      </c>
      <c r="B228" s="115" t="s">
        <v>860</v>
      </c>
      <c r="C228" s="116" t="s">
        <v>898</v>
      </c>
      <c r="D228" s="2">
        <v>30</v>
      </c>
      <c r="E228" s="52">
        <v>13.11</v>
      </c>
      <c r="F228" s="111"/>
      <c r="H228" s="2"/>
      <c r="I228" s="2" t="s">
        <v>949</v>
      </c>
      <c r="J228" s="2" t="s">
        <v>949</v>
      </c>
      <c r="K228" s="2" t="s">
        <v>949</v>
      </c>
      <c r="L228" s="2" t="s">
        <v>949</v>
      </c>
      <c r="M228" s="2" t="s">
        <v>949</v>
      </c>
      <c r="N228" s="380" t="s">
        <v>949</v>
      </c>
      <c r="O228" s="2" t="s">
        <v>959</v>
      </c>
      <c r="P228" s="2">
        <v>0</v>
      </c>
      <c r="Q228" s="2">
        <v>0</v>
      </c>
      <c r="R228" s="8" t="s">
        <v>949</v>
      </c>
      <c r="S228" s="8" t="s">
        <v>949</v>
      </c>
      <c r="T228" s="8">
        <v>393.29999999999995</v>
      </c>
      <c r="U228" s="8" t="s">
        <v>725</v>
      </c>
    </row>
    <row r="229" spans="1:21" x14ac:dyDescent="0.35">
      <c r="A229" s="2">
        <v>38</v>
      </c>
      <c r="B229" s="115" t="s">
        <v>861</v>
      </c>
      <c r="C229" s="116" t="s">
        <v>899</v>
      </c>
      <c r="D229" s="2">
        <v>30</v>
      </c>
      <c r="E229" s="52">
        <v>13.11</v>
      </c>
      <c r="F229" s="111"/>
      <c r="H229" s="2"/>
      <c r="I229" s="2" t="s">
        <v>949</v>
      </c>
      <c r="J229" s="2" t="s">
        <v>949</v>
      </c>
      <c r="K229" s="2" t="s">
        <v>949</v>
      </c>
      <c r="L229" s="2" t="s">
        <v>949</v>
      </c>
      <c r="M229" s="2" t="s">
        <v>949</v>
      </c>
      <c r="N229" s="380" t="s">
        <v>949</v>
      </c>
      <c r="O229" s="2" t="s">
        <v>959</v>
      </c>
      <c r="P229" s="2">
        <v>0</v>
      </c>
      <c r="Q229" s="2">
        <v>0</v>
      </c>
      <c r="R229" s="8" t="s">
        <v>949</v>
      </c>
      <c r="S229" s="8" t="s">
        <v>949</v>
      </c>
      <c r="T229" s="8">
        <v>393.29999999999995</v>
      </c>
      <c r="U229" s="8" t="s">
        <v>725</v>
      </c>
    </row>
    <row r="230" spans="1:21" x14ac:dyDescent="0.35">
      <c r="A230" s="2">
        <v>38</v>
      </c>
      <c r="B230" s="115" t="s">
        <v>862</v>
      </c>
      <c r="C230" s="116" t="s">
        <v>900</v>
      </c>
      <c r="D230" s="2">
        <v>30</v>
      </c>
      <c r="E230" s="52">
        <v>13.11</v>
      </c>
      <c r="F230" s="111"/>
      <c r="H230" s="2"/>
      <c r="I230" s="2" t="s">
        <v>949</v>
      </c>
      <c r="J230" s="2" t="s">
        <v>949</v>
      </c>
      <c r="K230" s="2" t="s">
        <v>949</v>
      </c>
      <c r="L230" s="2" t="s">
        <v>949</v>
      </c>
      <c r="M230" s="2" t="s">
        <v>949</v>
      </c>
      <c r="N230" s="380" t="s">
        <v>949</v>
      </c>
      <c r="O230" s="2" t="s">
        <v>959</v>
      </c>
      <c r="P230" s="2">
        <v>0</v>
      </c>
      <c r="Q230" s="2">
        <v>0</v>
      </c>
      <c r="R230" s="8" t="s">
        <v>949</v>
      </c>
      <c r="S230" s="8" t="s">
        <v>949</v>
      </c>
      <c r="T230" s="8">
        <v>393.29999999999995</v>
      </c>
      <c r="U230" s="8" t="s">
        <v>725</v>
      </c>
    </row>
    <row r="231" spans="1:21" x14ac:dyDescent="0.35">
      <c r="A231" s="2">
        <v>38</v>
      </c>
      <c r="B231" s="115" t="s">
        <v>869</v>
      </c>
      <c r="C231" s="116" t="s">
        <v>907</v>
      </c>
      <c r="D231" s="2">
        <v>30</v>
      </c>
      <c r="E231" s="52">
        <v>13.11</v>
      </c>
      <c r="F231" s="111"/>
      <c r="H231" s="2"/>
      <c r="I231" s="2" t="s">
        <v>949</v>
      </c>
      <c r="J231" s="2" t="s">
        <v>949</v>
      </c>
      <c r="K231" s="2" t="s">
        <v>949</v>
      </c>
      <c r="L231" s="2" t="s">
        <v>949</v>
      </c>
      <c r="M231" s="2" t="s">
        <v>949</v>
      </c>
      <c r="N231" s="380" t="s">
        <v>949</v>
      </c>
      <c r="O231" s="2" t="s">
        <v>959</v>
      </c>
      <c r="P231" s="2">
        <v>0</v>
      </c>
      <c r="Q231" s="2">
        <v>0</v>
      </c>
      <c r="R231" s="8" t="s">
        <v>949</v>
      </c>
      <c r="S231" s="8" t="s">
        <v>949</v>
      </c>
      <c r="T231" s="8">
        <v>393.29999999999995</v>
      </c>
      <c r="U231" s="8" t="s">
        <v>725</v>
      </c>
    </row>
    <row r="232" spans="1:21" x14ac:dyDescent="0.35">
      <c r="A232" s="2">
        <v>38</v>
      </c>
      <c r="B232" s="115" t="s">
        <v>870</v>
      </c>
      <c r="C232" s="116" t="s">
        <v>908</v>
      </c>
      <c r="D232" s="2">
        <v>30</v>
      </c>
      <c r="E232" s="52">
        <v>13.11</v>
      </c>
      <c r="F232" s="111"/>
      <c r="H232" s="2"/>
      <c r="I232" s="2" t="s">
        <v>949</v>
      </c>
      <c r="J232" s="2" t="s">
        <v>949</v>
      </c>
      <c r="K232" s="2" t="s">
        <v>949</v>
      </c>
      <c r="L232" s="2" t="s">
        <v>949</v>
      </c>
      <c r="M232" s="2" t="s">
        <v>949</v>
      </c>
      <c r="N232" s="380" t="s">
        <v>949</v>
      </c>
      <c r="O232" s="2" t="s">
        <v>959</v>
      </c>
      <c r="P232" s="2">
        <v>0</v>
      </c>
      <c r="Q232" s="2">
        <v>0</v>
      </c>
      <c r="R232" s="8" t="s">
        <v>949</v>
      </c>
      <c r="S232" s="8" t="s">
        <v>949</v>
      </c>
      <c r="T232" s="8">
        <v>393.29999999999995</v>
      </c>
      <c r="U232" s="8" t="s">
        <v>725</v>
      </c>
    </row>
    <row r="233" spans="1:21" x14ac:dyDescent="0.35">
      <c r="A233" s="2">
        <v>38</v>
      </c>
      <c r="B233" s="115" t="s">
        <v>871</v>
      </c>
      <c r="C233" s="116" t="s">
        <v>909</v>
      </c>
      <c r="D233" s="2">
        <v>30</v>
      </c>
      <c r="E233" s="52">
        <v>13.11</v>
      </c>
      <c r="F233" s="111"/>
      <c r="H233" s="2"/>
      <c r="I233" s="2" t="s">
        <v>949</v>
      </c>
      <c r="J233" s="2" t="s">
        <v>949</v>
      </c>
      <c r="K233" s="2" t="s">
        <v>949</v>
      </c>
      <c r="L233" s="2" t="s">
        <v>949</v>
      </c>
      <c r="M233" s="2" t="s">
        <v>949</v>
      </c>
      <c r="N233" s="380" t="s">
        <v>949</v>
      </c>
      <c r="O233" s="2" t="s">
        <v>959</v>
      </c>
      <c r="P233" s="2">
        <v>0</v>
      </c>
      <c r="Q233" s="2">
        <v>0</v>
      </c>
      <c r="R233" s="8" t="s">
        <v>949</v>
      </c>
      <c r="S233" s="8" t="s">
        <v>949</v>
      </c>
      <c r="T233" s="8">
        <v>393.29999999999995</v>
      </c>
      <c r="U233" s="8" t="s">
        <v>725</v>
      </c>
    </row>
    <row r="234" spans="1:21" x14ac:dyDescent="0.35">
      <c r="A234" s="2">
        <v>38</v>
      </c>
      <c r="B234" s="115" t="s">
        <v>872</v>
      </c>
      <c r="C234" s="116" t="s">
        <v>910</v>
      </c>
      <c r="D234" s="2">
        <v>30</v>
      </c>
      <c r="E234" s="52">
        <v>13.11</v>
      </c>
      <c r="F234" s="111"/>
      <c r="H234" s="2"/>
      <c r="I234" s="2" t="s">
        <v>949</v>
      </c>
      <c r="J234" s="2" t="s">
        <v>949</v>
      </c>
      <c r="K234" s="2" t="s">
        <v>949</v>
      </c>
      <c r="L234" s="2" t="s">
        <v>949</v>
      </c>
      <c r="M234" s="2" t="s">
        <v>949</v>
      </c>
      <c r="N234" s="380" t="s">
        <v>949</v>
      </c>
      <c r="O234" s="2" t="s">
        <v>959</v>
      </c>
      <c r="P234" s="2">
        <v>0</v>
      </c>
      <c r="Q234" s="2">
        <v>0</v>
      </c>
      <c r="R234" s="8" t="s">
        <v>949</v>
      </c>
      <c r="S234" s="8" t="s">
        <v>949</v>
      </c>
      <c r="T234" s="8">
        <v>393.29999999999995</v>
      </c>
      <c r="U234" s="8" t="s">
        <v>725</v>
      </c>
    </row>
    <row r="235" spans="1:21" x14ac:dyDescent="0.35">
      <c r="A235" s="2">
        <v>38</v>
      </c>
      <c r="B235" s="115" t="s">
        <v>873</v>
      </c>
      <c r="C235" s="116" t="s">
        <v>911</v>
      </c>
      <c r="D235" s="2">
        <v>30</v>
      </c>
      <c r="E235" s="52">
        <v>13.11</v>
      </c>
      <c r="F235" s="111"/>
      <c r="H235" s="2"/>
      <c r="I235" s="2" t="s">
        <v>949</v>
      </c>
      <c r="J235" s="2" t="s">
        <v>949</v>
      </c>
      <c r="K235" s="2" t="s">
        <v>949</v>
      </c>
      <c r="L235" s="2" t="s">
        <v>949</v>
      </c>
      <c r="M235" s="2" t="s">
        <v>949</v>
      </c>
      <c r="N235" s="380" t="s">
        <v>949</v>
      </c>
      <c r="O235" s="2" t="s">
        <v>959</v>
      </c>
      <c r="P235" s="2">
        <v>0</v>
      </c>
      <c r="Q235" s="2">
        <v>0</v>
      </c>
      <c r="R235" s="8" t="s">
        <v>949</v>
      </c>
      <c r="S235" s="8" t="s">
        <v>949</v>
      </c>
      <c r="T235" s="8">
        <v>393.29999999999995</v>
      </c>
      <c r="U235" s="8" t="s">
        <v>725</v>
      </c>
    </row>
    <row r="236" spans="1:21" x14ac:dyDescent="0.35">
      <c r="A236" s="2">
        <v>38</v>
      </c>
      <c r="B236" s="115" t="s">
        <v>874</v>
      </c>
      <c r="C236" s="116" t="s">
        <v>912</v>
      </c>
      <c r="D236" s="2">
        <v>30</v>
      </c>
      <c r="E236" s="52">
        <v>13.11</v>
      </c>
      <c r="F236" s="111"/>
      <c r="H236" s="2"/>
      <c r="I236" s="2" t="s">
        <v>949</v>
      </c>
      <c r="J236" s="2" t="s">
        <v>949</v>
      </c>
      <c r="K236" s="2" t="s">
        <v>949</v>
      </c>
      <c r="L236" s="2" t="s">
        <v>949</v>
      </c>
      <c r="M236" s="2" t="s">
        <v>949</v>
      </c>
      <c r="N236" s="380" t="s">
        <v>949</v>
      </c>
      <c r="O236" s="2" t="s">
        <v>959</v>
      </c>
      <c r="P236" s="2">
        <v>0</v>
      </c>
      <c r="Q236" s="2">
        <v>0</v>
      </c>
      <c r="R236" s="8" t="s">
        <v>949</v>
      </c>
      <c r="S236" s="8" t="s">
        <v>949</v>
      </c>
      <c r="T236" s="8">
        <v>393.29999999999995</v>
      </c>
      <c r="U236" s="8" t="s">
        <v>725</v>
      </c>
    </row>
    <row r="237" spans="1:21" x14ac:dyDescent="0.35">
      <c r="A237" s="2">
        <v>38</v>
      </c>
      <c r="B237" s="115" t="s">
        <v>875</v>
      </c>
      <c r="C237" s="116" t="s">
        <v>913</v>
      </c>
      <c r="D237" s="2">
        <v>30</v>
      </c>
      <c r="E237" s="52">
        <v>13.11</v>
      </c>
      <c r="F237" s="111"/>
      <c r="H237" s="2"/>
      <c r="I237" s="2" t="s">
        <v>949</v>
      </c>
      <c r="J237" s="2" t="s">
        <v>949</v>
      </c>
      <c r="K237" s="2" t="s">
        <v>949</v>
      </c>
      <c r="L237" s="2" t="s">
        <v>949</v>
      </c>
      <c r="M237" s="2" t="s">
        <v>949</v>
      </c>
      <c r="N237" s="380" t="s">
        <v>949</v>
      </c>
      <c r="O237" s="2" t="s">
        <v>959</v>
      </c>
      <c r="P237" s="2">
        <v>0</v>
      </c>
      <c r="Q237" s="2">
        <v>0</v>
      </c>
      <c r="R237" s="8" t="s">
        <v>949</v>
      </c>
      <c r="S237" s="8" t="s">
        <v>949</v>
      </c>
      <c r="T237" s="8">
        <v>393.29999999999995</v>
      </c>
      <c r="U237" s="8" t="s">
        <v>725</v>
      </c>
    </row>
    <row r="238" spans="1:21" x14ac:dyDescent="0.35">
      <c r="A238" s="2">
        <v>38</v>
      </c>
      <c r="B238" s="115" t="s">
        <v>876</v>
      </c>
      <c r="C238" s="116" t="s">
        <v>914</v>
      </c>
      <c r="D238" s="2">
        <v>30</v>
      </c>
      <c r="E238" s="52">
        <v>13.11</v>
      </c>
      <c r="F238" s="111"/>
      <c r="H238" s="2"/>
      <c r="I238" s="2" t="s">
        <v>949</v>
      </c>
      <c r="J238" s="2" t="s">
        <v>949</v>
      </c>
      <c r="K238" s="2" t="s">
        <v>949</v>
      </c>
      <c r="L238" s="2" t="s">
        <v>949</v>
      </c>
      <c r="M238" s="2" t="s">
        <v>949</v>
      </c>
      <c r="N238" s="380" t="s">
        <v>949</v>
      </c>
      <c r="O238" s="2" t="s">
        <v>959</v>
      </c>
      <c r="P238" s="2">
        <v>0</v>
      </c>
      <c r="Q238" s="2">
        <v>0</v>
      </c>
      <c r="R238" s="8" t="s">
        <v>949</v>
      </c>
      <c r="S238" s="8" t="s">
        <v>949</v>
      </c>
      <c r="T238" s="8">
        <v>393.29999999999995</v>
      </c>
      <c r="U238" s="8" t="s">
        <v>725</v>
      </c>
    </row>
    <row r="239" spans="1:21" x14ac:dyDescent="0.35">
      <c r="A239" s="2">
        <v>38</v>
      </c>
      <c r="B239" s="115" t="s">
        <v>877</v>
      </c>
      <c r="C239" s="116" t="s">
        <v>915</v>
      </c>
      <c r="D239" s="2">
        <v>30</v>
      </c>
      <c r="E239" s="52">
        <v>13.11</v>
      </c>
      <c r="F239" s="111"/>
      <c r="H239" s="2"/>
      <c r="I239" s="2" t="s">
        <v>949</v>
      </c>
      <c r="J239" s="2" t="s">
        <v>949</v>
      </c>
      <c r="K239" s="2" t="s">
        <v>949</v>
      </c>
      <c r="L239" s="2" t="s">
        <v>949</v>
      </c>
      <c r="M239" s="2" t="s">
        <v>949</v>
      </c>
      <c r="N239" s="380" t="s">
        <v>949</v>
      </c>
      <c r="O239" s="2" t="s">
        <v>959</v>
      </c>
      <c r="P239" s="2">
        <v>0</v>
      </c>
      <c r="Q239" s="2">
        <v>0</v>
      </c>
      <c r="R239" s="8" t="s">
        <v>949</v>
      </c>
      <c r="S239" s="8" t="s">
        <v>949</v>
      </c>
      <c r="T239" s="8">
        <v>393.29999999999995</v>
      </c>
      <c r="U239" s="8" t="s">
        <v>725</v>
      </c>
    </row>
    <row r="240" spans="1:21" x14ac:dyDescent="0.35">
      <c r="A240" s="2">
        <v>38</v>
      </c>
      <c r="B240" s="115" t="s">
        <v>878</v>
      </c>
      <c r="C240" s="116" t="s">
        <v>916</v>
      </c>
      <c r="D240" s="2">
        <v>30</v>
      </c>
      <c r="E240" s="52">
        <v>13.11</v>
      </c>
      <c r="F240" s="111"/>
      <c r="H240" s="2"/>
      <c r="I240" s="2" t="s">
        <v>949</v>
      </c>
      <c r="J240" s="2" t="s">
        <v>949</v>
      </c>
      <c r="K240" s="2" t="s">
        <v>949</v>
      </c>
      <c r="L240" s="2" t="s">
        <v>949</v>
      </c>
      <c r="M240" s="2" t="s">
        <v>949</v>
      </c>
      <c r="N240" s="380" t="s">
        <v>949</v>
      </c>
      <c r="O240" s="2" t="s">
        <v>959</v>
      </c>
      <c r="P240" s="2">
        <v>0</v>
      </c>
      <c r="Q240" s="2">
        <v>0</v>
      </c>
      <c r="R240" s="8" t="s">
        <v>949</v>
      </c>
      <c r="S240" s="8" t="s">
        <v>949</v>
      </c>
      <c r="T240" s="8">
        <v>393.29999999999995</v>
      </c>
      <c r="U240" s="8" t="s">
        <v>725</v>
      </c>
    </row>
    <row r="241" spans="1:21" x14ac:dyDescent="0.35">
      <c r="A241" s="2">
        <v>38</v>
      </c>
      <c r="B241" s="115" t="s">
        <v>879</v>
      </c>
      <c r="C241" s="116" t="s">
        <v>917</v>
      </c>
      <c r="D241" s="2">
        <v>30</v>
      </c>
      <c r="E241" s="52">
        <v>13.11</v>
      </c>
      <c r="F241" s="111"/>
      <c r="H241" s="2"/>
      <c r="I241" s="2" t="s">
        <v>949</v>
      </c>
      <c r="J241" s="2" t="s">
        <v>949</v>
      </c>
      <c r="K241" s="2" t="s">
        <v>949</v>
      </c>
      <c r="L241" s="2" t="s">
        <v>949</v>
      </c>
      <c r="M241" s="2" t="s">
        <v>949</v>
      </c>
      <c r="N241" s="380" t="s">
        <v>949</v>
      </c>
      <c r="O241" s="2" t="s">
        <v>959</v>
      </c>
      <c r="P241" s="2">
        <v>0</v>
      </c>
      <c r="Q241" s="2">
        <v>0</v>
      </c>
      <c r="R241" s="8" t="s">
        <v>949</v>
      </c>
      <c r="S241" s="8" t="s">
        <v>949</v>
      </c>
      <c r="T241" s="8">
        <v>393.29999999999995</v>
      </c>
      <c r="U241" s="8" t="s">
        <v>725</v>
      </c>
    </row>
    <row r="242" spans="1:21" x14ac:dyDescent="0.35">
      <c r="A242" s="2">
        <v>38</v>
      </c>
      <c r="B242" s="115" t="s">
        <v>880</v>
      </c>
      <c r="C242" s="116" t="s">
        <v>918</v>
      </c>
      <c r="D242" s="2">
        <v>30</v>
      </c>
      <c r="E242" s="52">
        <v>13.11</v>
      </c>
      <c r="F242" s="111"/>
      <c r="H242" s="2"/>
      <c r="I242" s="2" t="s">
        <v>949</v>
      </c>
      <c r="J242" s="2" t="s">
        <v>949</v>
      </c>
      <c r="K242" s="2" t="s">
        <v>949</v>
      </c>
      <c r="L242" s="2" t="s">
        <v>949</v>
      </c>
      <c r="M242" s="2" t="s">
        <v>949</v>
      </c>
      <c r="N242" s="380" t="s">
        <v>949</v>
      </c>
      <c r="O242" s="2" t="s">
        <v>959</v>
      </c>
      <c r="P242" s="2">
        <v>0</v>
      </c>
      <c r="Q242" s="2">
        <v>0</v>
      </c>
      <c r="R242" s="8" t="s">
        <v>949</v>
      </c>
      <c r="S242" s="8" t="s">
        <v>949</v>
      </c>
      <c r="T242" s="8">
        <v>393.29999999999995</v>
      </c>
      <c r="U242" s="8" t="s">
        <v>725</v>
      </c>
    </row>
    <row r="243" spans="1:21" x14ac:dyDescent="0.35">
      <c r="A243" s="2">
        <v>38</v>
      </c>
      <c r="B243" s="115" t="s">
        <v>881</v>
      </c>
      <c r="C243" s="116" t="s">
        <v>919</v>
      </c>
      <c r="D243" s="2">
        <v>30</v>
      </c>
      <c r="E243" s="52">
        <v>13.11</v>
      </c>
      <c r="F243" s="111"/>
      <c r="H243" s="2"/>
      <c r="I243" s="2" t="s">
        <v>949</v>
      </c>
      <c r="J243" s="2" t="s">
        <v>949</v>
      </c>
      <c r="K243" s="2" t="s">
        <v>949</v>
      </c>
      <c r="L243" s="2" t="s">
        <v>949</v>
      </c>
      <c r="M243" s="2" t="s">
        <v>949</v>
      </c>
      <c r="N243" s="380" t="s">
        <v>949</v>
      </c>
      <c r="O243" s="2" t="s">
        <v>959</v>
      </c>
      <c r="P243" s="2">
        <v>0</v>
      </c>
      <c r="Q243" s="2">
        <v>0</v>
      </c>
      <c r="R243" s="8" t="s">
        <v>949</v>
      </c>
      <c r="S243" s="8" t="s">
        <v>949</v>
      </c>
      <c r="T243" s="8">
        <v>393.29999999999995</v>
      </c>
      <c r="U243" s="8" t="s">
        <v>725</v>
      </c>
    </row>
    <row r="244" spans="1:21" x14ac:dyDescent="0.35">
      <c r="A244" s="2">
        <v>38</v>
      </c>
      <c r="B244" s="115" t="s">
        <v>882</v>
      </c>
      <c r="C244" s="116" t="s">
        <v>920</v>
      </c>
      <c r="D244" s="2">
        <v>30</v>
      </c>
      <c r="E244" s="52">
        <v>13.11</v>
      </c>
      <c r="F244" s="111"/>
      <c r="H244" s="2"/>
      <c r="I244" s="2" t="s">
        <v>949</v>
      </c>
      <c r="J244" s="2" t="s">
        <v>949</v>
      </c>
      <c r="K244" s="2" t="s">
        <v>949</v>
      </c>
      <c r="L244" s="2" t="s">
        <v>949</v>
      </c>
      <c r="M244" s="2" t="s">
        <v>949</v>
      </c>
      <c r="N244" s="380" t="s">
        <v>949</v>
      </c>
      <c r="O244" s="2" t="s">
        <v>959</v>
      </c>
      <c r="P244" s="2">
        <v>0</v>
      </c>
      <c r="Q244" s="2">
        <v>0</v>
      </c>
      <c r="R244" s="8" t="s">
        <v>949</v>
      </c>
      <c r="S244" s="8" t="s">
        <v>949</v>
      </c>
      <c r="T244" s="8">
        <v>393.29999999999995</v>
      </c>
      <c r="U244" s="8" t="s">
        <v>725</v>
      </c>
    </row>
    <row r="245" spans="1:21" x14ac:dyDescent="0.35">
      <c r="A245" s="2">
        <v>38</v>
      </c>
      <c r="B245" s="115" t="s">
        <v>883</v>
      </c>
      <c r="C245" s="116" t="s">
        <v>921</v>
      </c>
      <c r="D245" s="2">
        <v>30</v>
      </c>
      <c r="E245" s="52">
        <v>13.11</v>
      </c>
      <c r="F245" s="111"/>
      <c r="H245" s="2"/>
      <c r="I245" s="2" t="s">
        <v>949</v>
      </c>
      <c r="J245" s="2" t="s">
        <v>949</v>
      </c>
      <c r="K245" s="2" t="s">
        <v>949</v>
      </c>
      <c r="L245" s="2" t="s">
        <v>949</v>
      </c>
      <c r="M245" s="2" t="s">
        <v>949</v>
      </c>
      <c r="N245" s="380" t="s">
        <v>949</v>
      </c>
      <c r="O245" s="2" t="s">
        <v>959</v>
      </c>
      <c r="P245" s="2">
        <v>0</v>
      </c>
      <c r="Q245" s="2">
        <v>0</v>
      </c>
      <c r="R245" s="8" t="s">
        <v>949</v>
      </c>
      <c r="S245" s="8" t="s">
        <v>949</v>
      </c>
      <c r="T245" s="8">
        <v>393.29999999999995</v>
      </c>
      <c r="U245" s="8" t="s">
        <v>725</v>
      </c>
    </row>
    <row r="246" spans="1:21" x14ac:dyDescent="0.35">
      <c r="A246" s="2">
        <v>38</v>
      </c>
      <c r="B246" s="115" t="s">
        <v>884</v>
      </c>
      <c r="C246" s="116" t="s">
        <v>922</v>
      </c>
      <c r="D246" s="2">
        <v>330</v>
      </c>
      <c r="E246" s="52">
        <v>0</v>
      </c>
      <c r="F246" s="111"/>
      <c r="H246" s="2"/>
      <c r="I246" s="2">
        <v>4</v>
      </c>
      <c r="J246" s="2">
        <v>0</v>
      </c>
      <c r="K246" s="2" t="s">
        <v>949</v>
      </c>
      <c r="L246" s="2">
        <v>0</v>
      </c>
      <c r="M246" s="2">
        <v>0</v>
      </c>
      <c r="N246" s="380">
        <v>0</v>
      </c>
      <c r="O246" s="2" t="s">
        <v>959</v>
      </c>
      <c r="P246" s="2">
        <v>0</v>
      </c>
      <c r="Q246" s="2">
        <v>0</v>
      </c>
      <c r="R246" s="8" t="s">
        <v>949</v>
      </c>
      <c r="S246" s="8" t="s">
        <v>949</v>
      </c>
      <c r="T246" s="8">
        <v>0</v>
      </c>
      <c r="U246" s="8" t="s">
        <v>725</v>
      </c>
    </row>
    <row r="247" spans="1:21" x14ac:dyDescent="0.35">
      <c r="A247" s="2">
        <v>38</v>
      </c>
      <c r="B247" s="115" t="s">
        <v>885</v>
      </c>
      <c r="C247" s="116" t="s">
        <v>923</v>
      </c>
      <c r="D247" s="2">
        <v>450</v>
      </c>
      <c r="E247" s="52">
        <v>0</v>
      </c>
      <c r="F247" s="111"/>
      <c r="H247" s="2"/>
      <c r="I247" s="2">
        <v>5</v>
      </c>
      <c r="J247" s="2">
        <v>0</v>
      </c>
      <c r="K247" s="2" t="s">
        <v>949</v>
      </c>
      <c r="L247" s="2">
        <v>0</v>
      </c>
      <c r="M247" s="2">
        <v>0</v>
      </c>
      <c r="N247" s="380">
        <v>0</v>
      </c>
      <c r="O247" s="2" t="s">
        <v>959</v>
      </c>
      <c r="P247" s="2">
        <v>0</v>
      </c>
      <c r="Q247" s="2">
        <v>0</v>
      </c>
      <c r="R247" s="8" t="s">
        <v>949</v>
      </c>
      <c r="S247" s="8" t="s">
        <v>949</v>
      </c>
      <c r="T247" s="8">
        <v>0</v>
      </c>
      <c r="U247" s="8" t="s">
        <v>725</v>
      </c>
    </row>
    <row r="248" spans="1:21" x14ac:dyDescent="0.35">
      <c r="A248" s="2">
        <v>37</v>
      </c>
      <c r="B248" s="115" t="s">
        <v>99</v>
      </c>
      <c r="C248" s="116" t="s">
        <v>100</v>
      </c>
      <c r="D248" s="2">
        <v>700</v>
      </c>
      <c r="E248" s="52">
        <v>5.2533300000000001</v>
      </c>
      <c r="F248" s="111"/>
      <c r="H248" s="2"/>
      <c r="I248" s="2">
        <v>30</v>
      </c>
      <c r="J248" s="2">
        <v>0</v>
      </c>
      <c r="K248" s="2">
        <v>0</v>
      </c>
      <c r="L248" s="2">
        <v>219.33333333333334</v>
      </c>
      <c r="M248" s="2">
        <v>240.04166666666669</v>
      </c>
      <c r="N248" s="380">
        <v>0.65467500000000012</v>
      </c>
      <c r="O248" s="2" t="s">
        <v>1095</v>
      </c>
      <c r="P248" s="2">
        <v>100</v>
      </c>
      <c r="Q248" s="2" t="s">
        <v>63</v>
      </c>
      <c r="R248" s="8">
        <v>5</v>
      </c>
      <c r="S248" s="8">
        <v>3500</v>
      </c>
      <c r="T248" s="8">
        <v>3677.3310000000001</v>
      </c>
      <c r="U248" s="8" t="s">
        <v>725</v>
      </c>
    </row>
    <row r="249" spans="1:21" x14ac:dyDescent="0.35">
      <c r="A249" s="2">
        <v>37</v>
      </c>
      <c r="B249" s="115" t="s">
        <v>101</v>
      </c>
      <c r="C249" s="116" t="s">
        <v>102</v>
      </c>
      <c r="D249" s="2">
        <v>750</v>
      </c>
      <c r="E249" s="52">
        <v>5.2533300000000001</v>
      </c>
      <c r="F249" s="111"/>
      <c r="H249" s="2"/>
      <c r="I249" s="2">
        <v>32</v>
      </c>
      <c r="J249" s="2">
        <v>0</v>
      </c>
      <c r="K249" s="2">
        <v>0</v>
      </c>
      <c r="L249" s="2">
        <v>235</v>
      </c>
      <c r="M249" s="2">
        <v>257.1875</v>
      </c>
      <c r="N249" s="380">
        <v>0.70143750000000005</v>
      </c>
      <c r="O249" s="2" t="s">
        <v>1095</v>
      </c>
      <c r="P249" s="2">
        <v>100</v>
      </c>
      <c r="Q249" s="2" t="s">
        <v>63</v>
      </c>
      <c r="R249" s="8">
        <v>5</v>
      </c>
      <c r="S249" s="8">
        <v>3750</v>
      </c>
      <c r="T249" s="8">
        <v>3939.9974999999999</v>
      </c>
      <c r="U249" s="8" t="s">
        <v>725</v>
      </c>
    </row>
    <row r="250" spans="1:21" x14ac:dyDescent="0.35">
      <c r="A250" s="2">
        <v>37</v>
      </c>
      <c r="B250" s="115" t="s">
        <v>105</v>
      </c>
      <c r="C250" s="116" t="s">
        <v>106</v>
      </c>
      <c r="D250" s="2">
        <v>300</v>
      </c>
      <c r="E250" s="52">
        <v>5.2533300000000001</v>
      </c>
      <c r="F250" s="111"/>
      <c r="H250" s="2"/>
      <c r="I250" s="2">
        <v>13</v>
      </c>
      <c r="J250" s="2">
        <v>0</v>
      </c>
      <c r="K250" s="2">
        <v>0</v>
      </c>
      <c r="L250" s="2">
        <v>94</v>
      </c>
      <c r="M250" s="2">
        <v>102.875</v>
      </c>
      <c r="N250" s="380">
        <v>0.28057500000000002</v>
      </c>
      <c r="O250" s="2" t="s">
        <v>1095</v>
      </c>
      <c r="P250" s="2">
        <v>100</v>
      </c>
      <c r="Q250" s="2" t="s">
        <v>63</v>
      </c>
      <c r="R250" s="8">
        <v>5</v>
      </c>
      <c r="S250" s="8">
        <v>1500</v>
      </c>
      <c r="T250" s="8">
        <v>1575.999</v>
      </c>
      <c r="U250" s="8" t="s">
        <v>725</v>
      </c>
    </row>
    <row r="251" spans="1:21" x14ac:dyDescent="0.35">
      <c r="A251" s="2">
        <v>35</v>
      </c>
      <c r="B251" s="115" t="s">
        <v>99</v>
      </c>
      <c r="C251" s="116" t="s">
        <v>100</v>
      </c>
      <c r="D251" s="2">
        <v>720</v>
      </c>
      <c r="E251" s="52">
        <v>5.3403431101272822</v>
      </c>
      <c r="F251" s="111"/>
      <c r="H251" s="2">
        <v>72</v>
      </c>
      <c r="I251" s="2">
        <v>30</v>
      </c>
      <c r="J251" s="2">
        <v>0</v>
      </c>
      <c r="K251" s="2">
        <v>3</v>
      </c>
      <c r="L251" s="2">
        <v>248.16</v>
      </c>
      <c r="M251" s="2">
        <v>271.59000000000003</v>
      </c>
      <c r="N251" s="380">
        <v>0.74071799999999999</v>
      </c>
      <c r="O251" s="2" t="s">
        <v>1095</v>
      </c>
      <c r="P251" s="2">
        <v>100</v>
      </c>
      <c r="Q251" s="2" t="s">
        <v>63</v>
      </c>
      <c r="R251" s="8">
        <v>5</v>
      </c>
      <c r="S251" s="8">
        <v>3960</v>
      </c>
      <c r="T251" s="8">
        <v>3845.0470392916432</v>
      </c>
      <c r="U251" s="8" t="s">
        <v>725</v>
      </c>
    </row>
    <row r="252" spans="1:21" x14ac:dyDescent="0.35">
      <c r="A252" s="2">
        <v>35</v>
      </c>
      <c r="B252" s="115" t="s">
        <v>101</v>
      </c>
      <c r="C252" s="116" t="s">
        <v>102</v>
      </c>
      <c r="D252" s="2">
        <v>1200</v>
      </c>
      <c r="E252" s="52">
        <v>5.3403431101272822</v>
      </c>
      <c r="F252" s="111"/>
      <c r="H252" s="2">
        <v>120</v>
      </c>
      <c r="I252" s="2">
        <v>50</v>
      </c>
      <c r="J252" s="2">
        <v>0</v>
      </c>
      <c r="K252" s="2">
        <v>5</v>
      </c>
      <c r="L252" s="2">
        <v>413.59999999999997</v>
      </c>
      <c r="M252" s="2">
        <v>452.65000000000003</v>
      </c>
      <c r="N252" s="380">
        <v>1.2345299999999999</v>
      </c>
      <c r="O252" s="2" t="s">
        <v>1095</v>
      </c>
      <c r="P252" s="2">
        <v>100</v>
      </c>
      <c r="Q252" s="2" t="s">
        <v>63</v>
      </c>
      <c r="R252" s="8">
        <v>5</v>
      </c>
      <c r="S252" s="8">
        <v>6600</v>
      </c>
      <c r="T252" s="8">
        <v>6408.4117321527383</v>
      </c>
      <c r="U252" s="8" t="s">
        <v>725</v>
      </c>
    </row>
    <row r="253" spans="1:21" x14ac:dyDescent="0.35">
      <c r="A253" s="2">
        <v>35</v>
      </c>
      <c r="B253" s="115" t="s">
        <v>103</v>
      </c>
      <c r="C253" s="116" t="s">
        <v>104</v>
      </c>
      <c r="D253" s="2">
        <v>720</v>
      </c>
      <c r="E253" s="52">
        <v>5.3403431101272822</v>
      </c>
      <c r="F253" s="111"/>
      <c r="H253" s="2">
        <v>72</v>
      </c>
      <c r="I253" s="2">
        <v>30</v>
      </c>
      <c r="J253" s="2">
        <v>0</v>
      </c>
      <c r="K253" s="2">
        <v>3</v>
      </c>
      <c r="L253" s="2">
        <v>248.16</v>
      </c>
      <c r="M253" s="2">
        <v>271.59000000000003</v>
      </c>
      <c r="N253" s="380">
        <v>0.74071799999999999</v>
      </c>
      <c r="O253" s="2" t="s">
        <v>1095</v>
      </c>
      <c r="P253" s="2">
        <v>100</v>
      </c>
      <c r="Q253" s="2" t="s">
        <v>63</v>
      </c>
      <c r="R253" s="8">
        <v>5</v>
      </c>
      <c r="S253" s="8">
        <v>3960</v>
      </c>
      <c r="T253" s="8">
        <v>3845.0470392916432</v>
      </c>
      <c r="U253" s="8" t="s">
        <v>725</v>
      </c>
    </row>
    <row r="254" spans="1:21" x14ac:dyDescent="0.35">
      <c r="A254" s="2">
        <v>35</v>
      </c>
      <c r="B254" s="115" t="s">
        <v>105</v>
      </c>
      <c r="C254" s="116" t="s">
        <v>106</v>
      </c>
      <c r="D254" s="2">
        <v>1200</v>
      </c>
      <c r="E254" s="52">
        <v>5.3403431101272822</v>
      </c>
      <c r="F254" s="111"/>
      <c r="H254" s="2">
        <v>120</v>
      </c>
      <c r="I254" s="2">
        <v>50</v>
      </c>
      <c r="J254" s="2">
        <v>0</v>
      </c>
      <c r="K254" s="2">
        <v>5</v>
      </c>
      <c r="L254" s="2">
        <v>413.59999999999997</v>
      </c>
      <c r="M254" s="2">
        <v>452.65000000000003</v>
      </c>
      <c r="N254" s="380">
        <v>1.2345299999999999</v>
      </c>
      <c r="O254" s="2" t="s">
        <v>1095</v>
      </c>
      <c r="P254" s="2">
        <v>100</v>
      </c>
      <c r="Q254" s="2" t="s">
        <v>63</v>
      </c>
      <c r="R254" s="8">
        <v>5</v>
      </c>
      <c r="S254" s="8">
        <v>6600</v>
      </c>
      <c r="T254" s="8">
        <v>6408.4117321527383</v>
      </c>
      <c r="U254" s="8" t="s">
        <v>725</v>
      </c>
    </row>
    <row r="255" spans="1:21" x14ac:dyDescent="0.35">
      <c r="A255" s="2">
        <v>35</v>
      </c>
      <c r="B255" s="115" t="s">
        <v>107</v>
      </c>
      <c r="C255" s="116" t="s">
        <v>108</v>
      </c>
      <c r="D255" s="2">
        <v>600</v>
      </c>
      <c r="E255" s="52">
        <v>5.3403431101272822</v>
      </c>
      <c r="F255" s="111"/>
      <c r="H255" s="2">
        <v>60</v>
      </c>
      <c r="I255" s="2">
        <v>25</v>
      </c>
      <c r="J255" s="2">
        <v>0</v>
      </c>
      <c r="K255" s="2">
        <v>3</v>
      </c>
      <c r="L255" s="2">
        <v>188.92500000000001</v>
      </c>
      <c r="M255" s="2">
        <v>207.89999999999998</v>
      </c>
      <c r="N255" s="380">
        <v>0.69176249999999995</v>
      </c>
      <c r="O255" s="2" t="s">
        <v>1095</v>
      </c>
      <c r="P255" s="2">
        <v>100</v>
      </c>
      <c r="Q255" s="2" t="s">
        <v>63</v>
      </c>
      <c r="R255" s="8">
        <v>5</v>
      </c>
      <c r="S255" s="8">
        <v>3300</v>
      </c>
      <c r="T255" s="8">
        <v>3204.2058660763691</v>
      </c>
      <c r="U255" s="8" t="s">
        <v>725</v>
      </c>
    </row>
    <row r="256" spans="1:21" x14ac:dyDescent="0.35">
      <c r="A256" s="2">
        <v>35</v>
      </c>
      <c r="B256" s="115" t="s">
        <v>109</v>
      </c>
      <c r="C256" s="116" t="s">
        <v>110</v>
      </c>
      <c r="D256" s="2">
        <v>720</v>
      </c>
      <c r="E256" s="52">
        <v>5.3403431101272822</v>
      </c>
      <c r="F256" s="111"/>
      <c r="H256" s="2">
        <v>72</v>
      </c>
      <c r="I256" s="2">
        <v>30</v>
      </c>
      <c r="J256" s="2">
        <v>0</v>
      </c>
      <c r="K256" s="2">
        <v>3</v>
      </c>
      <c r="L256" s="2">
        <v>226.71</v>
      </c>
      <c r="M256" s="2">
        <v>249.48</v>
      </c>
      <c r="N256" s="380">
        <v>0.83011500000000005</v>
      </c>
      <c r="O256" s="2" t="s">
        <v>1095</v>
      </c>
      <c r="P256" s="2">
        <v>100</v>
      </c>
      <c r="Q256" s="2" t="s">
        <v>63</v>
      </c>
      <c r="R256" s="8">
        <v>5</v>
      </c>
      <c r="S256" s="8">
        <v>3960</v>
      </c>
      <c r="T256" s="8">
        <v>3845.0470392916432</v>
      </c>
      <c r="U256" s="8" t="s">
        <v>725</v>
      </c>
    </row>
    <row r="257" spans="1:21" x14ac:dyDescent="0.35">
      <c r="A257" s="2">
        <v>35</v>
      </c>
      <c r="B257" s="115" t="s">
        <v>111</v>
      </c>
      <c r="C257" s="116" t="s">
        <v>112</v>
      </c>
      <c r="D257" s="2">
        <v>600</v>
      </c>
      <c r="E257" s="52">
        <v>5.3403431101272822</v>
      </c>
      <c r="F257" s="111"/>
      <c r="H257" s="2">
        <v>60</v>
      </c>
      <c r="I257" s="2">
        <v>25</v>
      </c>
      <c r="J257" s="2">
        <v>0</v>
      </c>
      <c r="K257" s="2">
        <v>3</v>
      </c>
      <c r="L257" s="2">
        <v>188.92500000000001</v>
      </c>
      <c r="M257" s="2">
        <v>207.89999999999998</v>
      </c>
      <c r="N257" s="380">
        <v>0.69176249999999995</v>
      </c>
      <c r="O257" s="2" t="s">
        <v>1095</v>
      </c>
      <c r="P257" s="2">
        <v>100</v>
      </c>
      <c r="Q257" s="2" t="s">
        <v>63</v>
      </c>
      <c r="R257" s="8">
        <v>5</v>
      </c>
      <c r="S257" s="8">
        <v>3300</v>
      </c>
      <c r="T257" s="8">
        <v>3204.2058660763691</v>
      </c>
      <c r="U257" s="8" t="s">
        <v>725</v>
      </c>
    </row>
    <row r="258" spans="1:21" x14ac:dyDescent="0.35">
      <c r="A258" s="2">
        <v>35</v>
      </c>
      <c r="B258" s="115" t="s">
        <v>113</v>
      </c>
      <c r="C258" s="116" t="s">
        <v>114</v>
      </c>
      <c r="D258" s="2">
        <v>720</v>
      </c>
      <c r="E258" s="52">
        <v>5.3403431101272822</v>
      </c>
      <c r="F258" s="111"/>
      <c r="H258" s="2">
        <v>72</v>
      </c>
      <c r="I258" s="2">
        <v>30</v>
      </c>
      <c r="J258" s="2">
        <v>0</v>
      </c>
      <c r="K258" s="2">
        <v>3</v>
      </c>
      <c r="L258" s="2">
        <v>226.71</v>
      </c>
      <c r="M258" s="2">
        <v>249.48</v>
      </c>
      <c r="N258" s="380">
        <v>0.83011500000000005</v>
      </c>
      <c r="O258" s="2" t="s">
        <v>1095</v>
      </c>
      <c r="P258" s="2">
        <v>100</v>
      </c>
      <c r="Q258" s="2" t="s">
        <v>63</v>
      </c>
      <c r="R258" s="8">
        <v>5</v>
      </c>
      <c r="S258" s="8">
        <v>3960</v>
      </c>
      <c r="T258" s="8">
        <v>3845.0470392916432</v>
      </c>
      <c r="U258" s="8" t="s">
        <v>725</v>
      </c>
    </row>
    <row r="259" spans="1:21" x14ac:dyDescent="0.35">
      <c r="A259" s="2">
        <v>35</v>
      </c>
      <c r="B259" s="115" t="s">
        <v>24</v>
      </c>
      <c r="C259" s="116" t="s">
        <v>27</v>
      </c>
      <c r="D259" s="2">
        <v>1440</v>
      </c>
      <c r="E259" s="52">
        <v>5.3403431101272822</v>
      </c>
      <c r="F259" s="111"/>
      <c r="H259" s="2"/>
      <c r="I259" s="2">
        <v>120</v>
      </c>
      <c r="J259" s="2">
        <v>0</v>
      </c>
      <c r="K259" s="2">
        <v>0</v>
      </c>
      <c r="L259" s="2">
        <v>604.79999999999995</v>
      </c>
      <c r="M259" s="2">
        <v>694.8</v>
      </c>
      <c r="N259" s="380">
        <v>3.3699599999999998</v>
      </c>
      <c r="O259" s="2" t="s">
        <v>25</v>
      </c>
      <c r="P259" s="2">
        <v>50</v>
      </c>
      <c r="Q259" s="2">
        <v>0</v>
      </c>
      <c r="R259" s="8">
        <v>5.23</v>
      </c>
      <c r="S259" s="8">
        <v>7531.2000000000007</v>
      </c>
      <c r="T259" s="8">
        <v>7690.0940785832863</v>
      </c>
      <c r="U259" s="8" t="s">
        <v>725</v>
      </c>
    </row>
    <row r="260" spans="1:21" x14ac:dyDescent="0.35">
      <c r="A260" s="2">
        <v>35</v>
      </c>
      <c r="B260" s="115" t="s">
        <v>30</v>
      </c>
      <c r="C260" s="116" t="s">
        <v>31</v>
      </c>
      <c r="D260" s="2">
        <v>1440</v>
      </c>
      <c r="E260" s="52">
        <v>5.3403431101272822</v>
      </c>
      <c r="F260" s="111"/>
      <c r="H260" s="2"/>
      <c r="I260" s="2">
        <v>120</v>
      </c>
      <c r="J260" s="2">
        <v>0</v>
      </c>
      <c r="K260" s="2">
        <v>0</v>
      </c>
      <c r="L260" s="2">
        <v>604.79999999999995</v>
      </c>
      <c r="M260" s="2">
        <v>694.8</v>
      </c>
      <c r="N260" s="380">
        <v>3.3699599999999998</v>
      </c>
      <c r="O260" s="2" t="s">
        <v>25</v>
      </c>
      <c r="P260" s="2">
        <v>50</v>
      </c>
      <c r="Q260" s="2">
        <v>0</v>
      </c>
      <c r="R260" s="8">
        <v>5.23</v>
      </c>
      <c r="S260" s="8">
        <v>7531.2000000000007</v>
      </c>
      <c r="T260" s="8">
        <v>7690.0940785832863</v>
      </c>
      <c r="U260" s="8" t="s">
        <v>725</v>
      </c>
    </row>
    <row r="261" spans="1:21" x14ac:dyDescent="0.35">
      <c r="A261" s="2">
        <v>35</v>
      </c>
      <c r="B261" s="115" t="s">
        <v>32</v>
      </c>
      <c r="C261" s="116" t="s">
        <v>33</v>
      </c>
      <c r="D261" s="2">
        <v>1440</v>
      </c>
      <c r="E261" s="52">
        <v>5.3403431101272822</v>
      </c>
      <c r="F261" s="111"/>
      <c r="H261" s="2"/>
      <c r="I261" s="2">
        <v>120</v>
      </c>
      <c r="J261" s="2">
        <v>0</v>
      </c>
      <c r="K261" s="2">
        <v>0</v>
      </c>
      <c r="L261" s="2">
        <v>604.79999999999995</v>
      </c>
      <c r="M261" s="2">
        <v>694.8</v>
      </c>
      <c r="N261" s="380">
        <v>3.3699599999999998</v>
      </c>
      <c r="O261" s="2" t="s">
        <v>25</v>
      </c>
      <c r="P261" s="2">
        <v>50</v>
      </c>
      <c r="Q261" s="2">
        <v>0</v>
      </c>
      <c r="R261" s="8">
        <v>5.23</v>
      </c>
      <c r="S261" s="8">
        <v>7531.2000000000007</v>
      </c>
      <c r="T261" s="8">
        <v>7690.0940785832863</v>
      </c>
      <c r="U261" s="8" t="s">
        <v>725</v>
      </c>
    </row>
    <row r="262" spans="1:21" x14ac:dyDescent="0.35">
      <c r="A262" s="2">
        <v>35</v>
      </c>
      <c r="B262" s="115" t="s">
        <v>34</v>
      </c>
      <c r="C262" s="116" t="s">
        <v>35</v>
      </c>
      <c r="D262" s="2">
        <v>1440</v>
      </c>
      <c r="E262" s="52">
        <v>5.3403431101272822</v>
      </c>
      <c r="F262" s="111"/>
      <c r="H262" s="2"/>
      <c r="I262" s="2">
        <v>120</v>
      </c>
      <c r="J262" s="2">
        <v>0</v>
      </c>
      <c r="K262" s="2">
        <v>0</v>
      </c>
      <c r="L262" s="2">
        <v>604.79999999999995</v>
      </c>
      <c r="M262" s="2">
        <v>694.8</v>
      </c>
      <c r="N262" s="380">
        <v>3.3699599999999998</v>
      </c>
      <c r="O262" s="2" t="s">
        <v>25</v>
      </c>
      <c r="P262" s="2">
        <v>50</v>
      </c>
      <c r="Q262" s="2">
        <v>0</v>
      </c>
      <c r="R262" s="8">
        <v>5.23</v>
      </c>
      <c r="S262" s="8">
        <v>7531.2000000000007</v>
      </c>
      <c r="T262" s="8">
        <v>7690.0940785832863</v>
      </c>
      <c r="U262" s="8" t="s">
        <v>725</v>
      </c>
    </row>
    <row r="263" spans="1:21" x14ac:dyDescent="0.35">
      <c r="A263" s="2">
        <v>35</v>
      </c>
      <c r="B263" s="115" t="s">
        <v>36</v>
      </c>
      <c r="C263" s="116" t="s">
        <v>38</v>
      </c>
      <c r="D263" s="2">
        <v>1200</v>
      </c>
      <c r="E263" s="52">
        <v>5.3403431101272822</v>
      </c>
      <c r="F263" s="111"/>
      <c r="H263" s="2"/>
      <c r="I263" s="2">
        <v>100</v>
      </c>
      <c r="J263" s="2">
        <v>0</v>
      </c>
      <c r="K263" s="2">
        <v>0</v>
      </c>
      <c r="L263" s="2">
        <v>478</v>
      </c>
      <c r="M263" s="2">
        <v>525</v>
      </c>
      <c r="N263" s="380">
        <v>2.8083</v>
      </c>
      <c r="O263" s="2" t="s">
        <v>25</v>
      </c>
      <c r="P263" s="2">
        <v>50</v>
      </c>
      <c r="Q263" s="2">
        <v>0</v>
      </c>
      <c r="R263" s="8">
        <v>5.23</v>
      </c>
      <c r="S263" s="8">
        <v>6276.0000000000009</v>
      </c>
      <c r="T263" s="8">
        <v>6408.4117321527383</v>
      </c>
      <c r="U263" s="8" t="s">
        <v>725</v>
      </c>
    </row>
    <row r="264" spans="1:21" x14ac:dyDescent="0.35">
      <c r="A264" s="2">
        <v>35</v>
      </c>
      <c r="B264" s="115" t="s">
        <v>39</v>
      </c>
      <c r="C264" s="116" t="s">
        <v>40</v>
      </c>
      <c r="D264" s="2">
        <v>1200</v>
      </c>
      <c r="E264" s="52">
        <v>5.3403431101272822</v>
      </c>
      <c r="F264" s="111"/>
      <c r="H264" s="2"/>
      <c r="I264" s="2">
        <v>100</v>
      </c>
      <c r="J264" s="2">
        <v>0</v>
      </c>
      <c r="K264" s="2">
        <v>0</v>
      </c>
      <c r="L264" s="2">
        <v>478</v>
      </c>
      <c r="M264" s="2">
        <v>525</v>
      </c>
      <c r="N264" s="380">
        <v>2.8083</v>
      </c>
      <c r="O264" s="2" t="s">
        <v>25</v>
      </c>
      <c r="P264" s="2">
        <v>50</v>
      </c>
      <c r="Q264" s="2">
        <v>0</v>
      </c>
      <c r="R264" s="8">
        <v>5.23</v>
      </c>
      <c r="S264" s="8">
        <v>6276.0000000000009</v>
      </c>
      <c r="T264" s="8">
        <v>6408.4117321527383</v>
      </c>
      <c r="U264" s="8" t="s">
        <v>725</v>
      </c>
    </row>
    <row r="265" spans="1:21" x14ac:dyDescent="0.35">
      <c r="A265" s="2">
        <v>35</v>
      </c>
      <c r="B265" s="115" t="s">
        <v>41</v>
      </c>
      <c r="C265" s="116" t="s">
        <v>42</v>
      </c>
      <c r="D265" s="2">
        <v>1200</v>
      </c>
      <c r="E265" s="52">
        <v>5.3403431101272822</v>
      </c>
      <c r="F265" s="111"/>
      <c r="H265" s="2"/>
      <c r="I265" s="2">
        <v>100</v>
      </c>
      <c r="J265" s="2">
        <v>0</v>
      </c>
      <c r="K265" s="2">
        <v>0</v>
      </c>
      <c r="L265" s="2">
        <v>478</v>
      </c>
      <c r="M265" s="2">
        <v>525</v>
      </c>
      <c r="N265" s="380">
        <v>2.8083</v>
      </c>
      <c r="O265" s="2" t="s">
        <v>25</v>
      </c>
      <c r="P265" s="2">
        <v>50</v>
      </c>
      <c r="Q265" s="2">
        <v>0</v>
      </c>
      <c r="R265" s="8">
        <v>5.23</v>
      </c>
      <c r="S265" s="8">
        <v>6276.0000000000009</v>
      </c>
      <c r="T265" s="8">
        <v>6408.4117321527383</v>
      </c>
      <c r="U265" s="8" t="s">
        <v>725</v>
      </c>
    </row>
    <row r="266" spans="1:21" x14ac:dyDescent="0.35">
      <c r="A266" s="2">
        <v>35</v>
      </c>
      <c r="B266" s="115" t="s">
        <v>43</v>
      </c>
      <c r="C266" s="116" t="s">
        <v>44</v>
      </c>
      <c r="D266" s="2">
        <v>1200</v>
      </c>
      <c r="E266" s="52">
        <v>5.3403431101272822</v>
      </c>
      <c r="F266" s="111"/>
      <c r="H266" s="2"/>
      <c r="I266" s="2">
        <v>100</v>
      </c>
      <c r="J266" s="2">
        <v>0</v>
      </c>
      <c r="K266" s="2">
        <v>0</v>
      </c>
      <c r="L266" s="2">
        <v>478</v>
      </c>
      <c r="M266" s="2">
        <v>525</v>
      </c>
      <c r="N266" s="380">
        <v>2.8083</v>
      </c>
      <c r="O266" s="2" t="s">
        <v>25</v>
      </c>
      <c r="P266" s="2">
        <v>50</v>
      </c>
      <c r="Q266" s="2">
        <v>0</v>
      </c>
      <c r="R266" s="8">
        <v>5.23</v>
      </c>
      <c r="S266" s="8">
        <v>6276.0000000000009</v>
      </c>
      <c r="T266" s="8">
        <v>6408.4117321527383</v>
      </c>
      <c r="U266" s="8" t="s">
        <v>725</v>
      </c>
    </row>
    <row r="267" spans="1:21" x14ac:dyDescent="0.35">
      <c r="A267" s="2">
        <v>34</v>
      </c>
      <c r="B267" s="115" t="s">
        <v>115</v>
      </c>
      <c r="C267" s="116" t="s">
        <v>117</v>
      </c>
      <c r="D267" s="2">
        <v>600</v>
      </c>
      <c r="E267" s="52">
        <v>12.5</v>
      </c>
      <c r="F267" s="111"/>
      <c r="H267" s="2">
        <v>50</v>
      </c>
      <c r="I267" s="2">
        <v>25</v>
      </c>
      <c r="J267" s="2">
        <v>0</v>
      </c>
      <c r="K267" s="2">
        <v>3</v>
      </c>
      <c r="L267" s="2">
        <v>256.75</v>
      </c>
      <c r="M267" s="2">
        <v>268.125</v>
      </c>
      <c r="N267" s="380">
        <v>0.46847395833333333</v>
      </c>
      <c r="O267" s="2" t="s">
        <v>116</v>
      </c>
      <c r="P267" s="2">
        <v>100</v>
      </c>
      <c r="Q267" s="2" t="s">
        <v>63</v>
      </c>
      <c r="R267" s="8">
        <v>11.68</v>
      </c>
      <c r="S267" s="8">
        <v>7592</v>
      </c>
      <c r="T267" s="8">
        <v>7500</v>
      </c>
      <c r="U267" s="8" t="s">
        <v>725</v>
      </c>
    </row>
    <row r="268" spans="1:21" x14ac:dyDescent="0.35">
      <c r="A268" s="2">
        <v>34</v>
      </c>
      <c r="B268" s="115" t="s">
        <v>118</v>
      </c>
      <c r="C268" s="116" t="s">
        <v>119</v>
      </c>
      <c r="D268" s="2"/>
      <c r="E268" s="52"/>
      <c r="F268" s="111">
        <v>24</v>
      </c>
      <c r="G268" s="52">
        <v>6.25</v>
      </c>
      <c r="H268" s="2"/>
      <c r="I268" s="2">
        <v>0</v>
      </c>
      <c r="J268" s="2">
        <v>1</v>
      </c>
      <c r="K268" s="2">
        <v>0</v>
      </c>
      <c r="L268" s="2">
        <v>9.48</v>
      </c>
      <c r="M268" s="2">
        <v>9.9</v>
      </c>
      <c r="N268" s="380">
        <v>1.72975E-2</v>
      </c>
      <c r="O268" s="2" t="s">
        <v>116</v>
      </c>
      <c r="P268" s="2">
        <v>100</v>
      </c>
      <c r="Q268" s="2" t="s">
        <v>63</v>
      </c>
      <c r="R268" s="8">
        <v>11.68</v>
      </c>
      <c r="S268" s="8">
        <v>280.32</v>
      </c>
      <c r="T268" s="8">
        <v>150</v>
      </c>
      <c r="U268" s="8" t="s">
        <v>725</v>
      </c>
    </row>
    <row r="269" spans="1:21" x14ac:dyDescent="0.35">
      <c r="A269" s="2">
        <v>34</v>
      </c>
      <c r="B269" s="115" t="s">
        <v>122</v>
      </c>
      <c r="C269" s="116" t="s">
        <v>123</v>
      </c>
      <c r="D269" s="2">
        <v>300</v>
      </c>
      <c r="E269" s="52">
        <v>12.5</v>
      </c>
      <c r="F269" s="111">
        <v>24</v>
      </c>
      <c r="G269" s="52">
        <v>6.25</v>
      </c>
      <c r="H269" s="2">
        <v>25</v>
      </c>
      <c r="I269" s="2">
        <v>13</v>
      </c>
      <c r="J269" s="2">
        <v>1</v>
      </c>
      <c r="K269" s="2">
        <v>2</v>
      </c>
      <c r="L269" s="2">
        <v>137.85499999999999</v>
      </c>
      <c r="M269" s="2">
        <v>143.96250000000001</v>
      </c>
      <c r="N269" s="380">
        <v>0.25153447916666666</v>
      </c>
      <c r="O269" s="2" t="s">
        <v>116</v>
      </c>
      <c r="P269" s="2">
        <v>100</v>
      </c>
      <c r="Q269" s="2" t="s">
        <v>63</v>
      </c>
      <c r="R269" s="8">
        <v>11.68</v>
      </c>
      <c r="S269" s="8">
        <v>4076.3199999999997</v>
      </c>
      <c r="T269" s="8">
        <v>3900</v>
      </c>
      <c r="U269" s="8" t="s">
        <v>725</v>
      </c>
    </row>
    <row r="270" spans="1:21" x14ac:dyDescent="0.35">
      <c r="A270" s="2">
        <v>34</v>
      </c>
      <c r="B270" s="115" t="s">
        <v>128</v>
      </c>
      <c r="C270" s="116" t="s">
        <v>129</v>
      </c>
      <c r="D270" s="2">
        <v>24</v>
      </c>
      <c r="E270" s="52">
        <v>12.5</v>
      </c>
      <c r="F270" s="111">
        <v>12</v>
      </c>
      <c r="G270" s="52">
        <v>6.25</v>
      </c>
      <c r="H270" s="2">
        <v>2</v>
      </c>
      <c r="I270" s="2">
        <v>1</v>
      </c>
      <c r="J270" s="2">
        <v>1</v>
      </c>
      <c r="K270" s="2">
        <v>1</v>
      </c>
      <c r="L270" s="2">
        <v>14.439999999999998</v>
      </c>
      <c r="M270" s="2">
        <v>15.041666666666666</v>
      </c>
      <c r="N270" s="380">
        <v>2.77578125E-2</v>
      </c>
      <c r="O270" s="2" t="s">
        <v>116</v>
      </c>
      <c r="P270" s="2">
        <v>100</v>
      </c>
      <c r="Q270" s="2" t="s">
        <v>63</v>
      </c>
      <c r="R270" s="8">
        <v>11.68</v>
      </c>
      <c r="S270" s="8">
        <v>443.84</v>
      </c>
      <c r="T270" s="8">
        <v>375</v>
      </c>
      <c r="U270" s="8" t="s">
        <v>725</v>
      </c>
    </row>
    <row r="271" spans="1:21" x14ac:dyDescent="0.35">
      <c r="A271" s="2">
        <v>34</v>
      </c>
      <c r="B271" s="115" t="s">
        <v>130</v>
      </c>
      <c r="C271" s="116" t="s">
        <v>131</v>
      </c>
      <c r="D271" s="2">
        <v>72</v>
      </c>
      <c r="E271" s="52">
        <v>12.5</v>
      </c>
      <c r="F271" s="111"/>
      <c r="H271" s="2">
        <v>6</v>
      </c>
      <c r="I271" s="2">
        <v>3</v>
      </c>
      <c r="J271" s="2">
        <v>0</v>
      </c>
      <c r="K271" s="2">
        <v>1</v>
      </c>
      <c r="L271" s="2">
        <v>29.639999999999997</v>
      </c>
      <c r="M271" s="2">
        <v>30.875</v>
      </c>
      <c r="N271" s="380">
        <v>5.6976562500000001E-2</v>
      </c>
      <c r="O271" s="2" t="s">
        <v>116</v>
      </c>
      <c r="P271" s="2">
        <v>100</v>
      </c>
      <c r="Q271" s="2" t="s">
        <v>63</v>
      </c>
      <c r="R271" s="8">
        <v>11.68</v>
      </c>
      <c r="S271" s="8">
        <v>911.04</v>
      </c>
      <c r="T271" s="8">
        <v>900</v>
      </c>
      <c r="U271" s="8" t="s">
        <v>725</v>
      </c>
    </row>
    <row r="272" spans="1:21" x14ac:dyDescent="0.35">
      <c r="A272" s="2">
        <v>32</v>
      </c>
      <c r="B272" s="115" t="s">
        <v>99</v>
      </c>
      <c r="C272" s="116" t="s">
        <v>100</v>
      </c>
      <c r="D272" s="2"/>
      <c r="E272" s="52"/>
      <c r="F272" s="111"/>
      <c r="H272" s="2">
        <v>45</v>
      </c>
      <c r="I272" s="2">
        <v>0</v>
      </c>
      <c r="K272" s="2">
        <v>2</v>
      </c>
      <c r="L272" s="2">
        <v>14.1</v>
      </c>
      <c r="M272" s="2">
        <v>15.43125</v>
      </c>
      <c r="N272" s="380">
        <v>0</v>
      </c>
      <c r="O272" s="2" t="s">
        <v>62</v>
      </c>
      <c r="P272" s="2">
        <v>100</v>
      </c>
      <c r="Q272" s="2" t="s">
        <v>63</v>
      </c>
      <c r="R272" s="8">
        <v>13057</v>
      </c>
      <c r="S272" s="8">
        <v>5</v>
      </c>
      <c r="T272" s="8">
        <v>225</v>
      </c>
      <c r="U272" s="8" t="s">
        <v>845</v>
      </c>
    </row>
    <row r="273" spans="1:21" x14ac:dyDescent="0.35">
      <c r="A273" s="2">
        <v>32</v>
      </c>
      <c r="B273" s="115" t="s">
        <v>101</v>
      </c>
      <c r="C273" s="116" t="s">
        <v>102</v>
      </c>
      <c r="D273" s="2"/>
      <c r="E273" s="52"/>
      <c r="F273" s="111"/>
      <c r="H273" s="2">
        <v>25</v>
      </c>
      <c r="I273" s="2">
        <v>0</v>
      </c>
      <c r="K273" s="2">
        <v>2</v>
      </c>
      <c r="L273" s="2">
        <v>7.833333333333333</v>
      </c>
      <c r="M273" s="2">
        <v>8.5729166666666679</v>
      </c>
      <c r="N273" s="380">
        <v>0</v>
      </c>
      <c r="O273" s="2" t="s">
        <v>62</v>
      </c>
      <c r="P273" s="2">
        <v>100</v>
      </c>
      <c r="Q273" s="2" t="s">
        <v>63</v>
      </c>
      <c r="R273" s="8">
        <v>12936</v>
      </c>
      <c r="S273" s="8">
        <v>5</v>
      </c>
      <c r="T273" s="8">
        <v>125</v>
      </c>
      <c r="U273" s="8" t="s">
        <v>845</v>
      </c>
    </row>
    <row r="274" spans="1:21" x14ac:dyDescent="0.35">
      <c r="A274" s="2">
        <v>32</v>
      </c>
      <c r="B274" s="115" t="s">
        <v>103</v>
      </c>
      <c r="C274" s="116" t="s">
        <v>104</v>
      </c>
      <c r="D274" s="2"/>
      <c r="E274" s="52"/>
      <c r="F274" s="111"/>
      <c r="H274" s="2">
        <v>45</v>
      </c>
      <c r="I274" s="2">
        <v>0</v>
      </c>
      <c r="K274" s="2">
        <v>2</v>
      </c>
      <c r="L274" s="2">
        <v>14.1</v>
      </c>
      <c r="M274" s="2">
        <v>15.43125</v>
      </c>
      <c r="N274" s="380">
        <v>0</v>
      </c>
      <c r="O274" s="2" t="s">
        <v>62</v>
      </c>
      <c r="P274" s="2">
        <v>100</v>
      </c>
      <c r="Q274" s="2" t="s">
        <v>63</v>
      </c>
      <c r="R274" s="8">
        <v>12592</v>
      </c>
      <c r="S274" s="8">
        <v>5</v>
      </c>
      <c r="T274" s="8">
        <v>225</v>
      </c>
      <c r="U274" s="8" t="s">
        <v>845</v>
      </c>
    </row>
    <row r="275" spans="1:21" x14ac:dyDescent="0.35">
      <c r="A275" s="2">
        <v>32</v>
      </c>
      <c r="B275" s="115" t="s">
        <v>105</v>
      </c>
      <c r="C275" s="116" t="s">
        <v>106</v>
      </c>
      <c r="D275" s="2"/>
      <c r="E275" s="52"/>
      <c r="F275" s="111"/>
      <c r="H275" s="2">
        <v>25</v>
      </c>
      <c r="I275" s="2">
        <v>0</v>
      </c>
      <c r="K275" s="2">
        <v>2</v>
      </c>
      <c r="L275" s="2">
        <v>7.833333333333333</v>
      </c>
      <c r="M275" s="2">
        <v>8.5729166666666679</v>
      </c>
      <c r="N275" s="380">
        <v>0</v>
      </c>
      <c r="O275" s="2" t="s">
        <v>62</v>
      </c>
      <c r="P275" s="2">
        <v>100</v>
      </c>
      <c r="Q275" s="2" t="s">
        <v>63</v>
      </c>
      <c r="R275" s="8">
        <v>9822</v>
      </c>
      <c r="S275" s="8">
        <v>5</v>
      </c>
      <c r="T275" s="8">
        <v>125</v>
      </c>
      <c r="U275" s="8" t="s">
        <v>845</v>
      </c>
    </row>
    <row r="276" spans="1:21" x14ac:dyDescent="0.35">
      <c r="A276" s="2">
        <v>32</v>
      </c>
      <c r="B276" s="115" t="s">
        <v>107</v>
      </c>
      <c r="C276" s="116" t="s">
        <v>108</v>
      </c>
      <c r="D276" s="2"/>
      <c r="E276" s="52"/>
      <c r="F276" s="111"/>
      <c r="H276" s="2">
        <v>25</v>
      </c>
      <c r="I276" s="2">
        <v>0</v>
      </c>
      <c r="K276" s="2">
        <v>2</v>
      </c>
      <c r="L276" s="2">
        <v>7.1562500000000009</v>
      </c>
      <c r="M276" s="2">
        <v>7.875</v>
      </c>
      <c r="N276" s="380">
        <v>0</v>
      </c>
      <c r="O276" s="2" t="s">
        <v>62</v>
      </c>
      <c r="P276" s="2">
        <v>100</v>
      </c>
      <c r="Q276" s="2" t="s">
        <v>63</v>
      </c>
      <c r="R276" s="8">
        <v>9142</v>
      </c>
      <c r="S276" s="8">
        <v>5</v>
      </c>
      <c r="T276" s="8">
        <v>125</v>
      </c>
      <c r="U276" s="8" t="s">
        <v>845</v>
      </c>
    </row>
    <row r="277" spans="1:21" x14ac:dyDescent="0.35">
      <c r="A277" s="2">
        <v>32</v>
      </c>
      <c r="B277" s="115" t="s">
        <v>109</v>
      </c>
      <c r="C277" s="116" t="s">
        <v>110</v>
      </c>
      <c r="D277" s="2"/>
      <c r="E277" s="52"/>
      <c r="F277" s="111"/>
      <c r="H277" s="2">
        <v>45</v>
      </c>
      <c r="I277" s="2">
        <v>0</v>
      </c>
      <c r="K277" s="2">
        <v>2</v>
      </c>
      <c r="L277" s="2">
        <v>12.88125</v>
      </c>
      <c r="M277" s="2">
        <v>14.174999999999999</v>
      </c>
      <c r="N277" s="380">
        <v>0</v>
      </c>
      <c r="O277" s="2" t="s">
        <v>62</v>
      </c>
      <c r="P277" s="2">
        <v>100</v>
      </c>
      <c r="Q277" s="2" t="s">
        <v>63</v>
      </c>
      <c r="R277" s="8">
        <v>8908</v>
      </c>
      <c r="S277" s="8">
        <v>5</v>
      </c>
      <c r="T277" s="8">
        <v>225</v>
      </c>
      <c r="U277" s="8" t="s">
        <v>845</v>
      </c>
    </row>
    <row r="278" spans="1:21" x14ac:dyDescent="0.35">
      <c r="A278" s="2">
        <v>32</v>
      </c>
      <c r="B278" s="115" t="s">
        <v>111</v>
      </c>
      <c r="C278" s="116" t="s">
        <v>112</v>
      </c>
      <c r="D278" s="2"/>
      <c r="E278" s="52"/>
      <c r="F278" s="111"/>
      <c r="H278" s="2">
        <v>25</v>
      </c>
      <c r="I278" s="2">
        <v>0</v>
      </c>
      <c r="K278" s="2">
        <v>2</v>
      </c>
      <c r="L278" s="2">
        <v>7.1562500000000009</v>
      </c>
      <c r="M278" s="2">
        <v>7.875</v>
      </c>
      <c r="N278" s="380">
        <v>0</v>
      </c>
      <c r="O278" s="2" t="s">
        <v>62</v>
      </c>
      <c r="P278" s="2">
        <v>100</v>
      </c>
      <c r="Q278" s="2" t="s">
        <v>63</v>
      </c>
      <c r="R278" s="8">
        <v>6410</v>
      </c>
      <c r="S278" s="8">
        <v>5</v>
      </c>
      <c r="T278" s="8">
        <v>125</v>
      </c>
      <c r="U278" s="8" t="s">
        <v>845</v>
      </c>
    </row>
    <row r="279" spans="1:21" x14ac:dyDescent="0.35">
      <c r="A279" s="2">
        <v>32</v>
      </c>
      <c r="B279" s="115" t="s">
        <v>113</v>
      </c>
      <c r="C279" s="116" t="s">
        <v>114</v>
      </c>
      <c r="D279" s="2"/>
      <c r="E279" s="52"/>
      <c r="F279" s="111"/>
      <c r="H279" s="2">
        <v>45</v>
      </c>
      <c r="I279" s="2">
        <v>0</v>
      </c>
      <c r="K279" s="2">
        <v>2</v>
      </c>
      <c r="L279" s="2">
        <v>12.88125</v>
      </c>
      <c r="M279" s="2">
        <v>14.174999999999999</v>
      </c>
      <c r="N279" s="380">
        <v>0</v>
      </c>
      <c r="O279" s="2" t="s">
        <v>62</v>
      </c>
      <c r="P279" s="2">
        <v>100</v>
      </c>
      <c r="Q279" s="2" t="s">
        <v>63</v>
      </c>
      <c r="R279" s="8">
        <v>6478</v>
      </c>
      <c r="S279" s="8">
        <v>5</v>
      </c>
      <c r="T279" s="8">
        <v>225</v>
      </c>
      <c r="U279" s="8" t="s">
        <v>845</v>
      </c>
    </row>
    <row r="280" spans="1:21" x14ac:dyDescent="0.35">
      <c r="A280" s="2">
        <v>32</v>
      </c>
      <c r="B280" s="115" t="s">
        <v>80</v>
      </c>
      <c r="C280" s="116" t="s">
        <v>81</v>
      </c>
      <c r="D280" s="2"/>
      <c r="E280" s="52"/>
      <c r="F280" s="111"/>
      <c r="H280" s="2">
        <v>6</v>
      </c>
      <c r="I280" s="2">
        <v>0</v>
      </c>
      <c r="K280" s="2">
        <v>1</v>
      </c>
      <c r="L280" s="2">
        <v>2.9249999999999998</v>
      </c>
      <c r="M280" s="2">
        <v>3.3</v>
      </c>
      <c r="N280" s="380">
        <v>0</v>
      </c>
      <c r="O280" s="2" t="s">
        <v>25</v>
      </c>
      <c r="P280" s="2">
        <v>100</v>
      </c>
      <c r="Q280" s="2">
        <v>0</v>
      </c>
      <c r="R280" s="8">
        <v>100</v>
      </c>
      <c r="S280" s="8">
        <v>0</v>
      </c>
      <c r="T280" s="8">
        <v>0</v>
      </c>
      <c r="U280" s="8" t="s">
        <v>845</v>
      </c>
    </row>
    <row r="281" spans="1:21" x14ac:dyDescent="0.35">
      <c r="A281" s="2">
        <v>32</v>
      </c>
      <c r="B281" s="115" t="s">
        <v>82</v>
      </c>
      <c r="C281" s="116" t="s">
        <v>83</v>
      </c>
      <c r="D281" s="2"/>
      <c r="E281" s="52"/>
      <c r="F281" s="111"/>
      <c r="H281" s="2">
        <v>6</v>
      </c>
      <c r="I281" s="2">
        <v>0</v>
      </c>
      <c r="K281" s="2">
        <v>1</v>
      </c>
      <c r="L281" s="2">
        <v>2.9249999999999998</v>
      </c>
      <c r="M281" s="2">
        <v>3.3</v>
      </c>
      <c r="N281" s="380">
        <v>0</v>
      </c>
      <c r="O281" s="2" t="s">
        <v>25</v>
      </c>
      <c r="P281" s="2">
        <v>100</v>
      </c>
      <c r="Q281" s="2">
        <v>0</v>
      </c>
      <c r="R281" s="8">
        <v>250</v>
      </c>
      <c r="S281" s="8">
        <v>0</v>
      </c>
      <c r="T281" s="8">
        <v>0</v>
      </c>
      <c r="U281" s="8" t="s">
        <v>845</v>
      </c>
    </row>
    <row r="282" spans="1:21" x14ac:dyDescent="0.35">
      <c r="A282" s="2">
        <v>32</v>
      </c>
      <c r="B282" s="115" t="s">
        <v>84</v>
      </c>
      <c r="C282" s="116" t="s">
        <v>85</v>
      </c>
      <c r="D282" s="2"/>
      <c r="E282" s="52"/>
      <c r="F282" s="111"/>
      <c r="H282" s="2">
        <v>6</v>
      </c>
      <c r="I282" s="2">
        <v>0</v>
      </c>
      <c r="K282" s="2">
        <v>1</v>
      </c>
      <c r="L282" s="2">
        <v>2.9249999999999998</v>
      </c>
      <c r="M282" s="2">
        <v>3.3</v>
      </c>
      <c r="N282" s="380">
        <v>0</v>
      </c>
      <c r="O282" s="2" t="s">
        <v>25</v>
      </c>
      <c r="P282" s="2">
        <v>100</v>
      </c>
      <c r="Q282" s="2">
        <v>0</v>
      </c>
      <c r="R282" s="8">
        <v>60</v>
      </c>
      <c r="S282" s="8">
        <v>0</v>
      </c>
      <c r="T282" s="8">
        <v>0</v>
      </c>
      <c r="U282" s="8" t="s">
        <v>845</v>
      </c>
    </row>
    <row r="283" spans="1:21" x14ac:dyDescent="0.35">
      <c r="A283" s="2">
        <v>32</v>
      </c>
      <c r="B283" s="115" t="s">
        <v>86</v>
      </c>
      <c r="C283" s="116" t="s">
        <v>87</v>
      </c>
      <c r="D283" s="2"/>
      <c r="E283" s="52"/>
      <c r="F283" s="111"/>
      <c r="H283" s="2">
        <v>6</v>
      </c>
      <c r="I283" s="2">
        <v>0</v>
      </c>
      <c r="K283" s="2">
        <v>1</v>
      </c>
      <c r="L283" s="2">
        <v>2.9249999999999998</v>
      </c>
      <c r="M283" s="2">
        <v>3.3</v>
      </c>
      <c r="N283" s="380">
        <v>0</v>
      </c>
      <c r="O283" s="2" t="s">
        <v>25</v>
      </c>
      <c r="P283" s="2">
        <v>100</v>
      </c>
      <c r="Q283" s="2">
        <v>0</v>
      </c>
      <c r="R283" s="8">
        <v>250</v>
      </c>
      <c r="S283" s="8">
        <v>0</v>
      </c>
      <c r="T283" s="8">
        <v>0</v>
      </c>
      <c r="U283" s="8" t="s">
        <v>845</v>
      </c>
    </row>
    <row r="284" spans="1:21" x14ac:dyDescent="0.35">
      <c r="A284" s="2">
        <v>32</v>
      </c>
      <c r="B284" s="115" t="s">
        <v>24</v>
      </c>
      <c r="C284" s="116" t="s">
        <v>27</v>
      </c>
      <c r="D284" s="2"/>
      <c r="E284" s="52"/>
      <c r="F284" s="111"/>
      <c r="H284" s="2">
        <v>6</v>
      </c>
      <c r="I284" s="2">
        <v>0</v>
      </c>
      <c r="K284" s="2">
        <v>1</v>
      </c>
      <c r="L284" s="2">
        <v>2.52</v>
      </c>
      <c r="M284" s="2">
        <v>2.895</v>
      </c>
      <c r="N284" s="380">
        <v>0</v>
      </c>
      <c r="O284" s="2" t="s">
        <v>25</v>
      </c>
      <c r="P284" s="2">
        <v>50</v>
      </c>
      <c r="Q284" s="2">
        <v>0</v>
      </c>
      <c r="R284" s="8">
        <v>398</v>
      </c>
      <c r="S284" s="8">
        <v>5.23</v>
      </c>
      <c r="T284" s="8">
        <v>31.380000000000003</v>
      </c>
      <c r="U284" s="8" t="s">
        <v>845</v>
      </c>
    </row>
    <row r="285" spans="1:21" x14ac:dyDescent="0.35">
      <c r="A285" s="2">
        <v>32</v>
      </c>
      <c r="B285" s="115" t="s">
        <v>30</v>
      </c>
      <c r="C285" s="116" t="s">
        <v>31</v>
      </c>
      <c r="D285" s="2"/>
      <c r="E285" s="52"/>
      <c r="F285" s="111"/>
      <c r="H285" s="2">
        <v>6</v>
      </c>
      <c r="I285" s="2">
        <v>0</v>
      </c>
      <c r="K285" s="2">
        <v>1</v>
      </c>
      <c r="L285" s="2">
        <v>2.52</v>
      </c>
      <c r="M285" s="2">
        <v>2.895</v>
      </c>
      <c r="N285" s="380">
        <v>0</v>
      </c>
      <c r="O285" s="2" t="s">
        <v>25</v>
      </c>
      <c r="P285" s="2">
        <v>50</v>
      </c>
      <c r="Q285" s="2">
        <v>0</v>
      </c>
      <c r="R285" s="8">
        <v>243</v>
      </c>
      <c r="S285" s="8">
        <v>5.23</v>
      </c>
      <c r="T285" s="8">
        <v>31.380000000000003</v>
      </c>
      <c r="U285" s="8" t="s">
        <v>845</v>
      </c>
    </row>
    <row r="286" spans="1:21" x14ac:dyDescent="0.35">
      <c r="A286" s="2">
        <v>32</v>
      </c>
      <c r="B286" s="115" t="s">
        <v>32</v>
      </c>
      <c r="C286" s="116" t="s">
        <v>33</v>
      </c>
      <c r="D286" s="2"/>
      <c r="E286" s="52"/>
      <c r="F286" s="111"/>
      <c r="H286" s="2">
        <v>6</v>
      </c>
      <c r="I286" s="2">
        <v>0</v>
      </c>
      <c r="K286" s="2">
        <v>1</v>
      </c>
      <c r="L286" s="2">
        <v>2.52</v>
      </c>
      <c r="M286" s="2">
        <v>2.895</v>
      </c>
      <c r="N286" s="380">
        <v>0</v>
      </c>
      <c r="O286" s="2" t="s">
        <v>25</v>
      </c>
      <c r="P286" s="2">
        <v>50</v>
      </c>
      <c r="Q286" s="2">
        <v>0</v>
      </c>
      <c r="R286" s="8">
        <v>437</v>
      </c>
      <c r="S286" s="8">
        <v>5.23</v>
      </c>
      <c r="T286" s="8">
        <v>31.380000000000003</v>
      </c>
      <c r="U286" s="8" t="s">
        <v>845</v>
      </c>
    </row>
    <row r="287" spans="1:21" x14ac:dyDescent="0.35">
      <c r="A287" s="2">
        <v>32</v>
      </c>
      <c r="B287" s="115" t="s">
        <v>34</v>
      </c>
      <c r="C287" s="116" t="s">
        <v>35</v>
      </c>
      <c r="D287" s="2"/>
      <c r="E287" s="52"/>
      <c r="F287" s="111"/>
      <c r="H287" s="2">
        <v>6</v>
      </c>
      <c r="I287" s="2">
        <v>0</v>
      </c>
      <c r="K287" s="2">
        <v>1</v>
      </c>
      <c r="L287" s="2">
        <v>2.52</v>
      </c>
      <c r="M287" s="2">
        <v>2.895</v>
      </c>
      <c r="N287" s="380">
        <v>0</v>
      </c>
      <c r="O287" s="2" t="s">
        <v>25</v>
      </c>
      <c r="P287" s="2">
        <v>50</v>
      </c>
      <c r="Q287" s="2">
        <v>0</v>
      </c>
      <c r="R287" s="8">
        <v>437</v>
      </c>
      <c r="S287" s="8">
        <v>5.23</v>
      </c>
      <c r="T287" s="8">
        <v>31.380000000000003</v>
      </c>
      <c r="U287" s="8" t="s">
        <v>845</v>
      </c>
    </row>
    <row r="288" spans="1:21" x14ac:dyDescent="0.35">
      <c r="A288" s="2">
        <v>32</v>
      </c>
      <c r="B288" s="115" t="s">
        <v>36</v>
      </c>
      <c r="C288" s="116" t="s">
        <v>38</v>
      </c>
      <c r="D288" s="2"/>
      <c r="E288" s="52"/>
      <c r="F288" s="111"/>
      <c r="H288" s="2">
        <v>6</v>
      </c>
      <c r="I288" s="2">
        <v>0</v>
      </c>
      <c r="K288" s="2">
        <v>1</v>
      </c>
      <c r="L288" s="2">
        <v>2.39</v>
      </c>
      <c r="M288" s="2">
        <v>2.625</v>
      </c>
      <c r="N288" s="380">
        <v>0</v>
      </c>
      <c r="O288" s="2" t="s">
        <v>25</v>
      </c>
      <c r="P288" s="2">
        <v>50</v>
      </c>
      <c r="Q288" s="2">
        <v>0</v>
      </c>
      <c r="R288" s="8">
        <v>471</v>
      </c>
      <c r="S288" s="8">
        <v>5.23</v>
      </c>
      <c r="T288" s="8">
        <v>31.380000000000003</v>
      </c>
      <c r="U288" s="8" t="s">
        <v>845</v>
      </c>
    </row>
    <row r="289" spans="1:21" x14ac:dyDescent="0.35">
      <c r="A289" s="2">
        <v>32</v>
      </c>
      <c r="B289" s="115" t="s">
        <v>39</v>
      </c>
      <c r="C289" s="116" t="s">
        <v>40</v>
      </c>
      <c r="D289" s="2"/>
      <c r="E289" s="52"/>
      <c r="F289" s="111"/>
      <c r="H289" s="2">
        <v>6</v>
      </c>
      <c r="I289" s="2">
        <v>0</v>
      </c>
      <c r="K289" s="2">
        <v>1</v>
      </c>
      <c r="L289" s="2">
        <v>2.39</v>
      </c>
      <c r="M289" s="2">
        <v>2.625</v>
      </c>
      <c r="N289" s="380">
        <v>0</v>
      </c>
      <c r="O289" s="2" t="s">
        <v>25</v>
      </c>
      <c r="P289" s="2">
        <v>50</v>
      </c>
      <c r="Q289" s="2">
        <v>0</v>
      </c>
      <c r="R289" s="8">
        <v>303</v>
      </c>
      <c r="S289" s="8">
        <v>5.23</v>
      </c>
      <c r="T289" s="8">
        <v>31.380000000000003</v>
      </c>
      <c r="U289" s="8" t="s">
        <v>845</v>
      </c>
    </row>
    <row r="290" spans="1:21" x14ac:dyDescent="0.35">
      <c r="A290" s="2">
        <v>32</v>
      </c>
      <c r="B290" s="115" t="s">
        <v>41</v>
      </c>
      <c r="C290" s="116" t="s">
        <v>42</v>
      </c>
      <c r="D290" s="2"/>
      <c r="E290" s="52"/>
      <c r="F290" s="111"/>
      <c r="H290" s="2">
        <v>6</v>
      </c>
      <c r="I290" s="2">
        <v>0</v>
      </c>
      <c r="K290" s="2">
        <v>1</v>
      </c>
      <c r="L290" s="2">
        <v>2.39</v>
      </c>
      <c r="M290" s="2">
        <v>2.625</v>
      </c>
      <c r="N290" s="380">
        <v>0</v>
      </c>
      <c r="O290" s="2" t="s">
        <v>25</v>
      </c>
      <c r="P290" s="2">
        <v>50</v>
      </c>
      <c r="Q290" s="2">
        <v>0</v>
      </c>
      <c r="R290" s="8">
        <v>497</v>
      </c>
      <c r="S290" s="8">
        <v>5.23</v>
      </c>
      <c r="T290" s="8">
        <v>31.380000000000003</v>
      </c>
      <c r="U290" s="8" t="s">
        <v>845</v>
      </c>
    </row>
    <row r="291" spans="1:21" x14ac:dyDescent="0.35">
      <c r="A291" s="2">
        <v>32</v>
      </c>
      <c r="B291" s="115" t="s">
        <v>43</v>
      </c>
      <c r="C291" s="116" t="s">
        <v>44</v>
      </c>
      <c r="D291" s="2"/>
      <c r="E291" s="52"/>
      <c r="F291" s="111"/>
      <c r="H291" s="2">
        <v>6</v>
      </c>
      <c r="I291" s="2">
        <v>0</v>
      </c>
      <c r="K291" s="2">
        <v>1</v>
      </c>
      <c r="L291" s="2">
        <v>2.39</v>
      </c>
      <c r="M291" s="2">
        <v>2.625</v>
      </c>
      <c r="N291" s="380">
        <v>0</v>
      </c>
      <c r="O291" s="2" t="s">
        <v>25</v>
      </c>
      <c r="P291" s="2">
        <v>50</v>
      </c>
      <c r="Q291" s="2">
        <v>0</v>
      </c>
      <c r="R291" s="8">
        <v>520</v>
      </c>
      <c r="S291" s="8">
        <v>5.23</v>
      </c>
      <c r="T291" s="8">
        <v>31.380000000000003</v>
      </c>
      <c r="U291" s="8" t="s">
        <v>845</v>
      </c>
    </row>
    <row r="292" spans="1:21" x14ac:dyDescent="0.35">
      <c r="A292" s="2">
        <v>32</v>
      </c>
      <c r="B292" s="115" t="s">
        <v>88</v>
      </c>
      <c r="C292" s="116" t="s">
        <v>89</v>
      </c>
      <c r="D292" s="2"/>
      <c r="E292" s="52"/>
      <c r="F292" s="111"/>
      <c r="H292" s="2">
        <v>6</v>
      </c>
      <c r="I292" s="2">
        <v>0</v>
      </c>
      <c r="K292" s="2">
        <v>1</v>
      </c>
      <c r="L292" s="2">
        <v>2.625</v>
      </c>
      <c r="M292" s="2">
        <v>3</v>
      </c>
      <c r="N292" s="380">
        <v>0</v>
      </c>
      <c r="O292" s="2" t="s">
        <v>25</v>
      </c>
      <c r="P292" s="2">
        <v>100</v>
      </c>
      <c r="Q292" s="2">
        <v>0</v>
      </c>
      <c r="R292" s="8">
        <v>40</v>
      </c>
      <c r="S292" s="8">
        <v>0</v>
      </c>
      <c r="T292" s="8">
        <v>0</v>
      </c>
      <c r="U292" s="8" t="s">
        <v>845</v>
      </c>
    </row>
    <row r="293" spans="1:21" x14ac:dyDescent="0.35">
      <c r="A293" s="2">
        <v>32</v>
      </c>
      <c r="B293" s="115" t="s">
        <v>90</v>
      </c>
      <c r="C293" s="116" t="s">
        <v>91</v>
      </c>
      <c r="D293" s="2"/>
      <c r="E293" s="52"/>
      <c r="F293" s="111"/>
      <c r="H293" s="2">
        <v>6</v>
      </c>
      <c r="I293" s="2">
        <v>0</v>
      </c>
      <c r="K293" s="2">
        <v>1</v>
      </c>
      <c r="L293" s="2">
        <v>2.625</v>
      </c>
      <c r="M293" s="2">
        <v>3</v>
      </c>
      <c r="N293" s="380">
        <v>0</v>
      </c>
      <c r="O293" s="2" t="s">
        <v>25</v>
      </c>
      <c r="P293" s="2">
        <v>100</v>
      </c>
      <c r="Q293" s="2">
        <v>0</v>
      </c>
      <c r="R293" s="8">
        <v>0</v>
      </c>
      <c r="S293" s="8">
        <v>0</v>
      </c>
      <c r="T293" s="8">
        <v>0</v>
      </c>
      <c r="U293" s="8" t="s">
        <v>845</v>
      </c>
    </row>
    <row r="294" spans="1:21" x14ac:dyDescent="0.35">
      <c r="A294" s="2">
        <v>32</v>
      </c>
      <c r="B294" s="115" t="s">
        <v>92</v>
      </c>
      <c r="C294" s="116" t="s">
        <v>93</v>
      </c>
      <c r="D294" s="2"/>
      <c r="E294" s="52"/>
      <c r="F294" s="111"/>
      <c r="H294" s="2">
        <v>6</v>
      </c>
      <c r="I294" s="2">
        <v>0</v>
      </c>
      <c r="K294" s="2">
        <v>1</v>
      </c>
      <c r="L294" s="2">
        <v>2.625</v>
      </c>
      <c r="M294" s="2">
        <v>3</v>
      </c>
      <c r="N294" s="380">
        <v>0</v>
      </c>
      <c r="O294" s="2" t="s">
        <v>25</v>
      </c>
      <c r="P294" s="2">
        <v>100</v>
      </c>
      <c r="Q294" s="2">
        <v>0</v>
      </c>
      <c r="R294" s="8">
        <v>0</v>
      </c>
      <c r="S294" s="8">
        <v>0</v>
      </c>
      <c r="T294" s="8">
        <v>0</v>
      </c>
      <c r="U294" s="8" t="s">
        <v>845</v>
      </c>
    </row>
    <row r="295" spans="1:21" x14ac:dyDescent="0.35">
      <c r="A295" s="2">
        <v>32</v>
      </c>
      <c r="B295" s="115" t="s">
        <v>94</v>
      </c>
      <c r="C295" s="116" t="s">
        <v>95</v>
      </c>
      <c r="D295" s="2"/>
      <c r="E295" s="52"/>
      <c r="F295" s="111"/>
      <c r="H295" s="2">
        <v>6</v>
      </c>
      <c r="I295" s="2">
        <v>0</v>
      </c>
      <c r="K295" s="2">
        <v>1</v>
      </c>
      <c r="L295" s="2">
        <v>2.625</v>
      </c>
      <c r="M295" s="2">
        <v>3</v>
      </c>
      <c r="N295" s="380">
        <v>0</v>
      </c>
      <c r="O295" s="2" t="s">
        <v>25</v>
      </c>
      <c r="P295" s="2">
        <v>100</v>
      </c>
      <c r="Q295" s="2">
        <v>0</v>
      </c>
      <c r="R295" s="8">
        <v>0</v>
      </c>
      <c r="S295" s="8">
        <v>0</v>
      </c>
      <c r="T295" s="8">
        <v>0</v>
      </c>
      <c r="U295" s="8" t="s">
        <v>845</v>
      </c>
    </row>
    <row r="296" spans="1:21" x14ac:dyDescent="0.35">
      <c r="A296" s="2">
        <v>32</v>
      </c>
      <c r="B296" s="115" t="s">
        <v>176</v>
      </c>
      <c r="C296" s="116" t="s">
        <v>179</v>
      </c>
      <c r="D296" s="2"/>
      <c r="E296" s="52"/>
      <c r="F296" s="111"/>
      <c r="H296" s="2">
        <v>31</v>
      </c>
      <c r="I296" s="2">
        <v>0</v>
      </c>
      <c r="K296" s="2">
        <v>2</v>
      </c>
      <c r="L296" s="2">
        <v>8.2020833333333325</v>
      </c>
      <c r="M296" s="2">
        <v>9.0416666666666679</v>
      </c>
      <c r="N296" s="380">
        <v>0</v>
      </c>
      <c r="O296" s="2" t="s">
        <v>177</v>
      </c>
      <c r="P296" s="2">
        <v>200</v>
      </c>
      <c r="Q296" s="2" t="s">
        <v>178</v>
      </c>
      <c r="R296" s="8">
        <v>2970</v>
      </c>
      <c r="S296" s="8">
        <v>2.0499999999999998</v>
      </c>
      <c r="T296" s="8">
        <v>63.55</v>
      </c>
      <c r="U296" s="8" t="s">
        <v>845</v>
      </c>
    </row>
    <row r="297" spans="1:21" x14ac:dyDescent="0.35">
      <c r="A297" s="2">
        <v>32</v>
      </c>
      <c r="B297" s="115" t="s">
        <v>181</v>
      </c>
      <c r="C297" s="116" t="s">
        <v>182</v>
      </c>
      <c r="D297" s="2"/>
      <c r="E297" s="52"/>
      <c r="F297" s="111"/>
      <c r="H297" s="2">
        <v>31</v>
      </c>
      <c r="I297" s="2">
        <v>0</v>
      </c>
      <c r="K297" s="2">
        <v>2</v>
      </c>
      <c r="L297" s="2">
        <v>8.2020833333333325</v>
      </c>
      <c r="M297" s="2">
        <v>9.0416666666666679</v>
      </c>
      <c r="N297" s="380">
        <v>0</v>
      </c>
      <c r="O297" s="2" t="s">
        <v>177</v>
      </c>
      <c r="P297" s="2">
        <v>200</v>
      </c>
      <c r="Q297" s="2" t="s">
        <v>178</v>
      </c>
      <c r="R297" s="8">
        <v>666</v>
      </c>
      <c r="S297" s="8">
        <v>2.0499999999999998</v>
      </c>
      <c r="T297" s="8">
        <v>63.55</v>
      </c>
      <c r="U297" s="8" t="s">
        <v>845</v>
      </c>
    </row>
    <row r="298" spans="1:21" x14ac:dyDescent="0.35">
      <c r="A298" s="2">
        <v>32</v>
      </c>
      <c r="B298" s="115" t="s">
        <v>183</v>
      </c>
      <c r="C298" s="116" t="s">
        <v>184</v>
      </c>
      <c r="D298" s="2"/>
      <c r="E298" s="52"/>
      <c r="F298" s="111"/>
      <c r="H298" s="2">
        <v>31</v>
      </c>
      <c r="I298" s="2">
        <v>0</v>
      </c>
      <c r="K298" s="2">
        <v>2</v>
      </c>
      <c r="L298" s="2">
        <v>8.2020833333333325</v>
      </c>
      <c r="M298" s="2">
        <v>9.0416666666666679</v>
      </c>
      <c r="N298" s="380">
        <v>0</v>
      </c>
      <c r="O298" s="2" t="s">
        <v>177</v>
      </c>
      <c r="P298" s="2">
        <v>200</v>
      </c>
      <c r="Q298" s="2" t="s">
        <v>178</v>
      </c>
      <c r="R298" s="8">
        <v>422</v>
      </c>
      <c r="S298" s="8">
        <v>2.0499999999999998</v>
      </c>
      <c r="T298" s="8">
        <v>63.55</v>
      </c>
      <c r="U298" s="8" t="s">
        <v>845</v>
      </c>
    </row>
    <row r="299" spans="1:21" x14ac:dyDescent="0.35">
      <c r="A299" s="2">
        <v>32</v>
      </c>
      <c r="B299" s="115" t="s">
        <v>185</v>
      </c>
      <c r="C299" s="116" t="s">
        <v>186</v>
      </c>
      <c r="D299" s="2"/>
      <c r="E299" s="52"/>
      <c r="F299" s="111"/>
      <c r="H299" s="2">
        <v>31</v>
      </c>
      <c r="I299" s="2">
        <v>0</v>
      </c>
      <c r="K299" s="2">
        <v>2</v>
      </c>
      <c r="L299" s="2">
        <v>8.2020833333333325</v>
      </c>
      <c r="M299" s="2">
        <v>9.0416666666666679</v>
      </c>
      <c r="N299" s="380">
        <v>0</v>
      </c>
      <c r="O299" s="2" t="s">
        <v>177</v>
      </c>
      <c r="P299" s="2">
        <v>200</v>
      </c>
      <c r="Q299" s="2" t="s">
        <v>178</v>
      </c>
      <c r="R299" s="8">
        <v>618</v>
      </c>
      <c r="S299" s="8">
        <v>2.0499999999999998</v>
      </c>
      <c r="T299" s="8">
        <v>63.55</v>
      </c>
      <c r="U299" s="8" t="s">
        <v>845</v>
      </c>
    </row>
    <row r="300" spans="1:21" x14ac:dyDescent="0.35">
      <c r="A300" s="2">
        <v>30</v>
      </c>
      <c r="B300" s="115" t="s">
        <v>168</v>
      </c>
      <c r="C300" s="116" t="s">
        <v>169</v>
      </c>
      <c r="D300" s="2">
        <v>4512</v>
      </c>
      <c r="E300" s="52">
        <v>0.81599999999999995</v>
      </c>
      <c r="F300" s="111"/>
      <c r="H300" s="2"/>
      <c r="I300" s="2">
        <v>94</v>
      </c>
      <c r="J300" s="2">
        <v>0</v>
      </c>
      <c r="K300" s="2">
        <v>0</v>
      </c>
      <c r="L300" s="2">
        <v>703.12</v>
      </c>
      <c r="M300" s="2">
        <v>723.80000000000007</v>
      </c>
      <c r="N300" s="380">
        <v>3.200418</v>
      </c>
      <c r="O300" s="2" t="s">
        <v>158</v>
      </c>
      <c r="P300" s="2">
        <v>175</v>
      </c>
      <c r="Q300" s="2" t="s">
        <v>159</v>
      </c>
      <c r="R300" s="8" t="s">
        <v>949</v>
      </c>
      <c r="S300" s="8" t="s">
        <v>949</v>
      </c>
      <c r="T300" s="8">
        <v>3681.7919999999999</v>
      </c>
      <c r="U300" s="8" t="s">
        <v>843</v>
      </c>
    </row>
    <row r="301" spans="1:21" x14ac:dyDescent="0.35">
      <c r="A301" s="2">
        <v>30</v>
      </c>
      <c r="B301" s="115" t="s">
        <v>170</v>
      </c>
      <c r="C301" s="116" t="s">
        <v>171</v>
      </c>
      <c r="D301" s="2">
        <v>3504</v>
      </c>
      <c r="E301" s="52">
        <v>0.81599999999999995</v>
      </c>
      <c r="F301" s="111"/>
      <c r="H301" s="2"/>
      <c r="I301" s="2">
        <v>73</v>
      </c>
      <c r="J301" s="2">
        <v>0</v>
      </c>
      <c r="K301" s="2">
        <v>0</v>
      </c>
      <c r="L301" s="2">
        <v>546.04000000000008</v>
      </c>
      <c r="M301" s="2">
        <v>562.1</v>
      </c>
      <c r="N301" s="380">
        <v>2.4854310000000002</v>
      </c>
      <c r="O301" s="2" t="s">
        <v>158</v>
      </c>
      <c r="P301" s="2">
        <v>175</v>
      </c>
      <c r="Q301" s="2" t="s">
        <v>159</v>
      </c>
      <c r="R301" s="8" t="s">
        <v>949</v>
      </c>
      <c r="S301" s="8" t="s">
        <v>949</v>
      </c>
      <c r="T301" s="8">
        <v>2859.2639999999997</v>
      </c>
      <c r="U301" s="8" t="s">
        <v>843</v>
      </c>
    </row>
    <row r="302" spans="1:21" x14ac:dyDescent="0.35">
      <c r="A302" s="2">
        <v>30</v>
      </c>
      <c r="B302" s="115" t="s">
        <v>172</v>
      </c>
      <c r="C302" s="116" t="s">
        <v>173</v>
      </c>
      <c r="D302" s="2">
        <v>5088</v>
      </c>
      <c r="E302" s="52">
        <v>0.81599999999999995</v>
      </c>
      <c r="F302" s="111"/>
      <c r="H302" s="2"/>
      <c r="I302" s="2">
        <v>106</v>
      </c>
      <c r="J302" s="2">
        <v>0</v>
      </c>
      <c r="K302" s="2">
        <v>0</v>
      </c>
      <c r="L302" s="2">
        <v>792.88</v>
      </c>
      <c r="M302" s="2">
        <v>816.2</v>
      </c>
      <c r="N302" s="380">
        <v>3.6089820000000001</v>
      </c>
      <c r="O302" s="2" t="s">
        <v>158</v>
      </c>
      <c r="P302" s="2">
        <v>175</v>
      </c>
      <c r="Q302" s="2" t="s">
        <v>159</v>
      </c>
      <c r="R302" s="8" t="s">
        <v>949</v>
      </c>
      <c r="S302" s="8" t="s">
        <v>949</v>
      </c>
      <c r="T302" s="8">
        <v>4151.808</v>
      </c>
      <c r="U302" s="8" t="s">
        <v>843</v>
      </c>
    </row>
    <row r="303" spans="1:21" x14ac:dyDescent="0.35">
      <c r="A303" s="2">
        <v>30</v>
      </c>
      <c r="B303" s="115" t="s">
        <v>174</v>
      </c>
      <c r="C303" s="116" t="s">
        <v>175</v>
      </c>
      <c r="D303" s="2">
        <v>4656</v>
      </c>
      <c r="E303" s="52">
        <v>0.81599999999999995</v>
      </c>
      <c r="F303" s="111"/>
      <c r="H303" s="2"/>
      <c r="I303" s="2">
        <v>97</v>
      </c>
      <c r="J303" s="2">
        <v>0</v>
      </c>
      <c r="K303" s="2">
        <v>0</v>
      </c>
      <c r="L303" s="2">
        <v>725.56000000000006</v>
      </c>
      <c r="M303" s="2">
        <v>746.9</v>
      </c>
      <c r="N303" s="380">
        <v>3.302559</v>
      </c>
      <c r="O303" s="2" t="s">
        <v>158</v>
      </c>
      <c r="P303" s="2">
        <v>175</v>
      </c>
      <c r="Q303" s="2" t="s">
        <v>159</v>
      </c>
      <c r="R303" s="8" t="s">
        <v>949</v>
      </c>
      <c r="S303" s="8" t="s">
        <v>949</v>
      </c>
      <c r="T303" s="8">
        <v>3799.2959999999998</v>
      </c>
      <c r="U303" s="8" t="s">
        <v>843</v>
      </c>
    </row>
    <row r="304" spans="1:21" x14ac:dyDescent="0.35">
      <c r="A304" s="2">
        <v>30</v>
      </c>
      <c r="B304" s="115" t="s">
        <v>157</v>
      </c>
      <c r="C304" s="116" t="s">
        <v>160</v>
      </c>
      <c r="D304" s="2">
        <v>3840</v>
      </c>
      <c r="E304" s="52">
        <v>0.81599999999999995</v>
      </c>
      <c r="F304" s="111"/>
      <c r="H304" s="2"/>
      <c r="I304" s="2">
        <v>80</v>
      </c>
      <c r="J304" s="2">
        <v>0</v>
      </c>
      <c r="K304" s="2">
        <v>0</v>
      </c>
      <c r="L304" s="2">
        <v>503.04</v>
      </c>
      <c r="M304" s="2">
        <v>562.88</v>
      </c>
      <c r="N304" s="380">
        <v>2.0992000000000002</v>
      </c>
      <c r="O304" s="2" t="s">
        <v>158</v>
      </c>
      <c r="P304" s="2">
        <v>150</v>
      </c>
      <c r="Q304" s="2">
        <v>33072000</v>
      </c>
      <c r="R304" s="8" t="s">
        <v>949</v>
      </c>
      <c r="S304" s="8" t="s">
        <v>949</v>
      </c>
      <c r="T304" s="8">
        <v>3133.4399999999996</v>
      </c>
      <c r="U304" s="8" t="s">
        <v>843</v>
      </c>
    </row>
    <row r="305" spans="1:21" x14ac:dyDescent="0.35">
      <c r="A305" s="2">
        <v>29</v>
      </c>
      <c r="B305" s="115" t="s">
        <v>742</v>
      </c>
      <c r="C305" s="116" t="s">
        <v>939</v>
      </c>
      <c r="D305" s="2">
        <v>2496</v>
      </c>
      <c r="E305" s="52">
        <v>4.21</v>
      </c>
      <c r="F305" s="111"/>
      <c r="H305" s="2"/>
      <c r="I305" s="2">
        <v>104</v>
      </c>
      <c r="J305" s="2">
        <v>0</v>
      </c>
      <c r="K305" s="2">
        <v>0</v>
      </c>
      <c r="L305" s="2">
        <v>676.41599999999994</v>
      </c>
      <c r="M305" s="2">
        <v>737.36</v>
      </c>
      <c r="N305" s="380">
        <v>1.6680299999999999</v>
      </c>
      <c r="O305" s="2" t="s">
        <v>158</v>
      </c>
      <c r="P305" s="2">
        <v>100</v>
      </c>
      <c r="Q305" s="2">
        <v>33072000</v>
      </c>
      <c r="R305" s="8" t="s">
        <v>949</v>
      </c>
      <c r="S305" s="8" t="s">
        <v>949</v>
      </c>
      <c r="T305" s="8">
        <v>10508.16</v>
      </c>
      <c r="U305" s="8" t="s">
        <v>843</v>
      </c>
    </row>
    <row r="306" spans="1:21" x14ac:dyDescent="0.35">
      <c r="A306" s="2">
        <v>29</v>
      </c>
      <c r="B306" s="115" t="s">
        <v>744</v>
      </c>
      <c r="C306" s="116" t="s">
        <v>940</v>
      </c>
      <c r="D306" s="2">
        <v>2496</v>
      </c>
      <c r="E306" s="52">
        <v>4.21</v>
      </c>
      <c r="F306" s="111"/>
      <c r="H306" s="2"/>
      <c r="I306" s="2">
        <v>104</v>
      </c>
      <c r="J306" s="2">
        <v>0</v>
      </c>
      <c r="K306" s="2">
        <v>0</v>
      </c>
      <c r="L306" s="2">
        <v>676.41599999999994</v>
      </c>
      <c r="M306" s="2">
        <v>737.36</v>
      </c>
      <c r="N306" s="380">
        <v>1.6680299999999999</v>
      </c>
      <c r="O306" s="2" t="s">
        <v>158</v>
      </c>
      <c r="P306" s="2">
        <v>100</v>
      </c>
      <c r="Q306" s="2">
        <v>33072000</v>
      </c>
      <c r="R306" s="8" t="s">
        <v>949</v>
      </c>
      <c r="S306" s="8" t="s">
        <v>949</v>
      </c>
      <c r="T306" s="8">
        <v>10508.16</v>
      </c>
      <c r="U306" s="8" t="s">
        <v>843</v>
      </c>
    </row>
    <row r="307" spans="1:21" x14ac:dyDescent="0.35">
      <c r="A307" s="2">
        <v>29</v>
      </c>
      <c r="B307" s="115" t="s">
        <v>746</v>
      </c>
      <c r="C307" s="116" t="s">
        <v>941</v>
      </c>
      <c r="D307" s="2">
        <v>2496</v>
      </c>
      <c r="E307" s="52">
        <v>4.21</v>
      </c>
      <c r="F307" s="111"/>
      <c r="H307" s="2"/>
      <c r="I307" s="2">
        <v>104</v>
      </c>
      <c r="J307" s="2">
        <v>0</v>
      </c>
      <c r="K307" s="2">
        <v>0</v>
      </c>
      <c r="L307" s="2">
        <v>676.41599999999994</v>
      </c>
      <c r="M307" s="2">
        <v>737.36</v>
      </c>
      <c r="N307" s="380">
        <v>1.6680299999999999</v>
      </c>
      <c r="O307" s="2" t="s">
        <v>158</v>
      </c>
      <c r="P307" s="2">
        <v>100</v>
      </c>
      <c r="Q307" s="2">
        <v>33072000</v>
      </c>
      <c r="R307" s="8" t="s">
        <v>949</v>
      </c>
      <c r="S307" s="8" t="s">
        <v>949</v>
      </c>
      <c r="T307" s="8">
        <v>10508.16</v>
      </c>
      <c r="U307" s="8" t="s">
        <v>843</v>
      </c>
    </row>
    <row r="308" spans="1:21" x14ac:dyDescent="0.35">
      <c r="A308" s="2">
        <v>29</v>
      </c>
      <c r="B308" s="115" t="s">
        <v>748</v>
      </c>
      <c r="C308" s="116" t="s">
        <v>942</v>
      </c>
      <c r="D308" s="2">
        <v>2496</v>
      </c>
      <c r="E308" s="52">
        <v>4.21</v>
      </c>
      <c r="F308" s="111"/>
      <c r="H308" s="2"/>
      <c r="I308" s="2">
        <v>104</v>
      </c>
      <c r="J308" s="2">
        <v>0</v>
      </c>
      <c r="K308" s="2">
        <v>0</v>
      </c>
      <c r="L308" s="2">
        <v>676.41599999999994</v>
      </c>
      <c r="M308" s="2">
        <v>737.36</v>
      </c>
      <c r="N308" s="380">
        <v>1.6680299999999999</v>
      </c>
      <c r="O308" s="2" t="s">
        <v>158</v>
      </c>
      <c r="P308" s="2">
        <v>100</v>
      </c>
      <c r="Q308" s="2">
        <v>33072000</v>
      </c>
      <c r="R308" s="8" t="s">
        <v>949</v>
      </c>
      <c r="S308" s="8" t="s">
        <v>949</v>
      </c>
      <c r="T308" s="8">
        <v>10508.16</v>
      </c>
      <c r="U308" s="8" t="s">
        <v>843</v>
      </c>
    </row>
    <row r="309" spans="1:21" x14ac:dyDescent="0.35">
      <c r="A309" s="2">
        <v>29</v>
      </c>
      <c r="B309" s="115" t="s">
        <v>752</v>
      </c>
      <c r="C309" s="116" t="s">
        <v>936</v>
      </c>
      <c r="D309" s="2">
        <v>5016</v>
      </c>
      <c r="E309" s="52">
        <v>4.21</v>
      </c>
      <c r="F309" s="111"/>
      <c r="H309" s="2"/>
      <c r="I309" s="2">
        <v>209</v>
      </c>
      <c r="J309" s="2">
        <v>0</v>
      </c>
      <c r="K309" s="2">
        <v>0</v>
      </c>
      <c r="L309" s="2">
        <v>1274.0640000000001</v>
      </c>
      <c r="M309" s="2">
        <v>1421.2</v>
      </c>
      <c r="N309" s="380">
        <v>4.7383957499999996</v>
      </c>
      <c r="O309" s="2" t="s">
        <v>158</v>
      </c>
      <c r="P309" s="2">
        <v>100</v>
      </c>
      <c r="Q309" s="2">
        <v>33072000</v>
      </c>
      <c r="R309" s="8" t="s">
        <v>949</v>
      </c>
      <c r="S309" s="8" t="s">
        <v>949</v>
      </c>
      <c r="T309" s="8">
        <v>21117.360000000001</v>
      </c>
      <c r="U309" s="8" t="s">
        <v>843</v>
      </c>
    </row>
    <row r="310" spans="1:21" x14ac:dyDescent="0.35">
      <c r="A310" s="2">
        <v>29</v>
      </c>
      <c r="B310" s="115" t="s">
        <v>754</v>
      </c>
      <c r="C310" s="116" t="s">
        <v>938</v>
      </c>
      <c r="D310" s="2">
        <v>5016</v>
      </c>
      <c r="E310" s="52">
        <v>4.21</v>
      </c>
      <c r="F310" s="111"/>
      <c r="H310" s="2"/>
      <c r="I310" s="2">
        <v>209</v>
      </c>
      <c r="J310" s="2">
        <v>0</v>
      </c>
      <c r="K310" s="2">
        <v>0</v>
      </c>
      <c r="L310" s="2">
        <v>1274.0640000000001</v>
      </c>
      <c r="M310" s="2">
        <v>1421.2</v>
      </c>
      <c r="N310" s="380">
        <v>4.7383957499999996</v>
      </c>
      <c r="O310" s="2" t="s">
        <v>158</v>
      </c>
      <c r="P310" s="2">
        <v>100</v>
      </c>
      <c r="Q310" s="2">
        <v>33072000</v>
      </c>
      <c r="R310" s="8" t="s">
        <v>949</v>
      </c>
      <c r="S310" s="8" t="s">
        <v>949</v>
      </c>
      <c r="T310" s="8">
        <v>21117.360000000001</v>
      </c>
      <c r="U310" s="8" t="s">
        <v>843</v>
      </c>
    </row>
    <row r="311" spans="1:21" x14ac:dyDescent="0.35">
      <c r="A311" s="2">
        <v>29</v>
      </c>
      <c r="B311" s="115" t="s">
        <v>756</v>
      </c>
      <c r="C311" s="116" t="s">
        <v>937</v>
      </c>
      <c r="D311" s="2">
        <v>5016</v>
      </c>
      <c r="E311" s="52">
        <v>4.21</v>
      </c>
      <c r="F311" s="111"/>
      <c r="H311" s="2"/>
      <c r="I311" s="2">
        <v>209</v>
      </c>
      <c r="J311" s="2">
        <v>0</v>
      </c>
      <c r="K311" s="2">
        <v>0</v>
      </c>
      <c r="L311" s="2">
        <v>1274.0640000000001</v>
      </c>
      <c r="M311" s="2">
        <v>1421.2</v>
      </c>
      <c r="N311" s="380">
        <v>4.7383957499999996</v>
      </c>
      <c r="O311" s="2" t="s">
        <v>158</v>
      </c>
      <c r="P311" s="2">
        <v>100</v>
      </c>
      <c r="Q311" s="2">
        <v>33072000</v>
      </c>
      <c r="R311" s="8" t="s">
        <v>949</v>
      </c>
      <c r="S311" s="8" t="s">
        <v>949</v>
      </c>
      <c r="T311" s="8">
        <v>21117.360000000001</v>
      </c>
      <c r="U311" s="8" t="s">
        <v>843</v>
      </c>
    </row>
    <row r="312" spans="1:21" x14ac:dyDescent="0.35">
      <c r="A312" s="2">
        <v>29</v>
      </c>
      <c r="B312" s="115" t="s">
        <v>831</v>
      </c>
      <c r="C312" s="116" t="s">
        <v>832</v>
      </c>
      <c r="D312" s="2">
        <v>14720</v>
      </c>
      <c r="E312" s="52">
        <v>0.158</v>
      </c>
      <c r="F312" s="111"/>
      <c r="H312" s="2"/>
      <c r="I312" s="2" t="s">
        <v>949</v>
      </c>
      <c r="J312" s="2" t="s">
        <v>949</v>
      </c>
      <c r="K312" s="2" t="s">
        <v>949</v>
      </c>
      <c r="L312" s="2" t="s">
        <v>949</v>
      </c>
      <c r="M312" s="2" t="s">
        <v>949</v>
      </c>
      <c r="N312" s="380" t="s">
        <v>949</v>
      </c>
      <c r="O312" s="2">
        <v>0</v>
      </c>
      <c r="P312" s="2">
        <v>0</v>
      </c>
      <c r="Q312" s="2">
        <v>0</v>
      </c>
      <c r="R312" s="8" t="s">
        <v>949</v>
      </c>
      <c r="S312" s="8" t="s">
        <v>949</v>
      </c>
      <c r="T312" s="8">
        <v>2325.7600000000002</v>
      </c>
      <c r="U312" s="8" t="s">
        <v>843</v>
      </c>
    </row>
    <row r="313" spans="1:21" x14ac:dyDescent="0.35">
      <c r="A313" s="2">
        <v>29</v>
      </c>
      <c r="B313" s="115" t="s">
        <v>833</v>
      </c>
      <c r="C313" s="116" t="s">
        <v>834</v>
      </c>
      <c r="D313" s="2">
        <v>14720</v>
      </c>
      <c r="E313" s="52">
        <v>0.158</v>
      </c>
      <c r="F313" s="111"/>
      <c r="H313" s="2"/>
      <c r="I313" s="2" t="s">
        <v>949</v>
      </c>
      <c r="J313" s="2" t="s">
        <v>949</v>
      </c>
      <c r="K313" s="2" t="s">
        <v>949</v>
      </c>
      <c r="L313" s="2" t="s">
        <v>949</v>
      </c>
      <c r="M313" s="2" t="s">
        <v>949</v>
      </c>
      <c r="N313" s="380" t="s">
        <v>949</v>
      </c>
      <c r="O313" s="2">
        <v>0</v>
      </c>
      <c r="P313" s="2">
        <v>0</v>
      </c>
      <c r="Q313" s="2">
        <v>0</v>
      </c>
      <c r="R313" s="8" t="s">
        <v>949</v>
      </c>
      <c r="S313" s="8" t="s">
        <v>949</v>
      </c>
      <c r="T313" s="8">
        <v>2325.7600000000002</v>
      </c>
      <c r="U313" s="8" t="s">
        <v>843</v>
      </c>
    </row>
    <row r="314" spans="1:21" x14ac:dyDescent="0.35">
      <c r="A314" s="2">
        <v>28</v>
      </c>
      <c r="B314" s="115" t="s">
        <v>113</v>
      </c>
      <c r="C314" s="116" t="s">
        <v>114</v>
      </c>
      <c r="D314" s="2">
        <v>228</v>
      </c>
      <c r="E314" s="52">
        <v>5</v>
      </c>
      <c r="F314" s="111"/>
      <c r="H314" s="2"/>
      <c r="I314" s="2">
        <v>10</v>
      </c>
      <c r="J314" s="2">
        <v>0</v>
      </c>
      <c r="K314" s="2">
        <v>0</v>
      </c>
      <c r="L314" s="2">
        <v>65.265000000000001</v>
      </c>
      <c r="M314" s="2">
        <v>71.819999999999993</v>
      </c>
      <c r="N314" s="380">
        <v>0.2389725</v>
      </c>
      <c r="O314" s="2" t="s">
        <v>62</v>
      </c>
      <c r="P314" s="2">
        <v>100</v>
      </c>
      <c r="Q314" s="2" t="s">
        <v>63</v>
      </c>
      <c r="R314" s="8" t="s">
        <v>949</v>
      </c>
      <c r="S314" s="8" t="s">
        <v>949</v>
      </c>
      <c r="T314" s="8">
        <v>1140</v>
      </c>
      <c r="U314" s="8" t="s">
        <v>843</v>
      </c>
    </row>
    <row r="315" spans="1:21" x14ac:dyDescent="0.35">
      <c r="A315" s="2">
        <v>28</v>
      </c>
      <c r="B315" s="115" t="s">
        <v>115</v>
      </c>
      <c r="C315" s="116" t="s">
        <v>117</v>
      </c>
      <c r="D315" s="2">
        <v>2934</v>
      </c>
      <c r="E315" s="52">
        <v>11.68</v>
      </c>
      <c r="F315" s="111"/>
      <c r="H315" s="2">
        <v>2008</v>
      </c>
      <c r="I315" s="2">
        <v>123</v>
      </c>
      <c r="J315" s="2">
        <v>0</v>
      </c>
      <c r="K315" s="2">
        <v>84</v>
      </c>
      <c r="L315" s="2">
        <v>1952.09</v>
      </c>
      <c r="M315" s="2">
        <v>2038.575</v>
      </c>
      <c r="N315" s="380">
        <v>2.1146193750000002</v>
      </c>
      <c r="O315" s="2" t="s">
        <v>116</v>
      </c>
      <c r="P315" s="2">
        <v>100</v>
      </c>
      <c r="Q315" s="2" t="s">
        <v>63</v>
      </c>
      <c r="R315" s="8" t="s">
        <v>949</v>
      </c>
      <c r="S315" s="8" t="s">
        <v>949</v>
      </c>
      <c r="T315" s="8">
        <v>34269.120000000003</v>
      </c>
      <c r="U315" s="8" t="s">
        <v>843</v>
      </c>
    </row>
    <row r="316" spans="1:21" x14ac:dyDescent="0.35">
      <c r="A316" s="2">
        <v>28</v>
      </c>
      <c r="B316" s="115" t="s">
        <v>120</v>
      </c>
      <c r="C316" s="116" t="s">
        <v>713</v>
      </c>
      <c r="D316" s="2">
        <v>2140</v>
      </c>
      <c r="E316" s="52">
        <v>11.68</v>
      </c>
      <c r="F316" s="111"/>
      <c r="H316" s="2">
        <v>832</v>
      </c>
      <c r="I316" s="2">
        <v>90</v>
      </c>
      <c r="J316" s="2">
        <v>0</v>
      </c>
      <c r="K316" s="2">
        <v>35</v>
      </c>
      <c r="L316" s="2">
        <v>1173.94</v>
      </c>
      <c r="M316" s="2">
        <v>1225.95</v>
      </c>
      <c r="N316" s="380">
        <v>1.5423604166666667</v>
      </c>
      <c r="O316" s="2" t="s">
        <v>116</v>
      </c>
      <c r="P316" s="2">
        <v>100</v>
      </c>
      <c r="Q316" s="2" t="s">
        <v>63</v>
      </c>
      <c r="R316" s="8" t="s">
        <v>949</v>
      </c>
      <c r="S316" s="8" t="s">
        <v>949</v>
      </c>
      <c r="T316" s="8">
        <v>24995.200000000001</v>
      </c>
      <c r="U316" s="8" t="s">
        <v>843</v>
      </c>
    </row>
    <row r="317" spans="1:21" x14ac:dyDescent="0.35">
      <c r="A317" s="2">
        <v>27</v>
      </c>
      <c r="B317" s="115" t="s">
        <v>189</v>
      </c>
      <c r="C317" s="116" t="s">
        <v>191</v>
      </c>
      <c r="D317" s="386">
        <v>22092</v>
      </c>
      <c r="E317" s="52">
        <v>1</v>
      </c>
      <c r="F317" s="111"/>
      <c r="H317" s="2"/>
      <c r="I317" s="2">
        <v>461</v>
      </c>
      <c r="J317" s="2">
        <v>0</v>
      </c>
      <c r="K317" s="2">
        <v>0</v>
      </c>
      <c r="L317" s="2">
        <v>0</v>
      </c>
      <c r="M317" s="2">
        <v>0</v>
      </c>
      <c r="N317" s="380">
        <v>0</v>
      </c>
      <c r="O317" s="2" t="s">
        <v>190</v>
      </c>
      <c r="P317" s="2">
        <v>0</v>
      </c>
      <c r="Q317" s="2">
        <v>33072000</v>
      </c>
      <c r="R317" s="8">
        <v>0.93</v>
      </c>
      <c r="S317" s="8">
        <v>20545.560000000001</v>
      </c>
      <c r="T317" s="8">
        <v>22092</v>
      </c>
      <c r="U317" s="8" t="s">
        <v>725</v>
      </c>
    </row>
    <row r="318" spans="1:21" x14ac:dyDescent="0.35">
      <c r="A318" s="2">
        <v>27</v>
      </c>
      <c r="B318" s="115" t="s">
        <v>192</v>
      </c>
      <c r="C318" s="116" t="s">
        <v>193</v>
      </c>
      <c r="D318" s="386">
        <v>24828</v>
      </c>
      <c r="E318" s="52">
        <v>1</v>
      </c>
      <c r="F318" s="111"/>
      <c r="H318" s="2"/>
      <c r="I318" s="2">
        <v>518</v>
      </c>
      <c r="J318" s="2">
        <v>0</v>
      </c>
      <c r="K318" s="2">
        <v>0</v>
      </c>
      <c r="L318" s="2">
        <v>0</v>
      </c>
      <c r="M318" s="2">
        <v>0</v>
      </c>
      <c r="N318" s="380">
        <v>0</v>
      </c>
      <c r="O318" s="2" t="s">
        <v>190</v>
      </c>
      <c r="P318" s="2">
        <v>0</v>
      </c>
      <c r="Q318" s="2">
        <v>33072000</v>
      </c>
      <c r="R318" s="8">
        <v>0.93</v>
      </c>
      <c r="S318" s="8">
        <v>23090.04</v>
      </c>
      <c r="T318" s="8">
        <v>24828</v>
      </c>
      <c r="U318" s="8" t="s">
        <v>725</v>
      </c>
    </row>
    <row r="319" spans="1:21" x14ac:dyDescent="0.35">
      <c r="A319" s="2">
        <v>27</v>
      </c>
      <c r="B319" s="115" t="s">
        <v>194</v>
      </c>
      <c r="C319" s="116" t="s">
        <v>195</v>
      </c>
      <c r="D319" s="386">
        <v>21120</v>
      </c>
      <c r="E319" s="52">
        <v>1</v>
      </c>
      <c r="F319" s="111"/>
      <c r="H319" s="2"/>
      <c r="I319" s="2">
        <v>440</v>
      </c>
      <c r="J319" s="2">
        <v>0</v>
      </c>
      <c r="K319" s="2">
        <v>0</v>
      </c>
      <c r="L319" s="2">
        <v>0</v>
      </c>
      <c r="M319" s="2">
        <v>0</v>
      </c>
      <c r="N319" s="380">
        <v>0</v>
      </c>
      <c r="O319" s="2" t="s">
        <v>190</v>
      </c>
      <c r="P319" s="2">
        <v>0</v>
      </c>
      <c r="Q319" s="2">
        <v>33072000</v>
      </c>
      <c r="R319" s="8">
        <v>0.93</v>
      </c>
      <c r="S319" s="8">
        <v>19641.600000000002</v>
      </c>
      <c r="T319" s="8">
        <v>21120</v>
      </c>
      <c r="U319" s="8" t="s">
        <v>725</v>
      </c>
    </row>
    <row r="320" spans="1:21" x14ac:dyDescent="0.35">
      <c r="A320" s="2">
        <v>27</v>
      </c>
      <c r="B320" s="115" t="s">
        <v>196</v>
      </c>
      <c r="C320" s="116" t="s">
        <v>197</v>
      </c>
      <c r="D320" s="386">
        <v>23352</v>
      </c>
      <c r="E320" s="52">
        <v>1</v>
      </c>
      <c r="F320" s="111"/>
      <c r="H320" s="2"/>
      <c r="I320" s="2">
        <v>487</v>
      </c>
      <c r="J320" s="2">
        <v>0</v>
      </c>
      <c r="K320" s="2">
        <v>0</v>
      </c>
      <c r="L320" s="2">
        <v>0</v>
      </c>
      <c r="M320" s="2">
        <v>0</v>
      </c>
      <c r="N320" s="380">
        <v>0</v>
      </c>
      <c r="O320" s="2" t="s">
        <v>190</v>
      </c>
      <c r="P320" s="2">
        <v>0</v>
      </c>
      <c r="Q320" s="2">
        <v>33072000</v>
      </c>
      <c r="R320" s="8">
        <v>0.93</v>
      </c>
      <c r="S320" s="8">
        <v>21717.360000000001</v>
      </c>
      <c r="T320" s="8">
        <v>23352</v>
      </c>
      <c r="U320" s="8" t="s">
        <v>725</v>
      </c>
    </row>
    <row r="321" spans="1:21" x14ac:dyDescent="0.35">
      <c r="A321" s="2">
        <v>26</v>
      </c>
      <c r="B321" s="115" t="s">
        <v>168</v>
      </c>
      <c r="C321" s="116" t="s">
        <v>169</v>
      </c>
      <c r="D321" s="2">
        <v>10368</v>
      </c>
      <c r="E321" s="52">
        <v>1.06</v>
      </c>
      <c r="F321" s="111"/>
      <c r="H321" s="2"/>
      <c r="I321" s="2">
        <v>216</v>
      </c>
      <c r="J321" s="2">
        <v>0</v>
      </c>
      <c r="K321" s="2">
        <v>0</v>
      </c>
      <c r="L321" s="2">
        <v>1615.68</v>
      </c>
      <c r="M321" s="2">
        <v>1663.2</v>
      </c>
      <c r="N321" s="380">
        <v>7.354152</v>
      </c>
      <c r="O321" s="2" t="s">
        <v>158</v>
      </c>
      <c r="P321" s="2">
        <v>175</v>
      </c>
      <c r="Q321" s="2" t="s">
        <v>159</v>
      </c>
      <c r="R321" s="8">
        <v>1.1599999999999999</v>
      </c>
      <c r="S321" s="8">
        <v>12026.88</v>
      </c>
      <c r="T321" s="8">
        <v>10990.08</v>
      </c>
      <c r="U321" s="8" t="s">
        <v>725</v>
      </c>
    </row>
    <row r="322" spans="1:21" x14ac:dyDescent="0.35">
      <c r="A322" s="2">
        <v>26</v>
      </c>
      <c r="B322" s="115" t="s">
        <v>170</v>
      </c>
      <c r="C322" s="116" t="s">
        <v>171</v>
      </c>
      <c r="D322" s="2">
        <v>10368</v>
      </c>
      <c r="E322" s="52">
        <v>1.06</v>
      </c>
      <c r="F322" s="111"/>
      <c r="H322" s="2"/>
      <c r="I322" s="2">
        <v>216</v>
      </c>
      <c r="J322" s="2">
        <v>0</v>
      </c>
      <c r="K322" s="2">
        <v>0</v>
      </c>
      <c r="L322" s="2">
        <v>1615.68</v>
      </c>
      <c r="M322" s="2">
        <v>1663.2</v>
      </c>
      <c r="N322" s="380">
        <v>7.354152</v>
      </c>
      <c r="O322" s="2" t="s">
        <v>158</v>
      </c>
      <c r="P322" s="2">
        <v>175</v>
      </c>
      <c r="Q322" s="2" t="s">
        <v>159</v>
      </c>
      <c r="R322" s="8">
        <v>1.1599999999999999</v>
      </c>
      <c r="S322" s="8">
        <v>12026.88</v>
      </c>
      <c r="T322" s="8">
        <v>10990.08</v>
      </c>
      <c r="U322" s="8" t="s">
        <v>725</v>
      </c>
    </row>
    <row r="323" spans="1:21" x14ac:dyDescent="0.35">
      <c r="A323" s="2">
        <v>26</v>
      </c>
      <c r="B323" s="115" t="s">
        <v>172</v>
      </c>
      <c r="C323" s="116" t="s">
        <v>173</v>
      </c>
      <c r="D323" s="2">
        <v>10368</v>
      </c>
      <c r="E323" s="52">
        <v>1.06</v>
      </c>
      <c r="F323" s="111"/>
      <c r="H323" s="2"/>
      <c r="I323" s="2">
        <v>216</v>
      </c>
      <c r="J323" s="2">
        <v>0</v>
      </c>
      <c r="K323" s="2">
        <v>0</v>
      </c>
      <c r="L323" s="2">
        <v>1615.68</v>
      </c>
      <c r="M323" s="2">
        <v>1663.2</v>
      </c>
      <c r="N323" s="380">
        <v>7.354152</v>
      </c>
      <c r="O323" s="2" t="s">
        <v>158</v>
      </c>
      <c r="P323" s="2">
        <v>175</v>
      </c>
      <c r="Q323" s="2" t="s">
        <v>159</v>
      </c>
      <c r="R323" s="8">
        <v>1.1599999999999999</v>
      </c>
      <c r="S323" s="8">
        <v>12026.88</v>
      </c>
      <c r="T323" s="8">
        <v>10990.08</v>
      </c>
      <c r="U323" s="8" t="s">
        <v>725</v>
      </c>
    </row>
    <row r="324" spans="1:21" x14ac:dyDescent="0.35">
      <c r="A324" s="2">
        <v>26</v>
      </c>
      <c r="B324" s="115" t="s">
        <v>174</v>
      </c>
      <c r="C324" s="116" t="s">
        <v>175</v>
      </c>
      <c r="D324" s="2">
        <v>10368</v>
      </c>
      <c r="E324" s="52">
        <v>1.06</v>
      </c>
      <c r="F324" s="111"/>
      <c r="H324" s="2"/>
      <c r="I324" s="2">
        <v>216</v>
      </c>
      <c r="J324" s="2">
        <v>0</v>
      </c>
      <c r="K324" s="2">
        <v>0</v>
      </c>
      <c r="L324" s="2">
        <v>1615.68</v>
      </c>
      <c r="M324" s="2">
        <v>1663.2</v>
      </c>
      <c r="N324" s="380">
        <v>7.354152</v>
      </c>
      <c r="O324" s="2" t="s">
        <v>158</v>
      </c>
      <c r="P324" s="2">
        <v>175</v>
      </c>
      <c r="Q324" s="2" t="s">
        <v>159</v>
      </c>
      <c r="R324" s="8">
        <v>1.1599999999999999</v>
      </c>
      <c r="S324" s="8">
        <v>12026.88</v>
      </c>
      <c r="T324" s="8">
        <v>10990.08</v>
      </c>
      <c r="U324" s="8" t="s">
        <v>725</v>
      </c>
    </row>
    <row r="325" spans="1:21" x14ac:dyDescent="0.35">
      <c r="A325" s="2">
        <v>26</v>
      </c>
      <c r="B325" s="115" t="s">
        <v>164</v>
      </c>
      <c r="C325" s="116" t="s">
        <v>165</v>
      </c>
      <c r="D325" s="2">
        <v>3840</v>
      </c>
      <c r="E325" s="52">
        <v>1.03</v>
      </c>
      <c r="F325" s="111"/>
      <c r="H325" s="2"/>
      <c r="I325" s="2">
        <v>80</v>
      </c>
      <c r="J325" s="2">
        <v>0</v>
      </c>
      <c r="K325" s="2">
        <v>0</v>
      </c>
      <c r="L325" s="2">
        <v>503.04</v>
      </c>
      <c r="M325" s="2">
        <v>562.88</v>
      </c>
      <c r="N325" s="380">
        <v>2.0992000000000002</v>
      </c>
      <c r="O325" s="2" t="s">
        <v>158</v>
      </c>
      <c r="P325" s="2">
        <v>150</v>
      </c>
      <c r="Q325" s="2" t="s">
        <v>159</v>
      </c>
      <c r="R325" s="8">
        <v>0.81599999999999995</v>
      </c>
      <c r="S325" s="8">
        <v>3133.4399999999996</v>
      </c>
      <c r="T325" s="8">
        <v>3955.2000000000003</v>
      </c>
      <c r="U325" s="8" t="s">
        <v>725</v>
      </c>
    </row>
    <row r="326" spans="1:21" x14ac:dyDescent="0.35">
      <c r="A326" s="2">
        <v>25</v>
      </c>
      <c r="B326" s="115" t="s">
        <v>149</v>
      </c>
      <c r="C326" s="116" t="s">
        <v>150</v>
      </c>
      <c r="D326" s="2">
        <v>492</v>
      </c>
      <c r="E326" s="52">
        <v>12.5</v>
      </c>
      <c r="F326" s="111"/>
      <c r="H326" s="2">
        <v>70</v>
      </c>
      <c r="I326" s="2">
        <v>21</v>
      </c>
      <c r="J326" s="2">
        <v>0</v>
      </c>
      <c r="K326" s="2">
        <v>3</v>
      </c>
      <c r="L326" s="2">
        <v>221.99</v>
      </c>
      <c r="M326" s="2">
        <v>231.82500000000002</v>
      </c>
      <c r="N326" s="380">
        <v>0.41052343749999998</v>
      </c>
      <c r="O326" s="2" t="s">
        <v>116</v>
      </c>
      <c r="P326" s="2">
        <v>100</v>
      </c>
      <c r="Q326" s="2" t="s">
        <v>63</v>
      </c>
      <c r="R326" s="8">
        <v>11.68</v>
      </c>
      <c r="S326" s="8">
        <v>6564.16</v>
      </c>
      <c r="T326" s="8">
        <v>6150</v>
      </c>
      <c r="U326" s="8" t="s">
        <v>725</v>
      </c>
    </row>
    <row r="327" spans="1:21" x14ac:dyDescent="0.35">
      <c r="A327" s="2">
        <v>25</v>
      </c>
      <c r="B327" s="115" t="s">
        <v>151</v>
      </c>
      <c r="C327" s="116" t="s">
        <v>152</v>
      </c>
      <c r="D327" s="2">
        <v>732</v>
      </c>
      <c r="E327" s="52">
        <v>12.5</v>
      </c>
      <c r="F327" s="111"/>
      <c r="H327" s="2">
        <v>105</v>
      </c>
      <c r="I327" s="2">
        <v>31</v>
      </c>
      <c r="J327" s="2">
        <v>0</v>
      </c>
      <c r="K327" s="2">
        <v>5</v>
      </c>
      <c r="L327" s="2">
        <v>330.61500000000001</v>
      </c>
      <c r="M327" s="2">
        <v>345.26249999999999</v>
      </c>
      <c r="N327" s="380">
        <v>0.61140234375000002</v>
      </c>
      <c r="O327" s="2" t="s">
        <v>116</v>
      </c>
      <c r="P327" s="2">
        <v>100</v>
      </c>
      <c r="Q327" s="2" t="s">
        <v>63</v>
      </c>
      <c r="R327" s="8">
        <v>11.68</v>
      </c>
      <c r="S327" s="8">
        <v>9776.16</v>
      </c>
      <c r="T327" s="8">
        <v>9150</v>
      </c>
      <c r="U327" s="8" t="s">
        <v>725</v>
      </c>
    </row>
    <row r="328" spans="1:21" x14ac:dyDescent="0.35">
      <c r="A328" s="2">
        <v>24</v>
      </c>
      <c r="B328" s="115" t="s">
        <v>96</v>
      </c>
      <c r="C328" s="116" t="s">
        <v>97</v>
      </c>
      <c r="D328" s="2">
        <v>3000</v>
      </c>
      <c r="E328" s="52">
        <v>22.5</v>
      </c>
      <c r="F328" s="111"/>
      <c r="H328" s="2"/>
      <c r="I328" s="2">
        <v>150</v>
      </c>
      <c r="J328" s="2">
        <v>0</v>
      </c>
      <c r="K328" s="2">
        <v>0</v>
      </c>
      <c r="L328" s="2">
        <v>2190</v>
      </c>
      <c r="M328" s="2">
        <v>3075</v>
      </c>
      <c r="N328" s="380">
        <v>11.04</v>
      </c>
      <c r="O328" s="2" t="s">
        <v>25</v>
      </c>
      <c r="P328" s="2">
        <v>100</v>
      </c>
      <c r="Q328" s="2">
        <v>0</v>
      </c>
      <c r="R328" s="8">
        <v>15</v>
      </c>
      <c r="S328" s="8">
        <v>45000</v>
      </c>
      <c r="T328" s="8">
        <v>67500</v>
      </c>
      <c r="U328" s="8" t="s">
        <v>725</v>
      </c>
    </row>
    <row r="329" spans="1:21" x14ac:dyDescent="0.35">
      <c r="A329" s="2">
        <v>23</v>
      </c>
      <c r="B329" s="115" t="s">
        <v>851</v>
      </c>
      <c r="C329" s="116" t="s">
        <v>889</v>
      </c>
      <c r="D329" s="2">
        <v>100</v>
      </c>
      <c r="E329" s="52">
        <v>20.5</v>
      </c>
      <c r="F329" s="111"/>
      <c r="H329" s="2"/>
      <c r="I329" s="2" t="s">
        <v>949</v>
      </c>
      <c r="J329" s="2" t="s">
        <v>949</v>
      </c>
      <c r="K329" s="2" t="s">
        <v>949</v>
      </c>
      <c r="L329" s="2" t="s">
        <v>949</v>
      </c>
      <c r="M329" s="2" t="s">
        <v>949</v>
      </c>
      <c r="N329" s="380" t="s">
        <v>949</v>
      </c>
      <c r="O329" s="2" t="s">
        <v>959</v>
      </c>
      <c r="P329" s="2">
        <v>0</v>
      </c>
      <c r="Q329" s="2">
        <v>0</v>
      </c>
      <c r="R329" s="8" t="s">
        <v>949</v>
      </c>
      <c r="S329" s="8" t="s">
        <v>949</v>
      </c>
      <c r="T329" s="8">
        <v>2050</v>
      </c>
      <c r="U329" s="8" t="s">
        <v>725</v>
      </c>
    </row>
    <row r="330" spans="1:21" x14ac:dyDescent="0.35">
      <c r="A330" s="2">
        <v>23</v>
      </c>
      <c r="B330" s="115" t="s">
        <v>852</v>
      </c>
      <c r="C330" s="116" t="s">
        <v>890</v>
      </c>
      <c r="D330" s="2">
        <v>150</v>
      </c>
      <c r="E330" s="52">
        <v>20.5</v>
      </c>
      <c r="F330" s="111"/>
      <c r="H330" s="2"/>
      <c r="I330" s="2" t="s">
        <v>949</v>
      </c>
      <c r="J330" s="2" t="s">
        <v>949</v>
      </c>
      <c r="K330" s="2" t="s">
        <v>949</v>
      </c>
      <c r="L330" s="2" t="s">
        <v>949</v>
      </c>
      <c r="M330" s="2" t="s">
        <v>949</v>
      </c>
      <c r="N330" s="380" t="s">
        <v>949</v>
      </c>
      <c r="O330" s="2" t="s">
        <v>959</v>
      </c>
      <c r="P330" s="2">
        <v>0</v>
      </c>
      <c r="Q330" s="2">
        <v>0</v>
      </c>
      <c r="R330" s="8" t="s">
        <v>949</v>
      </c>
      <c r="S330" s="8" t="s">
        <v>949</v>
      </c>
      <c r="T330" s="8">
        <v>3075</v>
      </c>
      <c r="U330" s="8" t="s">
        <v>725</v>
      </c>
    </row>
    <row r="331" spans="1:21" x14ac:dyDescent="0.35">
      <c r="A331" s="2">
        <v>23</v>
      </c>
      <c r="B331" s="115" t="s">
        <v>853</v>
      </c>
      <c r="C331" s="116" t="s">
        <v>891</v>
      </c>
      <c r="D331" s="2">
        <v>100</v>
      </c>
      <c r="E331" s="52">
        <v>20.5</v>
      </c>
      <c r="F331" s="111"/>
      <c r="H331" s="2"/>
      <c r="I331" s="2" t="s">
        <v>949</v>
      </c>
      <c r="J331" s="2" t="s">
        <v>949</v>
      </c>
      <c r="K331" s="2" t="s">
        <v>949</v>
      </c>
      <c r="L331" s="2" t="s">
        <v>949</v>
      </c>
      <c r="M331" s="2" t="s">
        <v>949</v>
      </c>
      <c r="N331" s="380" t="s">
        <v>949</v>
      </c>
      <c r="O331" s="2" t="s">
        <v>959</v>
      </c>
      <c r="P331" s="2">
        <v>0</v>
      </c>
      <c r="Q331" s="2">
        <v>0</v>
      </c>
      <c r="R331" s="8" t="s">
        <v>949</v>
      </c>
      <c r="S331" s="8" t="s">
        <v>949</v>
      </c>
      <c r="T331" s="8">
        <v>2050</v>
      </c>
      <c r="U331" s="8" t="s">
        <v>725</v>
      </c>
    </row>
    <row r="332" spans="1:21" x14ac:dyDescent="0.35">
      <c r="A332" s="2">
        <v>23</v>
      </c>
      <c r="B332" s="115" t="s">
        <v>854</v>
      </c>
      <c r="C332" s="116" t="s">
        <v>892</v>
      </c>
      <c r="D332" s="2">
        <v>100</v>
      </c>
      <c r="E332" s="52">
        <v>21</v>
      </c>
      <c r="F332" s="111"/>
      <c r="H332" s="2"/>
      <c r="I332" s="2" t="s">
        <v>949</v>
      </c>
      <c r="J332" s="2" t="s">
        <v>949</v>
      </c>
      <c r="K332" s="2" t="s">
        <v>949</v>
      </c>
      <c r="L332" s="2" t="s">
        <v>949</v>
      </c>
      <c r="M332" s="2" t="s">
        <v>949</v>
      </c>
      <c r="N332" s="380" t="s">
        <v>949</v>
      </c>
      <c r="O332" s="2" t="s">
        <v>959</v>
      </c>
      <c r="P332" s="2">
        <v>0</v>
      </c>
      <c r="Q332" s="2">
        <v>0</v>
      </c>
      <c r="R332" s="8" t="s">
        <v>949</v>
      </c>
      <c r="S332" s="8" t="s">
        <v>949</v>
      </c>
      <c r="T332" s="8">
        <v>2100</v>
      </c>
      <c r="U332" s="8" t="s">
        <v>725</v>
      </c>
    </row>
    <row r="333" spans="1:21" x14ac:dyDescent="0.35">
      <c r="A333" s="2">
        <v>23</v>
      </c>
      <c r="B333" s="115" t="s">
        <v>856</v>
      </c>
      <c r="C333" s="116" t="s">
        <v>894</v>
      </c>
      <c r="D333" s="2">
        <v>100</v>
      </c>
      <c r="E333" s="52">
        <v>21</v>
      </c>
      <c r="F333" s="111"/>
      <c r="H333" s="2"/>
      <c r="I333" s="2" t="s">
        <v>949</v>
      </c>
      <c r="J333" s="2" t="s">
        <v>949</v>
      </c>
      <c r="K333" s="2" t="s">
        <v>949</v>
      </c>
      <c r="L333" s="2" t="s">
        <v>949</v>
      </c>
      <c r="M333" s="2" t="s">
        <v>949</v>
      </c>
      <c r="N333" s="380" t="s">
        <v>949</v>
      </c>
      <c r="O333" s="2" t="s">
        <v>959</v>
      </c>
      <c r="P333" s="2">
        <v>0</v>
      </c>
      <c r="Q333" s="2">
        <v>0</v>
      </c>
      <c r="R333" s="8" t="s">
        <v>949</v>
      </c>
      <c r="S333" s="8" t="s">
        <v>949</v>
      </c>
      <c r="T333" s="8">
        <v>2100</v>
      </c>
      <c r="U333" s="8" t="s">
        <v>725</v>
      </c>
    </row>
    <row r="334" spans="1:21" x14ac:dyDescent="0.35">
      <c r="A334" s="2">
        <v>23</v>
      </c>
      <c r="B334" s="115" t="s">
        <v>857</v>
      </c>
      <c r="C334" s="116" t="s">
        <v>895</v>
      </c>
      <c r="D334" s="2">
        <v>100</v>
      </c>
      <c r="E334" s="52">
        <v>21</v>
      </c>
      <c r="F334" s="111"/>
      <c r="H334" s="2"/>
      <c r="I334" s="2" t="s">
        <v>949</v>
      </c>
      <c r="J334" s="2" t="s">
        <v>949</v>
      </c>
      <c r="K334" s="2" t="s">
        <v>949</v>
      </c>
      <c r="L334" s="2" t="s">
        <v>949</v>
      </c>
      <c r="M334" s="2" t="s">
        <v>949</v>
      </c>
      <c r="N334" s="380" t="s">
        <v>949</v>
      </c>
      <c r="O334" s="2" t="s">
        <v>959</v>
      </c>
      <c r="P334" s="2">
        <v>0</v>
      </c>
      <c r="Q334" s="2">
        <v>0</v>
      </c>
      <c r="R334" s="8" t="s">
        <v>949</v>
      </c>
      <c r="S334" s="8" t="s">
        <v>949</v>
      </c>
      <c r="T334" s="8">
        <v>2100</v>
      </c>
      <c r="U334" s="8" t="s">
        <v>725</v>
      </c>
    </row>
    <row r="335" spans="1:21" x14ac:dyDescent="0.35">
      <c r="A335" s="2">
        <v>23</v>
      </c>
      <c r="B335" s="115" t="s">
        <v>858</v>
      </c>
      <c r="C335" s="116" t="s">
        <v>896</v>
      </c>
      <c r="D335" s="2">
        <v>100</v>
      </c>
      <c r="E335" s="52">
        <v>21</v>
      </c>
      <c r="F335" s="111"/>
      <c r="H335" s="2"/>
      <c r="I335" s="2" t="s">
        <v>949</v>
      </c>
      <c r="J335" s="2" t="s">
        <v>949</v>
      </c>
      <c r="K335" s="2" t="s">
        <v>949</v>
      </c>
      <c r="L335" s="2" t="s">
        <v>949</v>
      </c>
      <c r="M335" s="2" t="s">
        <v>949</v>
      </c>
      <c r="N335" s="380" t="s">
        <v>949</v>
      </c>
      <c r="O335" s="2" t="s">
        <v>959</v>
      </c>
      <c r="P335" s="2">
        <v>0</v>
      </c>
      <c r="Q335" s="2">
        <v>0</v>
      </c>
      <c r="R335" s="8" t="s">
        <v>949</v>
      </c>
      <c r="S335" s="8" t="s">
        <v>949</v>
      </c>
      <c r="T335" s="8">
        <v>2100</v>
      </c>
      <c r="U335" s="8" t="s">
        <v>725</v>
      </c>
    </row>
    <row r="336" spans="1:21" x14ac:dyDescent="0.35">
      <c r="A336" s="2">
        <v>23</v>
      </c>
      <c r="B336" s="115" t="s">
        <v>859</v>
      </c>
      <c r="C336" s="116" t="s">
        <v>897</v>
      </c>
      <c r="D336" s="2">
        <v>100</v>
      </c>
      <c r="E336" s="52">
        <v>21</v>
      </c>
      <c r="F336" s="111"/>
      <c r="H336" s="2"/>
      <c r="I336" s="2" t="s">
        <v>949</v>
      </c>
      <c r="J336" s="2" t="s">
        <v>949</v>
      </c>
      <c r="K336" s="2" t="s">
        <v>949</v>
      </c>
      <c r="L336" s="2" t="s">
        <v>949</v>
      </c>
      <c r="M336" s="2" t="s">
        <v>949</v>
      </c>
      <c r="N336" s="380" t="s">
        <v>949</v>
      </c>
      <c r="O336" s="2" t="s">
        <v>959</v>
      </c>
      <c r="P336" s="2">
        <v>0</v>
      </c>
      <c r="Q336" s="2">
        <v>0</v>
      </c>
      <c r="R336" s="8" t="s">
        <v>949</v>
      </c>
      <c r="S336" s="8" t="s">
        <v>949</v>
      </c>
      <c r="T336" s="8">
        <v>2100</v>
      </c>
      <c r="U336" s="8" t="s">
        <v>725</v>
      </c>
    </row>
    <row r="337" spans="1:21" x14ac:dyDescent="0.35">
      <c r="A337" s="2">
        <v>23</v>
      </c>
      <c r="B337" s="115" t="s">
        <v>860</v>
      </c>
      <c r="C337" s="116" t="s">
        <v>898</v>
      </c>
      <c r="D337" s="2">
        <v>100</v>
      </c>
      <c r="E337" s="52">
        <v>22</v>
      </c>
      <c r="F337" s="111"/>
      <c r="H337" s="2"/>
      <c r="I337" s="2" t="s">
        <v>949</v>
      </c>
      <c r="J337" s="2" t="s">
        <v>949</v>
      </c>
      <c r="K337" s="2" t="s">
        <v>949</v>
      </c>
      <c r="L337" s="2" t="s">
        <v>949</v>
      </c>
      <c r="M337" s="2" t="s">
        <v>949</v>
      </c>
      <c r="N337" s="380" t="s">
        <v>949</v>
      </c>
      <c r="O337" s="2" t="s">
        <v>959</v>
      </c>
      <c r="P337" s="2">
        <v>0</v>
      </c>
      <c r="Q337" s="2">
        <v>0</v>
      </c>
      <c r="R337" s="8" t="s">
        <v>949</v>
      </c>
      <c r="S337" s="8" t="s">
        <v>949</v>
      </c>
      <c r="T337" s="8">
        <v>2200</v>
      </c>
      <c r="U337" s="8" t="s">
        <v>725</v>
      </c>
    </row>
    <row r="338" spans="1:21" x14ac:dyDescent="0.35">
      <c r="A338" s="2">
        <v>23</v>
      </c>
      <c r="B338" s="115" t="s">
        <v>861</v>
      </c>
      <c r="C338" s="116" t="s">
        <v>899</v>
      </c>
      <c r="D338" s="2">
        <v>100</v>
      </c>
      <c r="E338" s="52">
        <v>22</v>
      </c>
      <c r="F338" s="111"/>
      <c r="H338" s="2"/>
      <c r="I338" s="2" t="s">
        <v>949</v>
      </c>
      <c r="J338" s="2" t="s">
        <v>949</v>
      </c>
      <c r="K338" s="2" t="s">
        <v>949</v>
      </c>
      <c r="L338" s="2" t="s">
        <v>949</v>
      </c>
      <c r="M338" s="2" t="s">
        <v>949</v>
      </c>
      <c r="N338" s="380" t="s">
        <v>949</v>
      </c>
      <c r="O338" s="2" t="s">
        <v>959</v>
      </c>
      <c r="P338" s="2">
        <v>0</v>
      </c>
      <c r="Q338" s="2">
        <v>0</v>
      </c>
      <c r="R338" s="8" t="s">
        <v>949</v>
      </c>
      <c r="S338" s="8" t="s">
        <v>949</v>
      </c>
      <c r="T338" s="8">
        <v>2200</v>
      </c>
      <c r="U338" s="8" t="s">
        <v>725</v>
      </c>
    </row>
    <row r="339" spans="1:21" x14ac:dyDescent="0.35">
      <c r="A339" s="2">
        <v>23</v>
      </c>
      <c r="B339" s="115" t="s">
        <v>862</v>
      </c>
      <c r="C339" s="116" t="s">
        <v>900</v>
      </c>
      <c r="D339" s="2">
        <v>100</v>
      </c>
      <c r="E339" s="52">
        <v>22</v>
      </c>
      <c r="F339" s="111"/>
      <c r="H339" s="2"/>
      <c r="I339" s="2" t="s">
        <v>949</v>
      </c>
      <c r="J339" s="2" t="s">
        <v>949</v>
      </c>
      <c r="K339" s="2" t="s">
        <v>949</v>
      </c>
      <c r="L339" s="2" t="s">
        <v>949</v>
      </c>
      <c r="M339" s="2" t="s">
        <v>949</v>
      </c>
      <c r="N339" s="380" t="s">
        <v>949</v>
      </c>
      <c r="O339" s="2" t="s">
        <v>959</v>
      </c>
      <c r="P339" s="2">
        <v>0</v>
      </c>
      <c r="Q339" s="2">
        <v>0</v>
      </c>
      <c r="R339" s="8" t="s">
        <v>949</v>
      </c>
      <c r="S339" s="8" t="s">
        <v>949</v>
      </c>
      <c r="T339" s="8">
        <v>2200</v>
      </c>
      <c r="U339" s="8" t="s">
        <v>725</v>
      </c>
    </row>
    <row r="340" spans="1:21" x14ac:dyDescent="0.35">
      <c r="A340" s="2">
        <v>23</v>
      </c>
      <c r="B340" s="115" t="s">
        <v>869</v>
      </c>
      <c r="C340" s="116" t="s">
        <v>907</v>
      </c>
      <c r="D340" s="2">
        <v>100</v>
      </c>
      <c r="E340" s="52">
        <v>22</v>
      </c>
      <c r="F340" s="111"/>
      <c r="H340" s="2"/>
      <c r="I340" s="2" t="s">
        <v>949</v>
      </c>
      <c r="J340" s="2" t="s">
        <v>949</v>
      </c>
      <c r="K340" s="2" t="s">
        <v>949</v>
      </c>
      <c r="L340" s="2" t="s">
        <v>949</v>
      </c>
      <c r="M340" s="2" t="s">
        <v>949</v>
      </c>
      <c r="N340" s="380" t="s">
        <v>949</v>
      </c>
      <c r="O340" s="2" t="s">
        <v>959</v>
      </c>
      <c r="P340" s="2">
        <v>0</v>
      </c>
      <c r="Q340" s="2">
        <v>0</v>
      </c>
      <c r="R340" s="8" t="s">
        <v>949</v>
      </c>
      <c r="S340" s="8" t="s">
        <v>949</v>
      </c>
      <c r="T340" s="8">
        <v>2200</v>
      </c>
      <c r="U340" s="8" t="s">
        <v>725</v>
      </c>
    </row>
    <row r="341" spans="1:21" x14ac:dyDescent="0.35">
      <c r="A341" s="2">
        <v>23</v>
      </c>
      <c r="B341" s="115" t="s">
        <v>870</v>
      </c>
      <c r="C341" s="116" t="s">
        <v>908</v>
      </c>
      <c r="D341" s="2">
        <v>100</v>
      </c>
      <c r="E341" s="52">
        <v>22</v>
      </c>
      <c r="F341" s="111"/>
      <c r="H341" s="2"/>
      <c r="I341" s="2" t="s">
        <v>949</v>
      </c>
      <c r="J341" s="2" t="s">
        <v>949</v>
      </c>
      <c r="K341" s="2" t="s">
        <v>949</v>
      </c>
      <c r="L341" s="2" t="s">
        <v>949</v>
      </c>
      <c r="M341" s="2" t="s">
        <v>949</v>
      </c>
      <c r="N341" s="380" t="s">
        <v>949</v>
      </c>
      <c r="O341" s="2" t="s">
        <v>959</v>
      </c>
      <c r="P341" s="2">
        <v>0</v>
      </c>
      <c r="Q341" s="2">
        <v>0</v>
      </c>
      <c r="R341" s="8" t="s">
        <v>949</v>
      </c>
      <c r="S341" s="8" t="s">
        <v>949</v>
      </c>
      <c r="T341" s="8">
        <v>2200</v>
      </c>
      <c r="U341" s="8" t="s">
        <v>725</v>
      </c>
    </row>
    <row r="342" spans="1:21" x14ac:dyDescent="0.35">
      <c r="A342" s="2">
        <v>23</v>
      </c>
      <c r="B342" s="115" t="s">
        <v>872</v>
      </c>
      <c r="C342" s="116" t="s">
        <v>910</v>
      </c>
      <c r="D342" s="2">
        <v>100</v>
      </c>
      <c r="E342" s="52">
        <v>24</v>
      </c>
      <c r="F342" s="111"/>
      <c r="H342" s="2"/>
      <c r="I342" s="2" t="s">
        <v>949</v>
      </c>
      <c r="J342" s="2" t="s">
        <v>949</v>
      </c>
      <c r="K342" s="2" t="s">
        <v>949</v>
      </c>
      <c r="L342" s="2" t="s">
        <v>949</v>
      </c>
      <c r="M342" s="2" t="s">
        <v>949</v>
      </c>
      <c r="N342" s="380" t="s">
        <v>949</v>
      </c>
      <c r="O342" s="2" t="s">
        <v>959</v>
      </c>
      <c r="P342" s="2">
        <v>0</v>
      </c>
      <c r="Q342" s="2">
        <v>0</v>
      </c>
      <c r="R342" s="8" t="s">
        <v>949</v>
      </c>
      <c r="S342" s="8" t="s">
        <v>949</v>
      </c>
      <c r="T342" s="8">
        <v>2400</v>
      </c>
      <c r="U342" s="8" t="s">
        <v>725</v>
      </c>
    </row>
    <row r="343" spans="1:21" x14ac:dyDescent="0.35">
      <c r="A343" s="2">
        <v>23</v>
      </c>
      <c r="B343" s="115" t="s">
        <v>874</v>
      </c>
      <c r="C343" s="116" t="s">
        <v>912</v>
      </c>
      <c r="D343" s="2">
        <v>100</v>
      </c>
      <c r="E343" s="52">
        <v>24</v>
      </c>
      <c r="F343" s="111"/>
      <c r="H343" s="2"/>
      <c r="I343" s="2" t="s">
        <v>949</v>
      </c>
      <c r="J343" s="2" t="s">
        <v>949</v>
      </c>
      <c r="K343" s="2" t="s">
        <v>949</v>
      </c>
      <c r="L343" s="2" t="s">
        <v>949</v>
      </c>
      <c r="M343" s="2" t="s">
        <v>949</v>
      </c>
      <c r="N343" s="380" t="s">
        <v>949</v>
      </c>
      <c r="O343" s="2" t="s">
        <v>959</v>
      </c>
      <c r="P343" s="2">
        <v>0</v>
      </c>
      <c r="Q343" s="2">
        <v>0</v>
      </c>
      <c r="R343" s="8" t="s">
        <v>949</v>
      </c>
      <c r="S343" s="8" t="s">
        <v>949</v>
      </c>
      <c r="T343" s="8">
        <v>2400</v>
      </c>
      <c r="U343" s="8" t="s">
        <v>725</v>
      </c>
    </row>
    <row r="344" spans="1:21" x14ac:dyDescent="0.35">
      <c r="A344" s="2">
        <v>23</v>
      </c>
      <c r="B344" s="115" t="s">
        <v>875</v>
      </c>
      <c r="C344" s="116" t="s">
        <v>913</v>
      </c>
      <c r="D344" s="2">
        <v>100</v>
      </c>
      <c r="E344" s="52">
        <v>23</v>
      </c>
      <c r="F344" s="111"/>
      <c r="H344" s="2"/>
      <c r="I344" s="2" t="s">
        <v>949</v>
      </c>
      <c r="J344" s="2" t="s">
        <v>949</v>
      </c>
      <c r="K344" s="2" t="s">
        <v>949</v>
      </c>
      <c r="L344" s="2" t="s">
        <v>949</v>
      </c>
      <c r="M344" s="2" t="s">
        <v>949</v>
      </c>
      <c r="N344" s="380" t="s">
        <v>949</v>
      </c>
      <c r="O344" s="2" t="s">
        <v>959</v>
      </c>
      <c r="P344" s="2">
        <v>0</v>
      </c>
      <c r="Q344" s="2">
        <v>0</v>
      </c>
      <c r="R344" s="8" t="s">
        <v>949</v>
      </c>
      <c r="S344" s="8" t="s">
        <v>949</v>
      </c>
      <c r="T344" s="8">
        <v>2300</v>
      </c>
      <c r="U344" s="8" t="s">
        <v>725</v>
      </c>
    </row>
    <row r="345" spans="1:21" x14ac:dyDescent="0.35">
      <c r="A345" s="2">
        <v>23</v>
      </c>
      <c r="B345" s="115" t="s">
        <v>876</v>
      </c>
      <c r="C345" s="116" t="s">
        <v>914</v>
      </c>
      <c r="D345" s="2">
        <v>100</v>
      </c>
      <c r="E345" s="52">
        <v>23</v>
      </c>
      <c r="F345" s="111"/>
      <c r="H345" s="2"/>
      <c r="I345" s="2" t="s">
        <v>949</v>
      </c>
      <c r="J345" s="2" t="s">
        <v>949</v>
      </c>
      <c r="K345" s="2" t="s">
        <v>949</v>
      </c>
      <c r="L345" s="2" t="s">
        <v>949</v>
      </c>
      <c r="M345" s="2" t="s">
        <v>949</v>
      </c>
      <c r="N345" s="380" t="s">
        <v>949</v>
      </c>
      <c r="O345" s="2" t="s">
        <v>959</v>
      </c>
      <c r="P345" s="2">
        <v>0</v>
      </c>
      <c r="Q345" s="2">
        <v>0</v>
      </c>
      <c r="R345" s="8" t="s">
        <v>949</v>
      </c>
      <c r="S345" s="8" t="s">
        <v>949</v>
      </c>
      <c r="T345" s="8">
        <v>2300</v>
      </c>
      <c r="U345" s="8" t="s">
        <v>725</v>
      </c>
    </row>
    <row r="346" spans="1:21" x14ac:dyDescent="0.35">
      <c r="A346" s="2">
        <v>23</v>
      </c>
      <c r="B346" s="115" t="s">
        <v>877</v>
      </c>
      <c r="C346" s="116" t="s">
        <v>915</v>
      </c>
      <c r="D346" s="2">
        <v>100</v>
      </c>
      <c r="E346" s="52">
        <v>23</v>
      </c>
      <c r="F346" s="111"/>
      <c r="H346" s="2"/>
      <c r="I346" s="2" t="s">
        <v>949</v>
      </c>
      <c r="J346" s="2" t="s">
        <v>949</v>
      </c>
      <c r="K346" s="2" t="s">
        <v>949</v>
      </c>
      <c r="L346" s="2" t="s">
        <v>949</v>
      </c>
      <c r="M346" s="2" t="s">
        <v>949</v>
      </c>
      <c r="N346" s="380" t="s">
        <v>949</v>
      </c>
      <c r="O346" s="2" t="s">
        <v>959</v>
      </c>
      <c r="P346" s="2">
        <v>0</v>
      </c>
      <c r="Q346" s="2">
        <v>0</v>
      </c>
      <c r="R346" s="8" t="s">
        <v>949</v>
      </c>
      <c r="S346" s="8" t="s">
        <v>949</v>
      </c>
      <c r="T346" s="8">
        <v>2300</v>
      </c>
      <c r="U346" s="8" t="s">
        <v>725</v>
      </c>
    </row>
    <row r="347" spans="1:21" x14ac:dyDescent="0.35">
      <c r="A347" s="2">
        <v>23</v>
      </c>
      <c r="B347" s="115" t="s">
        <v>878</v>
      </c>
      <c r="C347" s="116" t="s">
        <v>916</v>
      </c>
      <c r="D347" s="2">
        <v>100</v>
      </c>
      <c r="E347" s="52">
        <v>22</v>
      </c>
      <c r="F347" s="111"/>
      <c r="H347" s="2"/>
      <c r="I347" s="2" t="s">
        <v>949</v>
      </c>
      <c r="J347" s="2" t="s">
        <v>949</v>
      </c>
      <c r="K347" s="2" t="s">
        <v>949</v>
      </c>
      <c r="L347" s="2" t="s">
        <v>949</v>
      </c>
      <c r="M347" s="2" t="s">
        <v>949</v>
      </c>
      <c r="N347" s="380" t="s">
        <v>949</v>
      </c>
      <c r="O347" s="2" t="s">
        <v>959</v>
      </c>
      <c r="P347" s="2">
        <v>0</v>
      </c>
      <c r="Q347" s="2">
        <v>0</v>
      </c>
      <c r="R347" s="8" t="s">
        <v>949</v>
      </c>
      <c r="S347" s="8" t="s">
        <v>949</v>
      </c>
      <c r="T347" s="8">
        <v>2200</v>
      </c>
      <c r="U347" s="8" t="s">
        <v>725</v>
      </c>
    </row>
    <row r="348" spans="1:21" x14ac:dyDescent="0.35">
      <c r="A348" s="2">
        <v>23</v>
      </c>
      <c r="B348" s="115" t="s">
        <v>881</v>
      </c>
      <c r="C348" s="116" t="s">
        <v>919</v>
      </c>
      <c r="D348" s="2">
        <v>100</v>
      </c>
      <c r="E348" s="52">
        <v>21</v>
      </c>
      <c r="F348" s="111"/>
      <c r="H348" s="2"/>
      <c r="I348" s="2" t="s">
        <v>949</v>
      </c>
      <c r="J348" s="2" t="s">
        <v>949</v>
      </c>
      <c r="K348" s="2" t="s">
        <v>949</v>
      </c>
      <c r="L348" s="2" t="s">
        <v>949</v>
      </c>
      <c r="M348" s="2" t="s">
        <v>949</v>
      </c>
      <c r="N348" s="380" t="s">
        <v>949</v>
      </c>
      <c r="O348" s="2" t="s">
        <v>959</v>
      </c>
      <c r="P348" s="2">
        <v>0</v>
      </c>
      <c r="Q348" s="2">
        <v>0</v>
      </c>
      <c r="R348" s="8" t="s">
        <v>949</v>
      </c>
      <c r="S348" s="8" t="s">
        <v>949</v>
      </c>
      <c r="T348" s="8">
        <v>2100</v>
      </c>
      <c r="U348" s="8" t="s">
        <v>725</v>
      </c>
    </row>
    <row r="349" spans="1:21" x14ac:dyDescent="0.35">
      <c r="A349" s="2">
        <v>22</v>
      </c>
      <c r="B349" s="115" t="s">
        <v>115</v>
      </c>
      <c r="C349" s="116" t="s">
        <v>117</v>
      </c>
      <c r="D349" s="2"/>
      <c r="E349" s="52"/>
      <c r="F349" s="111"/>
      <c r="H349" s="2">
        <v>3</v>
      </c>
      <c r="I349" s="2">
        <v>0</v>
      </c>
      <c r="K349" s="2">
        <v>1</v>
      </c>
      <c r="L349" s="2">
        <v>1.1850000000000001</v>
      </c>
      <c r="M349" s="2">
        <v>1.2375</v>
      </c>
      <c r="N349" s="380">
        <v>0</v>
      </c>
      <c r="O349" s="2" t="s">
        <v>116</v>
      </c>
      <c r="P349" s="2">
        <v>100</v>
      </c>
      <c r="Q349" s="2"/>
      <c r="R349" s="8">
        <v>5041</v>
      </c>
      <c r="S349" s="8">
        <v>11.68</v>
      </c>
      <c r="T349" s="8">
        <v>35.04</v>
      </c>
      <c r="U349" s="8" t="s">
        <v>845</v>
      </c>
    </row>
    <row r="350" spans="1:21" x14ac:dyDescent="0.35">
      <c r="A350" s="2">
        <v>22</v>
      </c>
      <c r="B350" s="115" t="s">
        <v>118</v>
      </c>
      <c r="C350" s="116" t="s">
        <v>119</v>
      </c>
      <c r="D350" s="2"/>
      <c r="E350" s="52"/>
      <c r="F350" s="111"/>
      <c r="H350" s="2">
        <v>3</v>
      </c>
      <c r="I350" s="2">
        <v>0</v>
      </c>
      <c r="K350" s="2">
        <v>1</v>
      </c>
      <c r="L350" s="2">
        <v>1.1850000000000001</v>
      </c>
      <c r="M350" s="2">
        <v>1.2375</v>
      </c>
      <c r="N350" s="380">
        <v>0</v>
      </c>
      <c r="O350" s="2" t="s">
        <v>116</v>
      </c>
      <c r="P350" s="2">
        <v>100</v>
      </c>
      <c r="Q350" s="2"/>
      <c r="R350" s="8">
        <v>1535</v>
      </c>
      <c r="S350" s="8">
        <v>11.68</v>
      </c>
      <c r="T350" s="8">
        <v>35.04</v>
      </c>
      <c r="U350" s="8" t="s">
        <v>845</v>
      </c>
    </row>
    <row r="351" spans="1:21" x14ac:dyDescent="0.35">
      <c r="A351" s="2">
        <v>22</v>
      </c>
      <c r="B351" s="115" t="s">
        <v>120</v>
      </c>
      <c r="C351" s="116" t="s">
        <v>713</v>
      </c>
      <c r="D351" s="2"/>
      <c r="E351" s="52"/>
      <c r="F351" s="111"/>
      <c r="H351" s="2">
        <v>3</v>
      </c>
      <c r="I351" s="2">
        <v>0</v>
      </c>
      <c r="K351" s="2">
        <v>1</v>
      </c>
      <c r="L351" s="2">
        <v>1.1850000000000001</v>
      </c>
      <c r="M351" s="2">
        <v>1.2375</v>
      </c>
      <c r="N351" s="380">
        <v>0</v>
      </c>
      <c r="O351" s="2" t="s">
        <v>116</v>
      </c>
      <c r="P351" s="2">
        <v>100</v>
      </c>
      <c r="Q351" s="2"/>
      <c r="R351" s="8">
        <v>1665</v>
      </c>
      <c r="S351" s="8">
        <v>11.68</v>
      </c>
      <c r="T351" s="8">
        <v>35.04</v>
      </c>
      <c r="U351" s="8" t="s">
        <v>845</v>
      </c>
    </row>
    <row r="352" spans="1:21" x14ac:dyDescent="0.35">
      <c r="A352" s="2">
        <v>22</v>
      </c>
      <c r="B352" s="115" t="s">
        <v>122</v>
      </c>
      <c r="C352" s="116" t="s">
        <v>123</v>
      </c>
      <c r="D352" s="2"/>
      <c r="E352" s="52"/>
      <c r="F352" s="111"/>
      <c r="H352" s="2">
        <v>3</v>
      </c>
      <c r="I352" s="2">
        <v>0</v>
      </c>
      <c r="K352" s="2">
        <v>1</v>
      </c>
      <c r="L352" s="2">
        <v>1.1850000000000001</v>
      </c>
      <c r="M352" s="2">
        <v>1.2375</v>
      </c>
      <c r="N352" s="380">
        <v>0</v>
      </c>
      <c r="O352" s="2" t="s">
        <v>116</v>
      </c>
      <c r="P352" s="2">
        <v>100</v>
      </c>
      <c r="Q352" s="2"/>
      <c r="R352" s="8">
        <v>5724</v>
      </c>
      <c r="S352" s="8">
        <v>11.68</v>
      </c>
      <c r="T352" s="8">
        <v>35.04</v>
      </c>
      <c r="U352" s="8" t="s">
        <v>845</v>
      </c>
    </row>
    <row r="353" spans="1:21" x14ac:dyDescent="0.35">
      <c r="A353" s="2">
        <v>22</v>
      </c>
      <c r="B353" s="115" t="s">
        <v>124</v>
      </c>
      <c r="C353" s="116" t="s">
        <v>125</v>
      </c>
      <c r="D353" s="2"/>
      <c r="E353" s="52"/>
      <c r="F353" s="111"/>
      <c r="H353" s="2">
        <v>3</v>
      </c>
      <c r="I353" s="2">
        <v>0</v>
      </c>
      <c r="K353" s="2">
        <v>1</v>
      </c>
      <c r="L353" s="2">
        <v>1.1399999999999999</v>
      </c>
      <c r="M353" s="2">
        <v>1.1875</v>
      </c>
      <c r="N353" s="380">
        <v>0</v>
      </c>
      <c r="O353" s="2" t="s">
        <v>116</v>
      </c>
      <c r="P353" s="2">
        <v>100</v>
      </c>
      <c r="Q353" s="2"/>
      <c r="R353" s="8">
        <v>865</v>
      </c>
      <c r="S353" s="8">
        <v>11.68</v>
      </c>
      <c r="T353" s="8">
        <v>35.04</v>
      </c>
      <c r="U353" s="8" t="s">
        <v>845</v>
      </c>
    </row>
    <row r="354" spans="1:21" x14ac:dyDescent="0.35">
      <c r="A354" s="2">
        <v>22</v>
      </c>
      <c r="B354" s="115" t="s">
        <v>126</v>
      </c>
      <c r="C354" s="116" t="s">
        <v>127</v>
      </c>
      <c r="D354" s="2"/>
      <c r="E354" s="52"/>
      <c r="F354" s="111"/>
      <c r="H354" s="2">
        <v>3</v>
      </c>
      <c r="I354" s="2">
        <v>0</v>
      </c>
      <c r="K354" s="2">
        <v>1</v>
      </c>
      <c r="L354" s="2">
        <v>1.1399999999999999</v>
      </c>
      <c r="M354" s="2">
        <v>1.1875</v>
      </c>
      <c r="N354" s="380">
        <v>0</v>
      </c>
      <c r="O354" s="2" t="s">
        <v>116</v>
      </c>
      <c r="P354" s="2">
        <v>100</v>
      </c>
      <c r="Q354" s="2"/>
      <c r="R354" s="8">
        <v>576</v>
      </c>
      <c r="S354" s="8">
        <v>11.68</v>
      </c>
      <c r="T354" s="8">
        <v>35.04</v>
      </c>
      <c r="U354" s="8" t="s">
        <v>845</v>
      </c>
    </row>
    <row r="355" spans="1:21" x14ac:dyDescent="0.35">
      <c r="A355" s="2">
        <v>22</v>
      </c>
      <c r="B355" s="115" t="s">
        <v>128</v>
      </c>
      <c r="C355" s="116" t="s">
        <v>129</v>
      </c>
      <c r="D355" s="2"/>
      <c r="E355" s="52"/>
      <c r="F355" s="111"/>
      <c r="H355" s="2">
        <v>3</v>
      </c>
      <c r="I355" s="2">
        <v>0</v>
      </c>
      <c r="K355" s="2">
        <v>1</v>
      </c>
      <c r="L355" s="2">
        <v>1.1399999999999999</v>
      </c>
      <c r="M355" s="2">
        <v>1.1875</v>
      </c>
      <c r="N355" s="380">
        <v>0</v>
      </c>
      <c r="O355" s="2" t="s">
        <v>116</v>
      </c>
      <c r="P355" s="2">
        <v>100</v>
      </c>
      <c r="Q355" s="2"/>
      <c r="R355" s="8">
        <v>1979</v>
      </c>
      <c r="S355" s="8">
        <v>11.68</v>
      </c>
      <c r="T355" s="8">
        <v>35.04</v>
      </c>
      <c r="U355" s="8" t="s">
        <v>845</v>
      </c>
    </row>
    <row r="356" spans="1:21" x14ac:dyDescent="0.35">
      <c r="A356" s="2">
        <v>22</v>
      </c>
      <c r="B356" s="115" t="s">
        <v>130</v>
      </c>
      <c r="C356" s="116" t="s">
        <v>131</v>
      </c>
      <c r="D356" s="2"/>
      <c r="E356" s="52"/>
      <c r="F356" s="111"/>
      <c r="H356" s="2">
        <v>3</v>
      </c>
      <c r="I356" s="2">
        <v>0</v>
      </c>
      <c r="K356" s="2">
        <v>1</v>
      </c>
      <c r="L356" s="2">
        <v>1.1399999999999999</v>
      </c>
      <c r="M356" s="2">
        <v>1.1875</v>
      </c>
      <c r="N356" s="380">
        <v>0</v>
      </c>
      <c r="O356" s="2" t="s">
        <v>116</v>
      </c>
      <c r="P356" s="2">
        <v>100</v>
      </c>
      <c r="Q356" s="2"/>
      <c r="R356" s="8">
        <v>2589</v>
      </c>
      <c r="S356" s="8">
        <v>11.68</v>
      </c>
      <c r="T356" s="8">
        <v>35.04</v>
      </c>
      <c r="U356" s="8" t="s">
        <v>845</v>
      </c>
    </row>
    <row r="357" spans="1:21" x14ac:dyDescent="0.35">
      <c r="A357" s="2">
        <v>22</v>
      </c>
      <c r="B357" s="115" t="s">
        <v>149</v>
      </c>
      <c r="C357" s="116" t="s">
        <v>150</v>
      </c>
      <c r="D357" s="2"/>
      <c r="E357" s="52"/>
      <c r="F357" s="111"/>
      <c r="H357" s="2">
        <v>3</v>
      </c>
      <c r="I357" s="2">
        <v>0</v>
      </c>
      <c r="K357" s="2">
        <v>1</v>
      </c>
      <c r="L357" s="2">
        <v>1.1850000000000001</v>
      </c>
      <c r="M357" s="2">
        <v>1.2375</v>
      </c>
      <c r="N357" s="380">
        <v>0</v>
      </c>
      <c r="O357" s="2" t="s">
        <v>116</v>
      </c>
      <c r="P357" s="2">
        <v>100</v>
      </c>
      <c r="Q357" s="2"/>
      <c r="R357" s="8">
        <v>1767</v>
      </c>
      <c r="S357" s="8">
        <v>11.68</v>
      </c>
      <c r="T357" s="8">
        <v>35.04</v>
      </c>
      <c r="U357" s="8" t="s">
        <v>845</v>
      </c>
    </row>
    <row r="358" spans="1:21" x14ac:dyDescent="0.35">
      <c r="A358" s="2">
        <v>22</v>
      </c>
      <c r="B358" s="115" t="s">
        <v>151</v>
      </c>
      <c r="C358" s="116" t="s">
        <v>152</v>
      </c>
      <c r="D358" s="2"/>
      <c r="E358" s="52"/>
      <c r="F358" s="111"/>
      <c r="H358" s="2">
        <v>3</v>
      </c>
      <c r="I358" s="2">
        <v>0</v>
      </c>
      <c r="K358" s="2">
        <v>1</v>
      </c>
      <c r="L358" s="2">
        <v>1.1850000000000001</v>
      </c>
      <c r="M358" s="2">
        <v>1.2375</v>
      </c>
      <c r="N358" s="380">
        <v>0</v>
      </c>
      <c r="O358" s="2" t="s">
        <v>116</v>
      </c>
      <c r="P358" s="2">
        <v>100</v>
      </c>
      <c r="Q358" s="2"/>
      <c r="R358" s="8">
        <v>1474</v>
      </c>
      <c r="S358" s="8">
        <v>11.68</v>
      </c>
      <c r="T358" s="8">
        <v>35.04</v>
      </c>
      <c r="U358" s="8" t="s">
        <v>845</v>
      </c>
    </row>
    <row r="359" spans="1:21" x14ac:dyDescent="0.35">
      <c r="A359" s="2">
        <v>20</v>
      </c>
      <c r="B359" s="115" t="s">
        <v>99</v>
      </c>
      <c r="C359" s="116" t="s">
        <v>100</v>
      </c>
      <c r="D359" s="2"/>
      <c r="E359" s="52"/>
      <c r="F359" s="111"/>
      <c r="H359" s="2">
        <v>1</v>
      </c>
      <c r="I359" s="2">
        <v>0</v>
      </c>
      <c r="K359" s="2">
        <v>1</v>
      </c>
      <c r="L359" s="2">
        <v>0.3133333333333333</v>
      </c>
      <c r="M359" s="2">
        <v>0.34291666666666665</v>
      </c>
      <c r="N359" s="380">
        <v>0</v>
      </c>
      <c r="O359" s="2" t="s">
        <v>62</v>
      </c>
      <c r="P359" s="2">
        <v>100</v>
      </c>
      <c r="Q359" s="2"/>
      <c r="R359" s="8">
        <v>13057</v>
      </c>
      <c r="S359" s="8">
        <v>5</v>
      </c>
      <c r="T359" s="8">
        <v>5</v>
      </c>
      <c r="U359" s="8" t="s">
        <v>845</v>
      </c>
    </row>
    <row r="360" spans="1:21" x14ac:dyDescent="0.35">
      <c r="A360" s="2">
        <v>20</v>
      </c>
      <c r="B360" s="115" t="s">
        <v>101</v>
      </c>
      <c r="C360" s="116" t="s">
        <v>102</v>
      </c>
      <c r="D360" s="2"/>
      <c r="E360" s="52"/>
      <c r="F360" s="111"/>
      <c r="H360" s="2">
        <v>1</v>
      </c>
      <c r="I360" s="2">
        <v>0</v>
      </c>
      <c r="K360" s="2">
        <v>1</v>
      </c>
      <c r="L360" s="2">
        <v>0.3133333333333333</v>
      </c>
      <c r="M360" s="2">
        <v>0.34291666666666665</v>
      </c>
      <c r="N360" s="380">
        <v>0</v>
      </c>
      <c r="O360" s="2" t="s">
        <v>62</v>
      </c>
      <c r="P360" s="2">
        <v>100</v>
      </c>
      <c r="Q360" s="2"/>
      <c r="R360" s="8">
        <v>12936</v>
      </c>
      <c r="S360" s="8">
        <v>5</v>
      </c>
      <c r="T360" s="8">
        <v>5</v>
      </c>
      <c r="U360" s="8" t="s">
        <v>845</v>
      </c>
    </row>
    <row r="361" spans="1:21" x14ac:dyDescent="0.35">
      <c r="A361" s="2">
        <v>20</v>
      </c>
      <c r="B361" s="115" t="s">
        <v>103</v>
      </c>
      <c r="C361" s="116" t="s">
        <v>104</v>
      </c>
      <c r="D361" s="2"/>
      <c r="E361" s="52"/>
      <c r="F361" s="111"/>
      <c r="H361" s="2">
        <v>1</v>
      </c>
      <c r="I361" s="2">
        <v>0</v>
      </c>
      <c r="K361" s="2">
        <v>1</v>
      </c>
      <c r="L361" s="2">
        <v>0.3133333333333333</v>
      </c>
      <c r="M361" s="2">
        <v>0.34291666666666665</v>
      </c>
      <c r="N361" s="380">
        <v>0</v>
      </c>
      <c r="O361" s="2" t="s">
        <v>62</v>
      </c>
      <c r="P361" s="2">
        <v>100</v>
      </c>
      <c r="Q361" s="2"/>
      <c r="R361" s="8">
        <v>12592</v>
      </c>
      <c r="S361" s="8">
        <v>5</v>
      </c>
      <c r="T361" s="8">
        <v>5</v>
      </c>
      <c r="U361" s="8" t="s">
        <v>845</v>
      </c>
    </row>
    <row r="362" spans="1:21" x14ac:dyDescent="0.35">
      <c r="A362" s="2">
        <v>20</v>
      </c>
      <c r="B362" s="115" t="s">
        <v>105</v>
      </c>
      <c r="C362" s="116" t="s">
        <v>106</v>
      </c>
      <c r="D362" s="2"/>
      <c r="E362" s="52"/>
      <c r="F362" s="111"/>
      <c r="H362" s="2">
        <v>1</v>
      </c>
      <c r="I362" s="2">
        <v>0</v>
      </c>
      <c r="K362" s="2">
        <v>1</v>
      </c>
      <c r="L362" s="2">
        <v>0.3133333333333333</v>
      </c>
      <c r="M362" s="2">
        <v>0.34291666666666665</v>
      </c>
      <c r="N362" s="380">
        <v>0</v>
      </c>
      <c r="O362" s="2" t="s">
        <v>62</v>
      </c>
      <c r="P362" s="2">
        <v>100</v>
      </c>
      <c r="Q362" s="2"/>
      <c r="R362" s="8">
        <v>9822</v>
      </c>
      <c r="S362" s="8">
        <v>5</v>
      </c>
      <c r="T362" s="8">
        <v>5</v>
      </c>
      <c r="U362" s="8" t="s">
        <v>845</v>
      </c>
    </row>
    <row r="363" spans="1:21" x14ac:dyDescent="0.35">
      <c r="A363" s="2">
        <v>20</v>
      </c>
      <c r="B363" s="115" t="s">
        <v>107</v>
      </c>
      <c r="C363" s="116" t="s">
        <v>108</v>
      </c>
      <c r="D363" s="2"/>
      <c r="E363" s="52"/>
      <c r="F363" s="111"/>
      <c r="H363" s="2">
        <v>1</v>
      </c>
      <c r="I363" s="2">
        <v>0</v>
      </c>
      <c r="K363" s="2">
        <v>1</v>
      </c>
      <c r="L363" s="2">
        <v>0.28625</v>
      </c>
      <c r="M363" s="2">
        <v>0.31499999999999995</v>
      </c>
      <c r="N363" s="380">
        <v>0</v>
      </c>
      <c r="O363" s="2" t="s">
        <v>62</v>
      </c>
      <c r="P363" s="2">
        <v>100</v>
      </c>
      <c r="Q363" s="2"/>
      <c r="R363" s="8">
        <v>9142</v>
      </c>
      <c r="S363" s="8">
        <v>5</v>
      </c>
      <c r="T363" s="8">
        <v>5</v>
      </c>
      <c r="U363" s="8" t="s">
        <v>845</v>
      </c>
    </row>
    <row r="364" spans="1:21" x14ac:dyDescent="0.35">
      <c r="A364" s="2">
        <v>20</v>
      </c>
      <c r="B364" s="115" t="s">
        <v>109</v>
      </c>
      <c r="C364" s="116" t="s">
        <v>110</v>
      </c>
      <c r="D364" s="2"/>
      <c r="E364" s="52"/>
      <c r="F364" s="111"/>
      <c r="H364" s="2">
        <v>1</v>
      </c>
      <c r="I364" s="2">
        <v>0</v>
      </c>
      <c r="K364" s="2">
        <v>1</v>
      </c>
      <c r="L364" s="2">
        <v>0.28625</v>
      </c>
      <c r="M364" s="2">
        <v>0.31499999999999995</v>
      </c>
      <c r="N364" s="380">
        <v>0</v>
      </c>
      <c r="O364" s="2" t="s">
        <v>62</v>
      </c>
      <c r="P364" s="2">
        <v>100</v>
      </c>
      <c r="Q364" s="2"/>
      <c r="R364" s="8">
        <v>8908</v>
      </c>
      <c r="S364" s="8">
        <v>5</v>
      </c>
      <c r="T364" s="8">
        <v>5</v>
      </c>
      <c r="U364" s="8" t="s">
        <v>845</v>
      </c>
    </row>
    <row r="365" spans="1:21" x14ac:dyDescent="0.35">
      <c r="A365" s="2">
        <v>20</v>
      </c>
      <c r="B365" s="115" t="s">
        <v>111</v>
      </c>
      <c r="C365" s="116" t="s">
        <v>112</v>
      </c>
      <c r="D365" s="2"/>
      <c r="E365" s="52"/>
      <c r="F365" s="111"/>
      <c r="H365" s="2">
        <v>1</v>
      </c>
      <c r="I365" s="2">
        <v>0</v>
      </c>
      <c r="K365" s="2">
        <v>1</v>
      </c>
      <c r="L365" s="2">
        <v>0.28625</v>
      </c>
      <c r="M365" s="2">
        <v>0.31499999999999995</v>
      </c>
      <c r="N365" s="380">
        <v>0</v>
      </c>
      <c r="O365" s="2" t="s">
        <v>62</v>
      </c>
      <c r="P365" s="2">
        <v>100</v>
      </c>
      <c r="Q365" s="2"/>
      <c r="R365" s="8">
        <v>6410</v>
      </c>
      <c r="S365" s="8">
        <v>5</v>
      </c>
      <c r="T365" s="8">
        <v>5</v>
      </c>
      <c r="U365" s="8" t="s">
        <v>845</v>
      </c>
    </row>
    <row r="366" spans="1:21" x14ac:dyDescent="0.35">
      <c r="A366" s="2">
        <v>20</v>
      </c>
      <c r="B366" s="115" t="s">
        <v>113</v>
      </c>
      <c r="C366" s="116" t="s">
        <v>114</v>
      </c>
      <c r="D366" s="2"/>
      <c r="E366" s="52"/>
      <c r="F366" s="111"/>
      <c r="H366" s="2">
        <v>1</v>
      </c>
      <c r="I366" s="2">
        <v>0</v>
      </c>
      <c r="K366" s="2">
        <v>1</v>
      </c>
      <c r="L366" s="2">
        <v>0.28625</v>
      </c>
      <c r="M366" s="2">
        <v>0.31499999999999995</v>
      </c>
      <c r="N366" s="380">
        <v>0</v>
      </c>
      <c r="O366" s="2" t="s">
        <v>62</v>
      </c>
      <c r="P366" s="2">
        <v>100</v>
      </c>
      <c r="Q366" s="2"/>
      <c r="R366" s="8">
        <v>6478</v>
      </c>
      <c r="S366" s="8">
        <v>5</v>
      </c>
      <c r="T366" s="8">
        <v>5</v>
      </c>
      <c r="U366" s="8" t="s">
        <v>845</v>
      </c>
    </row>
    <row r="367" spans="1:21" x14ac:dyDescent="0.35">
      <c r="A367" s="2">
        <v>20</v>
      </c>
      <c r="B367" s="115" t="s">
        <v>115</v>
      </c>
      <c r="C367" s="116" t="s">
        <v>117</v>
      </c>
      <c r="D367" s="2"/>
      <c r="E367" s="52"/>
      <c r="F367" s="111"/>
      <c r="H367" s="2">
        <v>1</v>
      </c>
      <c r="I367" s="2">
        <v>0</v>
      </c>
      <c r="K367" s="2">
        <v>1</v>
      </c>
      <c r="L367" s="2">
        <v>0.39500000000000002</v>
      </c>
      <c r="M367" s="2">
        <v>0.41249999999999998</v>
      </c>
      <c r="N367" s="380">
        <v>0</v>
      </c>
      <c r="O367" s="2" t="s">
        <v>116</v>
      </c>
      <c r="P367" s="2">
        <v>100</v>
      </c>
      <c r="Q367" s="2"/>
      <c r="R367" s="8">
        <v>5041</v>
      </c>
      <c r="S367" s="8">
        <v>11.68</v>
      </c>
      <c r="T367" s="8">
        <v>11.68</v>
      </c>
      <c r="U367" s="8" t="s">
        <v>845</v>
      </c>
    </row>
    <row r="368" spans="1:21" x14ac:dyDescent="0.35">
      <c r="A368" s="2">
        <v>20</v>
      </c>
      <c r="B368" s="115" t="s">
        <v>118</v>
      </c>
      <c r="C368" s="116" t="s">
        <v>119</v>
      </c>
      <c r="D368" s="2"/>
      <c r="E368" s="52"/>
      <c r="F368" s="111"/>
      <c r="H368" s="2">
        <v>1</v>
      </c>
      <c r="I368" s="2">
        <v>0</v>
      </c>
      <c r="K368" s="2">
        <v>1</v>
      </c>
      <c r="L368" s="2">
        <v>0.39500000000000002</v>
      </c>
      <c r="M368" s="2">
        <v>0.41249999999999998</v>
      </c>
      <c r="N368" s="380">
        <v>0</v>
      </c>
      <c r="O368" s="2" t="s">
        <v>116</v>
      </c>
      <c r="P368" s="2">
        <v>100</v>
      </c>
      <c r="Q368" s="2"/>
      <c r="R368" s="8">
        <v>1535</v>
      </c>
      <c r="S368" s="8">
        <v>11.68</v>
      </c>
      <c r="T368" s="8">
        <v>11.68</v>
      </c>
      <c r="U368" s="8" t="s">
        <v>845</v>
      </c>
    </row>
    <row r="369" spans="1:21" x14ac:dyDescent="0.35">
      <c r="A369" s="2">
        <v>20</v>
      </c>
      <c r="B369" s="115" t="s">
        <v>120</v>
      </c>
      <c r="C369" s="116" t="s">
        <v>713</v>
      </c>
      <c r="D369" s="2"/>
      <c r="E369" s="52"/>
      <c r="F369" s="111"/>
      <c r="H369" s="2">
        <v>1</v>
      </c>
      <c r="I369" s="2">
        <v>0</v>
      </c>
      <c r="K369" s="2">
        <v>1</v>
      </c>
      <c r="L369" s="2">
        <v>0.39500000000000002</v>
      </c>
      <c r="M369" s="2">
        <v>0.41249999999999998</v>
      </c>
      <c r="N369" s="380">
        <v>0</v>
      </c>
      <c r="O369" s="2" t="s">
        <v>116</v>
      </c>
      <c r="P369" s="2">
        <v>100</v>
      </c>
      <c r="Q369" s="2"/>
      <c r="R369" s="8">
        <v>1665</v>
      </c>
      <c r="S369" s="8">
        <v>11.68</v>
      </c>
      <c r="T369" s="8">
        <v>11.68</v>
      </c>
      <c r="U369" s="8" t="s">
        <v>845</v>
      </c>
    </row>
    <row r="370" spans="1:21" x14ac:dyDescent="0.35">
      <c r="A370" s="2">
        <v>20</v>
      </c>
      <c r="B370" s="115" t="s">
        <v>122</v>
      </c>
      <c r="C370" s="116" t="s">
        <v>123</v>
      </c>
      <c r="D370" s="2"/>
      <c r="E370" s="52"/>
      <c r="F370" s="111"/>
      <c r="H370" s="2">
        <v>1</v>
      </c>
      <c r="I370" s="2">
        <v>0</v>
      </c>
      <c r="K370" s="2">
        <v>1</v>
      </c>
      <c r="L370" s="2">
        <v>0.39500000000000002</v>
      </c>
      <c r="M370" s="2">
        <v>0.41249999999999998</v>
      </c>
      <c r="N370" s="380">
        <v>0</v>
      </c>
      <c r="O370" s="2" t="s">
        <v>116</v>
      </c>
      <c r="P370" s="2">
        <v>100</v>
      </c>
      <c r="Q370" s="2"/>
      <c r="R370" s="8">
        <v>5724</v>
      </c>
      <c r="S370" s="8">
        <v>11.68</v>
      </c>
      <c r="T370" s="8">
        <v>11.68</v>
      </c>
      <c r="U370" s="8" t="s">
        <v>845</v>
      </c>
    </row>
    <row r="371" spans="1:21" x14ac:dyDescent="0.35">
      <c r="A371" s="2">
        <v>20</v>
      </c>
      <c r="B371" s="115" t="s">
        <v>124</v>
      </c>
      <c r="C371" s="116" t="s">
        <v>125</v>
      </c>
      <c r="D371" s="2"/>
      <c r="E371" s="52"/>
      <c r="F371" s="111"/>
      <c r="H371" s="2">
        <v>1</v>
      </c>
      <c r="I371" s="2">
        <v>0</v>
      </c>
      <c r="K371" s="2">
        <v>1</v>
      </c>
      <c r="L371" s="2">
        <v>0.37999999999999995</v>
      </c>
      <c r="M371" s="2">
        <v>0.39583333333333331</v>
      </c>
      <c r="N371" s="380">
        <v>0</v>
      </c>
      <c r="O371" s="2" t="s">
        <v>116</v>
      </c>
      <c r="P371" s="2">
        <v>100</v>
      </c>
      <c r="Q371" s="2"/>
      <c r="R371" s="8">
        <v>865</v>
      </c>
      <c r="S371" s="8">
        <v>11.68</v>
      </c>
      <c r="T371" s="8">
        <v>11.68</v>
      </c>
      <c r="U371" s="8" t="s">
        <v>845</v>
      </c>
    </row>
    <row r="372" spans="1:21" x14ac:dyDescent="0.35">
      <c r="A372" s="2">
        <v>20</v>
      </c>
      <c r="B372" s="115" t="s">
        <v>126</v>
      </c>
      <c r="C372" s="116" t="s">
        <v>127</v>
      </c>
      <c r="D372" s="2"/>
      <c r="E372" s="52"/>
      <c r="F372" s="111"/>
      <c r="H372" s="2">
        <v>1</v>
      </c>
      <c r="I372" s="2">
        <v>0</v>
      </c>
      <c r="K372" s="2">
        <v>1</v>
      </c>
      <c r="L372" s="2">
        <v>0.37999999999999995</v>
      </c>
      <c r="M372" s="2">
        <v>0.39583333333333331</v>
      </c>
      <c r="N372" s="380">
        <v>0</v>
      </c>
      <c r="O372" s="2" t="s">
        <v>116</v>
      </c>
      <c r="P372" s="2">
        <v>100</v>
      </c>
      <c r="Q372" s="2"/>
      <c r="R372" s="8">
        <v>576</v>
      </c>
      <c r="S372" s="8">
        <v>11.68</v>
      </c>
      <c r="T372" s="8">
        <v>11.68</v>
      </c>
      <c r="U372" s="8" t="s">
        <v>845</v>
      </c>
    </row>
    <row r="373" spans="1:21" x14ac:dyDescent="0.35">
      <c r="A373" s="2">
        <v>20</v>
      </c>
      <c r="B373" s="115" t="s">
        <v>128</v>
      </c>
      <c r="C373" s="116" t="s">
        <v>129</v>
      </c>
      <c r="D373" s="2"/>
      <c r="E373" s="52"/>
      <c r="F373" s="111"/>
      <c r="H373" s="2">
        <v>1</v>
      </c>
      <c r="I373" s="2">
        <v>0</v>
      </c>
      <c r="K373" s="2">
        <v>1</v>
      </c>
      <c r="L373" s="2">
        <v>0.37999999999999995</v>
      </c>
      <c r="M373" s="2">
        <v>0.39583333333333331</v>
      </c>
      <c r="N373" s="380">
        <v>0</v>
      </c>
      <c r="O373" s="2" t="s">
        <v>116</v>
      </c>
      <c r="P373" s="2">
        <v>100</v>
      </c>
      <c r="Q373" s="2"/>
      <c r="R373" s="8">
        <v>1979</v>
      </c>
      <c r="S373" s="8">
        <v>11.68</v>
      </c>
      <c r="T373" s="8">
        <v>11.68</v>
      </c>
      <c r="U373" s="8" t="s">
        <v>845</v>
      </c>
    </row>
    <row r="374" spans="1:21" x14ac:dyDescent="0.35">
      <c r="A374" s="2">
        <v>20</v>
      </c>
      <c r="B374" s="115" t="s">
        <v>130</v>
      </c>
      <c r="C374" s="116" t="s">
        <v>131</v>
      </c>
      <c r="D374" s="2"/>
      <c r="E374" s="52"/>
      <c r="F374" s="111"/>
      <c r="H374" s="2">
        <v>1</v>
      </c>
      <c r="I374" s="2">
        <v>0</v>
      </c>
      <c r="K374" s="2">
        <v>1</v>
      </c>
      <c r="L374" s="2">
        <v>0.37999999999999995</v>
      </c>
      <c r="M374" s="2">
        <v>0.39583333333333331</v>
      </c>
      <c r="N374" s="380">
        <v>0</v>
      </c>
      <c r="O374" s="2" t="s">
        <v>116</v>
      </c>
      <c r="P374" s="2">
        <v>100</v>
      </c>
      <c r="Q374" s="2"/>
      <c r="R374" s="8">
        <v>2589</v>
      </c>
      <c r="S374" s="8">
        <v>11.68</v>
      </c>
      <c r="T374" s="8">
        <v>11.68</v>
      </c>
      <c r="U374" s="8" t="s">
        <v>845</v>
      </c>
    </row>
    <row r="375" spans="1:21" x14ac:dyDescent="0.35">
      <c r="A375" s="2">
        <v>20</v>
      </c>
      <c r="B375" s="115" t="s">
        <v>149</v>
      </c>
      <c r="C375" s="116" t="s">
        <v>150</v>
      </c>
      <c r="D375" s="2"/>
      <c r="E375" s="52"/>
      <c r="F375" s="111"/>
      <c r="H375" s="2">
        <v>1</v>
      </c>
      <c r="I375" s="2">
        <v>0</v>
      </c>
      <c r="K375" s="2">
        <v>1</v>
      </c>
      <c r="L375" s="2">
        <v>0.39500000000000002</v>
      </c>
      <c r="M375" s="2">
        <v>0.41249999999999998</v>
      </c>
      <c r="N375" s="380">
        <v>0</v>
      </c>
      <c r="O375" s="2" t="s">
        <v>116</v>
      </c>
      <c r="P375" s="2">
        <v>100</v>
      </c>
      <c r="Q375" s="2"/>
      <c r="R375" s="8">
        <v>1767</v>
      </c>
      <c r="S375" s="8">
        <v>11.68</v>
      </c>
      <c r="T375" s="8">
        <v>11.68</v>
      </c>
      <c r="U375" s="8" t="s">
        <v>845</v>
      </c>
    </row>
    <row r="376" spans="1:21" x14ac:dyDescent="0.35">
      <c r="A376" s="2">
        <v>20</v>
      </c>
      <c r="B376" s="115" t="s">
        <v>151</v>
      </c>
      <c r="C376" s="116" t="s">
        <v>152</v>
      </c>
      <c r="D376" s="2"/>
      <c r="E376" s="52"/>
      <c r="F376" s="111"/>
      <c r="H376" s="2">
        <v>1</v>
      </c>
      <c r="I376" s="2">
        <v>0</v>
      </c>
      <c r="K376" s="2">
        <v>1</v>
      </c>
      <c r="L376" s="2">
        <v>0.39500000000000002</v>
      </c>
      <c r="M376" s="2">
        <v>0.41249999999999998</v>
      </c>
      <c r="N376" s="380">
        <v>0</v>
      </c>
      <c r="O376" s="2" t="s">
        <v>116</v>
      </c>
      <c r="P376" s="2">
        <v>100</v>
      </c>
      <c r="Q376" s="2"/>
      <c r="R376" s="8">
        <v>1474</v>
      </c>
      <c r="S376" s="8">
        <v>11.68</v>
      </c>
      <c r="T376" s="8">
        <v>11.68</v>
      </c>
      <c r="U376" s="8" t="s">
        <v>845</v>
      </c>
    </row>
    <row r="377" spans="1:21" x14ac:dyDescent="0.35">
      <c r="A377" s="2">
        <v>20</v>
      </c>
      <c r="B377" s="115" t="s">
        <v>24</v>
      </c>
      <c r="C377" s="116" t="s">
        <v>27</v>
      </c>
      <c r="D377" s="2"/>
      <c r="E377" s="52"/>
      <c r="F377" s="111"/>
      <c r="H377" s="2">
        <v>1</v>
      </c>
      <c r="I377" s="2">
        <v>0</v>
      </c>
      <c r="K377" s="2">
        <v>1</v>
      </c>
      <c r="L377" s="2">
        <v>0.42</v>
      </c>
      <c r="M377" s="2">
        <v>0.48249999999999998</v>
      </c>
      <c r="N377" s="380">
        <v>0</v>
      </c>
      <c r="O377" s="2" t="s">
        <v>25</v>
      </c>
      <c r="P377" s="2">
        <v>50</v>
      </c>
      <c r="Q377" s="2">
        <v>0</v>
      </c>
      <c r="R377" s="8">
        <v>398</v>
      </c>
      <c r="S377" s="8">
        <v>5.23</v>
      </c>
      <c r="T377" s="8">
        <v>5.23</v>
      </c>
      <c r="U377" s="8" t="s">
        <v>845</v>
      </c>
    </row>
    <row r="378" spans="1:21" x14ac:dyDescent="0.35">
      <c r="A378" s="2">
        <v>20</v>
      </c>
      <c r="B378" s="115" t="s">
        <v>36</v>
      </c>
      <c r="C378" s="116" t="s">
        <v>38</v>
      </c>
      <c r="D378" s="2"/>
      <c r="E378" s="52"/>
      <c r="F378" s="111"/>
      <c r="H378" s="2">
        <v>1</v>
      </c>
      <c r="I378" s="2">
        <v>0</v>
      </c>
      <c r="K378" s="2">
        <v>1</v>
      </c>
      <c r="L378" s="2">
        <v>0.39833333333333332</v>
      </c>
      <c r="M378" s="2">
        <v>0.4375</v>
      </c>
      <c r="N378" s="380">
        <v>0</v>
      </c>
      <c r="O378" s="2" t="s">
        <v>25</v>
      </c>
      <c r="P378" s="2">
        <v>50</v>
      </c>
      <c r="Q378" s="2">
        <v>0</v>
      </c>
      <c r="R378" s="8">
        <v>471</v>
      </c>
      <c r="S378" s="8">
        <v>5.23</v>
      </c>
      <c r="T378" s="8">
        <v>5.23</v>
      </c>
      <c r="U378" s="8" t="s">
        <v>845</v>
      </c>
    </row>
    <row r="379" spans="1:21" x14ac:dyDescent="0.35">
      <c r="A379" s="2">
        <v>20</v>
      </c>
      <c r="B379" s="115" t="s">
        <v>45</v>
      </c>
      <c r="C379" s="116" t="s">
        <v>46</v>
      </c>
      <c r="D379" s="2"/>
      <c r="E379" s="52"/>
      <c r="F379" s="111"/>
      <c r="H379" s="2">
        <v>1</v>
      </c>
      <c r="I379" s="2">
        <v>0</v>
      </c>
      <c r="K379" s="2">
        <v>1</v>
      </c>
      <c r="L379" s="2">
        <v>0.51416666666666666</v>
      </c>
      <c r="M379" s="2">
        <v>0.56416666666666659</v>
      </c>
      <c r="N379" s="380">
        <v>0</v>
      </c>
      <c r="O379" s="2" t="s">
        <v>25</v>
      </c>
      <c r="P379" s="2">
        <v>50</v>
      </c>
      <c r="Q379" s="2">
        <v>0</v>
      </c>
      <c r="R379" s="8">
        <v>309</v>
      </c>
      <c r="S379" s="8">
        <v>6.97</v>
      </c>
      <c r="T379" s="8">
        <v>6.97</v>
      </c>
      <c r="U379" s="8" t="s">
        <v>845</v>
      </c>
    </row>
    <row r="380" spans="1:21" x14ac:dyDescent="0.35">
      <c r="A380" s="2">
        <v>20</v>
      </c>
      <c r="B380" s="115" t="s">
        <v>53</v>
      </c>
      <c r="C380" s="116" t="s">
        <v>54</v>
      </c>
      <c r="D380" s="2"/>
      <c r="E380" s="52"/>
      <c r="F380" s="111"/>
      <c r="H380" s="2">
        <v>1</v>
      </c>
      <c r="I380" s="2">
        <v>0</v>
      </c>
      <c r="K380" s="2">
        <v>1</v>
      </c>
      <c r="L380" s="2">
        <v>0.47499999999999998</v>
      </c>
      <c r="M380" s="2">
        <v>0.52499999999999991</v>
      </c>
      <c r="N380" s="380">
        <v>0</v>
      </c>
      <c r="O380" s="2" t="s">
        <v>25</v>
      </c>
      <c r="P380" s="2">
        <v>50</v>
      </c>
      <c r="Q380" s="2">
        <v>0</v>
      </c>
      <c r="R380" s="8">
        <v>11</v>
      </c>
      <c r="S380" s="8">
        <v>6.97</v>
      </c>
      <c r="T380" s="8">
        <v>6.97</v>
      </c>
      <c r="U380" s="8" t="s">
        <v>845</v>
      </c>
    </row>
    <row r="381" spans="1:21" x14ac:dyDescent="0.35">
      <c r="A381" s="2">
        <v>19</v>
      </c>
      <c r="B381" s="115" t="s">
        <v>176</v>
      </c>
      <c r="C381" s="116" t="s">
        <v>179</v>
      </c>
      <c r="D381" s="2">
        <v>6720</v>
      </c>
      <c r="E381" s="52">
        <v>2.0499999999999998</v>
      </c>
      <c r="F381" s="111"/>
      <c r="H381" s="2"/>
      <c r="I381" s="2">
        <v>280</v>
      </c>
      <c r="J381" s="2">
        <v>0</v>
      </c>
      <c r="K381" s="2">
        <v>0</v>
      </c>
      <c r="L381" s="2">
        <v>1778</v>
      </c>
      <c r="M381" s="2">
        <v>1960</v>
      </c>
      <c r="N381" s="380">
        <v>4.4629200000000004</v>
      </c>
      <c r="O381" s="2" t="s">
        <v>177</v>
      </c>
      <c r="P381" s="2">
        <v>200</v>
      </c>
      <c r="Q381" s="2" t="s">
        <v>178</v>
      </c>
      <c r="R381" s="8" t="s">
        <v>949</v>
      </c>
      <c r="S381" s="8" t="s">
        <v>949</v>
      </c>
      <c r="T381" s="8">
        <v>13775.999999999998</v>
      </c>
      <c r="U381" s="8" t="s">
        <v>843</v>
      </c>
    </row>
    <row r="382" spans="1:21" x14ac:dyDescent="0.35">
      <c r="A382" s="2">
        <v>19</v>
      </c>
      <c r="B382" s="115" t="s">
        <v>181</v>
      </c>
      <c r="C382" s="116" t="s">
        <v>182</v>
      </c>
      <c r="D382" s="2">
        <v>6720</v>
      </c>
      <c r="E382" s="52">
        <v>2.0499999999999998</v>
      </c>
      <c r="F382" s="111"/>
      <c r="H382" s="2"/>
      <c r="I382" s="2">
        <v>280</v>
      </c>
      <c r="J382" s="2">
        <v>0</v>
      </c>
      <c r="K382" s="2">
        <v>0</v>
      </c>
      <c r="L382" s="2">
        <v>1778</v>
      </c>
      <c r="M382" s="2">
        <v>1960</v>
      </c>
      <c r="N382" s="380">
        <v>4.4629200000000004</v>
      </c>
      <c r="O382" s="2" t="s">
        <v>177</v>
      </c>
      <c r="P382" s="2">
        <v>200</v>
      </c>
      <c r="Q382" s="2" t="s">
        <v>178</v>
      </c>
      <c r="R382" s="8" t="s">
        <v>949</v>
      </c>
      <c r="S382" s="8" t="s">
        <v>949</v>
      </c>
      <c r="T382" s="8">
        <v>13775.999999999998</v>
      </c>
      <c r="U382" s="8" t="s">
        <v>843</v>
      </c>
    </row>
    <row r="383" spans="1:21" x14ac:dyDescent="0.35">
      <c r="A383" s="2">
        <v>19</v>
      </c>
      <c r="B383" s="115" t="s">
        <v>183</v>
      </c>
      <c r="C383" s="116" t="s">
        <v>184</v>
      </c>
      <c r="D383" s="2">
        <v>6720</v>
      </c>
      <c r="E383" s="52">
        <v>2.0499999999999998</v>
      </c>
      <c r="F383" s="111"/>
      <c r="H383" s="2"/>
      <c r="I383" s="2">
        <v>280</v>
      </c>
      <c r="J383" s="2">
        <v>0</v>
      </c>
      <c r="K383" s="2">
        <v>0</v>
      </c>
      <c r="L383" s="2">
        <v>1778</v>
      </c>
      <c r="M383" s="2">
        <v>1960</v>
      </c>
      <c r="N383" s="380">
        <v>4.4629200000000004</v>
      </c>
      <c r="O383" s="2" t="s">
        <v>177</v>
      </c>
      <c r="P383" s="2">
        <v>200</v>
      </c>
      <c r="Q383" s="2" t="s">
        <v>178</v>
      </c>
      <c r="R383" s="8" t="s">
        <v>949</v>
      </c>
      <c r="S383" s="8" t="s">
        <v>949</v>
      </c>
      <c r="T383" s="8">
        <v>13775.999999999998</v>
      </c>
      <c r="U383" s="8" t="s">
        <v>843</v>
      </c>
    </row>
    <row r="384" spans="1:21" x14ac:dyDescent="0.35">
      <c r="A384" s="2">
        <v>19</v>
      </c>
      <c r="B384" s="115" t="s">
        <v>185</v>
      </c>
      <c r="C384" s="116" t="s">
        <v>186</v>
      </c>
      <c r="D384" s="2">
        <v>6720</v>
      </c>
      <c r="E384" s="52">
        <v>2.0499999999999998</v>
      </c>
      <c r="F384" s="111"/>
      <c r="H384" s="2"/>
      <c r="I384" s="2">
        <v>280</v>
      </c>
      <c r="J384" s="2">
        <v>0</v>
      </c>
      <c r="K384" s="2">
        <v>0</v>
      </c>
      <c r="L384" s="2">
        <v>1778</v>
      </c>
      <c r="M384" s="2">
        <v>1960</v>
      </c>
      <c r="N384" s="380">
        <v>4.4629200000000004</v>
      </c>
      <c r="O384" s="2" t="s">
        <v>177</v>
      </c>
      <c r="P384" s="2">
        <v>200</v>
      </c>
      <c r="Q384" s="2" t="s">
        <v>178</v>
      </c>
      <c r="R384" s="8" t="s">
        <v>949</v>
      </c>
      <c r="S384" s="8" t="s">
        <v>949</v>
      </c>
      <c r="T384" s="8">
        <v>13775.999999999998</v>
      </c>
      <c r="U384" s="8" t="s">
        <v>843</v>
      </c>
    </row>
    <row r="385" spans="1:21" x14ac:dyDescent="0.35">
      <c r="A385" s="2">
        <v>17</v>
      </c>
      <c r="B385" s="115" t="s">
        <v>99</v>
      </c>
      <c r="C385" s="116" t="s">
        <v>100</v>
      </c>
      <c r="D385" s="2">
        <v>1512</v>
      </c>
      <c r="E385" s="52">
        <v>6</v>
      </c>
      <c r="F385" s="111"/>
      <c r="H385" s="2">
        <v>144</v>
      </c>
      <c r="I385" s="2">
        <v>63</v>
      </c>
      <c r="J385" s="2">
        <v>0</v>
      </c>
      <c r="K385" s="2">
        <v>6</v>
      </c>
      <c r="L385" s="2">
        <v>518.88</v>
      </c>
      <c r="M385" s="2">
        <v>567.87</v>
      </c>
      <c r="N385" s="380">
        <v>1.5487740000000001</v>
      </c>
      <c r="O385" s="2" t="s">
        <v>1095</v>
      </c>
      <c r="P385" s="2">
        <v>100</v>
      </c>
      <c r="Q385" s="2" t="s">
        <v>63</v>
      </c>
      <c r="R385" s="8">
        <v>5</v>
      </c>
      <c r="S385" s="8">
        <v>8280</v>
      </c>
      <c r="T385" s="8">
        <v>9072</v>
      </c>
      <c r="U385" s="8" t="s">
        <v>725</v>
      </c>
    </row>
    <row r="386" spans="1:21" x14ac:dyDescent="0.35">
      <c r="A386" s="2">
        <v>17</v>
      </c>
      <c r="B386" s="115" t="s">
        <v>99</v>
      </c>
      <c r="C386" s="116" t="s">
        <v>100</v>
      </c>
      <c r="D386" s="2"/>
      <c r="E386" s="52"/>
      <c r="F386" s="111"/>
      <c r="H386" s="2">
        <v>6</v>
      </c>
      <c r="I386" s="2">
        <v>0</v>
      </c>
      <c r="J386" s="2">
        <v>0</v>
      </c>
      <c r="K386" s="2">
        <v>1</v>
      </c>
      <c r="L386" s="2">
        <v>1.88</v>
      </c>
      <c r="M386" s="2">
        <v>2.0575000000000001</v>
      </c>
      <c r="N386" s="380">
        <v>5.6115000000000002E-3</v>
      </c>
      <c r="O386" s="2" t="s">
        <v>1095</v>
      </c>
      <c r="P386" s="2">
        <v>100</v>
      </c>
      <c r="Q386" s="2" t="s">
        <v>63</v>
      </c>
      <c r="R386" s="8">
        <v>5</v>
      </c>
      <c r="S386" s="8">
        <v>30</v>
      </c>
      <c r="T386" s="8">
        <v>0</v>
      </c>
      <c r="U386" s="8" t="s">
        <v>725</v>
      </c>
    </row>
    <row r="387" spans="1:21" x14ac:dyDescent="0.35">
      <c r="A387" s="2">
        <v>17</v>
      </c>
      <c r="B387" s="115" t="s">
        <v>101</v>
      </c>
      <c r="C387" s="116" t="s">
        <v>102</v>
      </c>
      <c r="D387" s="2">
        <v>1512</v>
      </c>
      <c r="E387" s="52">
        <v>6</v>
      </c>
      <c r="F387" s="111"/>
      <c r="H387" s="2">
        <v>144</v>
      </c>
      <c r="I387" s="2">
        <v>63</v>
      </c>
      <c r="J387" s="2">
        <v>0</v>
      </c>
      <c r="K387" s="2">
        <v>6</v>
      </c>
      <c r="L387" s="2">
        <v>518.88</v>
      </c>
      <c r="M387" s="2">
        <v>567.87</v>
      </c>
      <c r="N387" s="380">
        <v>1.5487740000000001</v>
      </c>
      <c r="O387" s="2" t="s">
        <v>1095</v>
      </c>
      <c r="P387" s="2">
        <v>100</v>
      </c>
      <c r="Q387" s="2" t="s">
        <v>63</v>
      </c>
      <c r="R387" s="8">
        <v>5</v>
      </c>
      <c r="S387" s="8">
        <v>8280</v>
      </c>
      <c r="T387" s="8">
        <v>9072</v>
      </c>
      <c r="U387" s="8" t="s">
        <v>725</v>
      </c>
    </row>
    <row r="388" spans="1:21" x14ac:dyDescent="0.35">
      <c r="A388" s="2">
        <v>17</v>
      </c>
      <c r="B388" s="115" t="s">
        <v>101</v>
      </c>
      <c r="C388" s="116" t="s">
        <v>102</v>
      </c>
      <c r="D388" s="2"/>
      <c r="E388" s="52"/>
      <c r="F388" s="111"/>
      <c r="H388" s="2">
        <v>6</v>
      </c>
      <c r="I388" s="2">
        <v>0</v>
      </c>
      <c r="J388" s="2">
        <v>0</v>
      </c>
      <c r="K388" s="2">
        <v>1</v>
      </c>
      <c r="L388" s="2">
        <v>1.88</v>
      </c>
      <c r="M388" s="2">
        <v>2.0575000000000001</v>
      </c>
      <c r="N388" s="380">
        <v>5.6115000000000002E-3</v>
      </c>
      <c r="O388" s="2" t="s">
        <v>1095</v>
      </c>
      <c r="P388" s="2">
        <v>100</v>
      </c>
      <c r="Q388" s="2" t="s">
        <v>63</v>
      </c>
      <c r="R388" s="8">
        <v>5</v>
      </c>
      <c r="S388" s="8">
        <v>30</v>
      </c>
      <c r="T388" s="8">
        <v>0</v>
      </c>
      <c r="U388" s="8" t="s">
        <v>725</v>
      </c>
    </row>
    <row r="389" spans="1:21" x14ac:dyDescent="0.35">
      <c r="A389" s="2">
        <v>17</v>
      </c>
      <c r="B389" s="115" t="s">
        <v>103</v>
      </c>
      <c r="C389" s="116" t="s">
        <v>104</v>
      </c>
      <c r="D389" s="2">
        <v>1512</v>
      </c>
      <c r="E389" s="52">
        <v>6</v>
      </c>
      <c r="F389" s="111"/>
      <c r="H389" s="2">
        <v>144</v>
      </c>
      <c r="I389" s="2">
        <v>63</v>
      </c>
      <c r="J389" s="2">
        <v>0</v>
      </c>
      <c r="K389" s="2">
        <v>6</v>
      </c>
      <c r="L389" s="2">
        <v>518.88</v>
      </c>
      <c r="M389" s="2">
        <v>567.87</v>
      </c>
      <c r="N389" s="380">
        <v>1.5487740000000001</v>
      </c>
      <c r="O389" s="2" t="s">
        <v>1095</v>
      </c>
      <c r="P389" s="2">
        <v>100</v>
      </c>
      <c r="Q389" s="2" t="s">
        <v>63</v>
      </c>
      <c r="R389" s="8">
        <v>5</v>
      </c>
      <c r="S389" s="8">
        <v>8280</v>
      </c>
      <c r="T389" s="8">
        <v>9072</v>
      </c>
      <c r="U389" s="8" t="s">
        <v>725</v>
      </c>
    </row>
    <row r="390" spans="1:21" x14ac:dyDescent="0.35">
      <c r="A390" s="2">
        <v>17</v>
      </c>
      <c r="B390" s="115" t="s">
        <v>103</v>
      </c>
      <c r="C390" s="116" t="s">
        <v>104</v>
      </c>
      <c r="D390" s="2"/>
      <c r="E390" s="52"/>
      <c r="F390" s="111"/>
      <c r="H390" s="2">
        <v>6</v>
      </c>
      <c r="I390" s="2">
        <v>0</v>
      </c>
      <c r="J390" s="2">
        <v>0</v>
      </c>
      <c r="K390" s="2">
        <v>1</v>
      </c>
      <c r="L390" s="2">
        <v>1.88</v>
      </c>
      <c r="M390" s="2">
        <v>2.0575000000000001</v>
      </c>
      <c r="N390" s="380">
        <v>5.6115000000000002E-3</v>
      </c>
      <c r="O390" s="2" t="s">
        <v>1095</v>
      </c>
      <c r="P390" s="2">
        <v>100</v>
      </c>
      <c r="Q390" s="2" t="s">
        <v>63</v>
      </c>
      <c r="R390" s="8">
        <v>5</v>
      </c>
      <c r="S390" s="8">
        <v>30</v>
      </c>
      <c r="T390" s="8">
        <v>0</v>
      </c>
      <c r="U390" s="8" t="s">
        <v>725</v>
      </c>
    </row>
    <row r="391" spans="1:21" x14ac:dyDescent="0.35">
      <c r="A391" s="2">
        <v>17</v>
      </c>
      <c r="B391" s="115" t="s">
        <v>105</v>
      </c>
      <c r="C391" s="116" t="s">
        <v>106</v>
      </c>
      <c r="D391" s="2">
        <v>1512</v>
      </c>
      <c r="E391" s="52">
        <v>6</v>
      </c>
      <c r="F391" s="111"/>
      <c r="H391" s="2">
        <v>144</v>
      </c>
      <c r="I391" s="2">
        <v>63</v>
      </c>
      <c r="J391" s="2">
        <v>0</v>
      </c>
      <c r="K391" s="2">
        <v>6</v>
      </c>
      <c r="L391" s="2">
        <v>518.88</v>
      </c>
      <c r="M391" s="2">
        <v>567.87</v>
      </c>
      <c r="N391" s="380">
        <v>1.5487740000000001</v>
      </c>
      <c r="O391" s="2" t="s">
        <v>1095</v>
      </c>
      <c r="P391" s="2">
        <v>100</v>
      </c>
      <c r="Q391" s="2" t="s">
        <v>63</v>
      </c>
      <c r="R391" s="8">
        <v>5</v>
      </c>
      <c r="S391" s="8">
        <v>8280</v>
      </c>
      <c r="T391" s="8">
        <v>9072</v>
      </c>
      <c r="U391" s="8" t="s">
        <v>725</v>
      </c>
    </row>
    <row r="392" spans="1:21" x14ac:dyDescent="0.35">
      <c r="A392" s="2">
        <v>17</v>
      </c>
      <c r="B392" s="115" t="s">
        <v>105</v>
      </c>
      <c r="C392" s="116" t="s">
        <v>106</v>
      </c>
      <c r="D392" s="2"/>
      <c r="E392" s="52"/>
      <c r="F392" s="111"/>
      <c r="H392" s="2">
        <v>6</v>
      </c>
      <c r="I392" s="2">
        <v>0</v>
      </c>
      <c r="J392" s="2">
        <v>0</v>
      </c>
      <c r="K392" s="2">
        <v>1</v>
      </c>
      <c r="L392" s="2">
        <v>1.88</v>
      </c>
      <c r="M392" s="2">
        <v>2.0575000000000001</v>
      </c>
      <c r="N392" s="380">
        <v>5.6115000000000002E-3</v>
      </c>
      <c r="O392" s="2" t="s">
        <v>1095</v>
      </c>
      <c r="P392" s="2">
        <v>100</v>
      </c>
      <c r="Q392" s="2" t="s">
        <v>63</v>
      </c>
      <c r="R392" s="8">
        <v>5</v>
      </c>
      <c r="S392" s="8">
        <v>30</v>
      </c>
      <c r="T392" s="8">
        <v>0</v>
      </c>
      <c r="U392" s="8" t="s">
        <v>725</v>
      </c>
    </row>
    <row r="393" spans="1:21" x14ac:dyDescent="0.35">
      <c r="A393" s="2">
        <v>17</v>
      </c>
      <c r="B393" s="115" t="s">
        <v>107</v>
      </c>
      <c r="C393" s="116" t="s">
        <v>108</v>
      </c>
      <c r="D393" s="2">
        <v>1512</v>
      </c>
      <c r="E393" s="52">
        <v>6</v>
      </c>
      <c r="F393" s="111"/>
      <c r="H393" s="2">
        <v>144</v>
      </c>
      <c r="I393" s="2">
        <v>63</v>
      </c>
      <c r="J393" s="2">
        <v>0</v>
      </c>
      <c r="K393" s="2">
        <v>6</v>
      </c>
      <c r="L393" s="2">
        <v>474.03000000000003</v>
      </c>
      <c r="M393" s="2">
        <v>521.64</v>
      </c>
      <c r="N393" s="380">
        <v>1.735695</v>
      </c>
      <c r="O393" s="2" t="s">
        <v>1095</v>
      </c>
      <c r="P393" s="2">
        <v>100</v>
      </c>
      <c r="Q393" s="2" t="s">
        <v>63</v>
      </c>
      <c r="R393" s="8">
        <v>5</v>
      </c>
      <c r="S393" s="8">
        <v>8280</v>
      </c>
      <c r="T393" s="8">
        <v>9072</v>
      </c>
      <c r="U393" s="8" t="s">
        <v>725</v>
      </c>
    </row>
    <row r="394" spans="1:21" x14ac:dyDescent="0.35">
      <c r="A394" s="2">
        <v>17</v>
      </c>
      <c r="B394" s="115" t="s">
        <v>107</v>
      </c>
      <c r="C394" s="116" t="s">
        <v>108</v>
      </c>
      <c r="D394" s="2"/>
      <c r="E394" s="52"/>
      <c r="F394" s="111"/>
      <c r="H394" s="2">
        <v>6</v>
      </c>
      <c r="I394" s="2">
        <v>0</v>
      </c>
      <c r="J394" s="2">
        <v>0</v>
      </c>
      <c r="K394" s="2">
        <v>1</v>
      </c>
      <c r="L394" s="2">
        <v>1.7175</v>
      </c>
      <c r="M394" s="2">
        <v>1.89</v>
      </c>
      <c r="N394" s="380">
        <v>6.2887500000000001E-3</v>
      </c>
      <c r="O394" s="2" t="s">
        <v>1095</v>
      </c>
      <c r="P394" s="2">
        <v>100</v>
      </c>
      <c r="Q394" s="2" t="s">
        <v>63</v>
      </c>
      <c r="R394" s="8">
        <v>5</v>
      </c>
      <c r="S394" s="8">
        <v>30</v>
      </c>
      <c r="T394" s="8">
        <v>0</v>
      </c>
      <c r="U394" s="8" t="s">
        <v>725</v>
      </c>
    </row>
    <row r="395" spans="1:21" x14ac:dyDescent="0.35">
      <c r="A395" s="2">
        <v>17</v>
      </c>
      <c r="B395" s="115" t="s">
        <v>109</v>
      </c>
      <c r="C395" s="116" t="s">
        <v>110</v>
      </c>
      <c r="D395" s="2">
        <v>1512</v>
      </c>
      <c r="E395" s="52">
        <v>6</v>
      </c>
      <c r="F395" s="111"/>
      <c r="H395" s="2">
        <v>144</v>
      </c>
      <c r="I395" s="2">
        <v>63</v>
      </c>
      <c r="J395" s="2">
        <v>0</v>
      </c>
      <c r="K395" s="2">
        <v>6</v>
      </c>
      <c r="L395" s="2">
        <v>474.03000000000003</v>
      </c>
      <c r="M395" s="2">
        <v>521.64</v>
      </c>
      <c r="N395" s="380">
        <v>1.735695</v>
      </c>
      <c r="O395" s="2" t="s">
        <v>1095</v>
      </c>
      <c r="P395" s="2">
        <v>100</v>
      </c>
      <c r="Q395" s="2" t="s">
        <v>63</v>
      </c>
      <c r="R395" s="8">
        <v>5</v>
      </c>
      <c r="S395" s="8">
        <v>8280</v>
      </c>
      <c r="T395" s="8">
        <v>9072</v>
      </c>
      <c r="U395" s="8" t="s">
        <v>725</v>
      </c>
    </row>
    <row r="396" spans="1:21" x14ac:dyDescent="0.35">
      <c r="A396" s="2">
        <v>17</v>
      </c>
      <c r="B396" s="115" t="s">
        <v>109</v>
      </c>
      <c r="C396" s="116" t="s">
        <v>110</v>
      </c>
      <c r="D396" s="2"/>
      <c r="E396" s="52"/>
      <c r="F396" s="111"/>
      <c r="H396" s="2">
        <v>6</v>
      </c>
      <c r="I396" s="2">
        <v>0</v>
      </c>
      <c r="J396" s="2">
        <v>0</v>
      </c>
      <c r="K396" s="2">
        <v>1</v>
      </c>
      <c r="L396" s="2">
        <v>1.7175</v>
      </c>
      <c r="M396" s="2">
        <v>1.89</v>
      </c>
      <c r="N396" s="380">
        <v>6.2887500000000001E-3</v>
      </c>
      <c r="O396" s="2" t="s">
        <v>1095</v>
      </c>
      <c r="P396" s="2">
        <v>100</v>
      </c>
      <c r="Q396" s="2" t="s">
        <v>63</v>
      </c>
      <c r="R396" s="8">
        <v>5</v>
      </c>
      <c r="S396" s="8">
        <v>30</v>
      </c>
      <c r="T396" s="8">
        <v>0</v>
      </c>
      <c r="U396" s="8" t="s">
        <v>725</v>
      </c>
    </row>
    <row r="397" spans="1:21" x14ac:dyDescent="0.35">
      <c r="A397" s="2">
        <v>17</v>
      </c>
      <c r="B397" s="115" t="s">
        <v>111</v>
      </c>
      <c r="C397" s="116" t="s">
        <v>112</v>
      </c>
      <c r="D397" s="2">
        <v>1512</v>
      </c>
      <c r="E397" s="52">
        <v>6</v>
      </c>
      <c r="F397" s="111"/>
      <c r="H397" s="2">
        <v>144</v>
      </c>
      <c r="I397" s="2">
        <v>63</v>
      </c>
      <c r="J397" s="2">
        <v>0</v>
      </c>
      <c r="K397" s="2">
        <v>6</v>
      </c>
      <c r="L397" s="2">
        <v>474.03000000000003</v>
      </c>
      <c r="M397" s="2">
        <v>521.64</v>
      </c>
      <c r="N397" s="380">
        <v>1.735695</v>
      </c>
      <c r="O397" s="2" t="s">
        <v>1095</v>
      </c>
      <c r="P397" s="2">
        <v>100</v>
      </c>
      <c r="Q397" s="2" t="s">
        <v>63</v>
      </c>
      <c r="R397" s="8">
        <v>5</v>
      </c>
      <c r="S397" s="8">
        <v>8280</v>
      </c>
      <c r="T397" s="8">
        <v>9072</v>
      </c>
      <c r="U397" s="8" t="s">
        <v>725</v>
      </c>
    </row>
    <row r="398" spans="1:21" x14ac:dyDescent="0.35">
      <c r="A398" s="2">
        <v>17</v>
      </c>
      <c r="B398" s="115" t="s">
        <v>111</v>
      </c>
      <c r="C398" s="116" t="s">
        <v>112</v>
      </c>
      <c r="D398" s="2"/>
      <c r="E398" s="52"/>
      <c r="F398" s="111"/>
      <c r="H398" s="2">
        <v>6</v>
      </c>
      <c r="I398" s="2">
        <v>0</v>
      </c>
      <c r="J398" s="2">
        <v>0</v>
      </c>
      <c r="K398" s="2">
        <v>1</v>
      </c>
      <c r="L398" s="2">
        <v>1.7175</v>
      </c>
      <c r="M398" s="2">
        <v>1.89</v>
      </c>
      <c r="N398" s="380">
        <v>6.2887500000000001E-3</v>
      </c>
      <c r="O398" s="2" t="s">
        <v>1095</v>
      </c>
      <c r="P398" s="2">
        <v>100</v>
      </c>
      <c r="Q398" s="2" t="s">
        <v>63</v>
      </c>
      <c r="R398" s="8">
        <v>5</v>
      </c>
      <c r="S398" s="8">
        <v>30</v>
      </c>
      <c r="T398" s="8">
        <v>0</v>
      </c>
      <c r="U398" s="8" t="s">
        <v>725</v>
      </c>
    </row>
    <row r="399" spans="1:21" x14ac:dyDescent="0.35">
      <c r="A399" s="2">
        <v>17</v>
      </c>
      <c r="B399" s="115" t="s">
        <v>113</v>
      </c>
      <c r="C399" s="116" t="s">
        <v>114</v>
      </c>
      <c r="D399" s="2">
        <v>1512</v>
      </c>
      <c r="E399" s="52">
        <v>6</v>
      </c>
      <c r="F399" s="111"/>
      <c r="H399" s="2">
        <v>144</v>
      </c>
      <c r="I399" s="2">
        <v>63</v>
      </c>
      <c r="J399" s="2">
        <v>0</v>
      </c>
      <c r="K399" s="2">
        <v>6</v>
      </c>
      <c r="L399" s="2">
        <v>474.03000000000003</v>
      </c>
      <c r="M399" s="2">
        <v>521.64</v>
      </c>
      <c r="N399" s="380">
        <v>1.735695</v>
      </c>
      <c r="O399" s="2" t="s">
        <v>1095</v>
      </c>
      <c r="P399" s="2">
        <v>100</v>
      </c>
      <c r="Q399" s="2" t="s">
        <v>63</v>
      </c>
      <c r="R399" s="8">
        <v>5</v>
      </c>
      <c r="S399" s="8">
        <v>8280</v>
      </c>
      <c r="T399" s="8">
        <v>9072</v>
      </c>
      <c r="U399" s="8" t="s">
        <v>725</v>
      </c>
    </row>
    <row r="400" spans="1:21" x14ac:dyDescent="0.35">
      <c r="A400" s="2">
        <v>17</v>
      </c>
      <c r="B400" s="115" t="s">
        <v>113</v>
      </c>
      <c r="C400" s="116" t="s">
        <v>114</v>
      </c>
      <c r="D400" s="2"/>
      <c r="E400" s="52"/>
      <c r="F400" s="111"/>
      <c r="H400" s="2">
        <v>6</v>
      </c>
      <c r="I400" s="2">
        <v>0</v>
      </c>
      <c r="J400" s="2">
        <v>0</v>
      </c>
      <c r="K400" s="2">
        <v>1</v>
      </c>
      <c r="L400" s="2">
        <v>1.7175</v>
      </c>
      <c r="M400" s="2">
        <v>1.89</v>
      </c>
      <c r="N400" s="380">
        <v>6.2887500000000001E-3</v>
      </c>
      <c r="O400" s="2" t="s">
        <v>1095</v>
      </c>
      <c r="P400" s="2">
        <v>100</v>
      </c>
      <c r="Q400" s="2" t="s">
        <v>63</v>
      </c>
      <c r="R400" s="8">
        <v>5</v>
      </c>
      <c r="S400" s="8">
        <v>30</v>
      </c>
      <c r="T400" s="8">
        <v>0</v>
      </c>
      <c r="U400" s="8" t="s">
        <v>725</v>
      </c>
    </row>
    <row r="401" spans="1:21" x14ac:dyDescent="0.35">
      <c r="A401" s="2">
        <v>15</v>
      </c>
      <c r="B401" s="115" t="s">
        <v>149</v>
      </c>
      <c r="C401" s="116" t="s">
        <v>150</v>
      </c>
      <c r="D401" s="2">
        <v>750</v>
      </c>
      <c r="E401" s="52">
        <v>13.5</v>
      </c>
      <c r="F401" s="111"/>
      <c r="H401" s="2"/>
      <c r="I401" s="2">
        <v>32</v>
      </c>
      <c r="J401" s="2">
        <v>0</v>
      </c>
      <c r="K401" s="2">
        <v>0</v>
      </c>
      <c r="L401" s="2">
        <v>296.25</v>
      </c>
      <c r="M401" s="2">
        <v>309.375</v>
      </c>
      <c r="N401" s="380">
        <v>0.54054687499999998</v>
      </c>
      <c r="O401" s="2" t="s">
        <v>116</v>
      </c>
      <c r="P401" s="2">
        <v>100</v>
      </c>
      <c r="Q401" s="2" t="s">
        <v>63</v>
      </c>
      <c r="R401" s="8">
        <v>11.68</v>
      </c>
      <c r="S401" s="8">
        <v>8760</v>
      </c>
      <c r="T401" s="8">
        <v>10125</v>
      </c>
      <c r="U401" s="8" t="s">
        <v>725</v>
      </c>
    </row>
    <row r="402" spans="1:21" x14ac:dyDescent="0.35">
      <c r="A402" s="2">
        <v>15</v>
      </c>
      <c r="B402" s="115" t="s">
        <v>151</v>
      </c>
      <c r="C402" s="116" t="s">
        <v>152</v>
      </c>
      <c r="D402" s="2">
        <v>750</v>
      </c>
      <c r="E402" s="52">
        <v>13.5</v>
      </c>
      <c r="F402" s="111"/>
      <c r="H402" s="2"/>
      <c r="I402" s="2">
        <v>32</v>
      </c>
      <c r="J402" s="2">
        <v>0</v>
      </c>
      <c r="K402" s="2">
        <v>0</v>
      </c>
      <c r="L402" s="2">
        <v>296.25</v>
      </c>
      <c r="M402" s="2">
        <v>309.375</v>
      </c>
      <c r="N402" s="380">
        <v>0.54054687499999998</v>
      </c>
      <c r="O402" s="2" t="s">
        <v>116</v>
      </c>
      <c r="P402" s="2">
        <v>100</v>
      </c>
      <c r="Q402" s="2" t="s">
        <v>63</v>
      </c>
      <c r="R402" s="8">
        <v>11.68</v>
      </c>
      <c r="S402" s="8">
        <v>8760</v>
      </c>
      <c r="T402" s="8">
        <v>10125</v>
      </c>
      <c r="U402" s="8" t="s">
        <v>725</v>
      </c>
    </row>
    <row r="403" spans="1:21" x14ac:dyDescent="0.35">
      <c r="A403" s="2">
        <v>14</v>
      </c>
      <c r="B403" s="115" t="s">
        <v>149</v>
      </c>
      <c r="C403" s="116" t="s">
        <v>150</v>
      </c>
      <c r="D403" s="2">
        <v>750</v>
      </c>
      <c r="E403" s="52">
        <v>13.5</v>
      </c>
      <c r="F403" s="111"/>
      <c r="H403" s="2"/>
      <c r="I403" s="2">
        <v>32</v>
      </c>
      <c r="J403" s="2">
        <v>0</v>
      </c>
      <c r="K403" s="2">
        <v>0</v>
      </c>
      <c r="L403" s="2">
        <v>296.25</v>
      </c>
      <c r="M403" s="2">
        <v>309.375</v>
      </c>
      <c r="N403" s="380">
        <v>0.54054687499999998</v>
      </c>
      <c r="O403" s="2" t="s">
        <v>116</v>
      </c>
      <c r="P403" s="2">
        <v>100</v>
      </c>
      <c r="Q403" s="2" t="s">
        <v>63</v>
      </c>
      <c r="R403" s="8">
        <v>11.68</v>
      </c>
      <c r="S403" s="8">
        <v>8760</v>
      </c>
      <c r="T403" s="8">
        <v>10125</v>
      </c>
      <c r="U403" s="8" t="s">
        <v>725</v>
      </c>
    </row>
    <row r="404" spans="1:21" x14ac:dyDescent="0.35">
      <c r="A404" s="2">
        <v>14</v>
      </c>
      <c r="B404" s="115" t="s">
        <v>151</v>
      </c>
      <c r="C404" s="116" t="s">
        <v>152</v>
      </c>
      <c r="D404" s="2">
        <v>750</v>
      </c>
      <c r="E404" s="52">
        <v>13.5</v>
      </c>
      <c r="F404" s="111"/>
      <c r="H404" s="2"/>
      <c r="I404" s="2">
        <v>32</v>
      </c>
      <c r="J404" s="2">
        <v>0</v>
      </c>
      <c r="K404" s="2">
        <v>0</v>
      </c>
      <c r="L404" s="2">
        <v>296.25</v>
      </c>
      <c r="M404" s="2">
        <v>309.375</v>
      </c>
      <c r="N404" s="380">
        <v>0.54054687499999998</v>
      </c>
      <c r="O404" s="2" t="s">
        <v>116</v>
      </c>
      <c r="P404" s="2">
        <v>100</v>
      </c>
      <c r="Q404" s="2" t="s">
        <v>63</v>
      </c>
      <c r="R404" s="8">
        <v>11.68</v>
      </c>
      <c r="S404" s="8">
        <v>8760</v>
      </c>
      <c r="T404" s="8">
        <v>10125</v>
      </c>
      <c r="U404" s="8" t="s">
        <v>725</v>
      </c>
    </row>
    <row r="405" spans="1:21" x14ac:dyDescent="0.35">
      <c r="A405" s="2">
        <v>13</v>
      </c>
      <c r="B405" s="115" t="s">
        <v>99</v>
      </c>
      <c r="C405" s="116" t="s">
        <v>100</v>
      </c>
      <c r="D405" s="2">
        <v>1356</v>
      </c>
      <c r="E405" s="52">
        <v>5.1282051282051277</v>
      </c>
      <c r="F405" s="111"/>
      <c r="H405" s="2">
        <v>130</v>
      </c>
      <c r="I405" s="2">
        <v>57</v>
      </c>
      <c r="J405" s="2">
        <v>0</v>
      </c>
      <c r="K405" s="2">
        <v>6</v>
      </c>
      <c r="L405" s="2">
        <v>465.61333333333329</v>
      </c>
      <c r="M405" s="2">
        <v>509.57416666666666</v>
      </c>
      <c r="N405" s="380">
        <v>1.3897814999999998</v>
      </c>
      <c r="O405" s="2" t="s">
        <v>1095</v>
      </c>
      <c r="P405" s="2">
        <v>100</v>
      </c>
      <c r="Q405" s="2" t="s">
        <v>63</v>
      </c>
      <c r="R405" s="8">
        <v>5</v>
      </c>
      <c r="S405" s="8">
        <v>7430</v>
      </c>
      <c r="T405" s="8">
        <v>6953.8461538461534</v>
      </c>
      <c r="U405" s="8" t="s">
        <v>725</v>
      </c>
    </row>
    <row r="406" spans="1:21" x14ac:dyDescent="0.35">
      <c r="A406" s="2">
        <v>13</v>
      </c>
      <c r="B406" s="115" t="s">
        <v>101</v>
      </c>
      <c r="C406" s="116" t="s">
        <v>102</v>
      </c>
      <c r="D406" s="2">
        <v>204</v>
      </c>
      <c r="E406" s="52">
        <v>5.2204390333886739</v>
      </c>
      <c r="F406" s="111"/>
      <c r="H406" s="2">
        <v>18</v>
      </c>
      <c r="I406" s="2">
        <v>9</v>
      </c>
      <c r="J406" s="2">
        <v>0</v>
      </c>
      <c r="K406" s="2">
        <v>1</v>
      </c>
      <c r="L406" s="2">
        <v>69.56</v>
      </c>
      <c r="M406" s="2">
        <v>76.127499999999998</v>
      </c>
      <c r="N406" s="380">
        <v>0.20762549999999999</v>
      </c>
      <c r="O406" s="2" t="s">
        <v>1095</v>
      </c>
      <c r="P406" s="2">
        <v>100</v>
      </c>
      <c r="Q406" s="2" t="s">
        <v>63</v>
      </c>
      <c r="R406" s="8">
        <v>5</v>
      </c>
      <c r="S406" s="8">
        <v>1110</v>
      </c>
      <c r="T406" s="8">
        <v>1064.9695628112895</v>
      </c>
      <c r="U406" s="8" t="s">
        <v>725</v>
      </c>
    </row>
    <row r="407" spans="1:21" x14ac:dyDescent="0.35">
      <c r="A407" s="2">
        <v>13</v>
      </c>
      <c r="B407" s="115" t="s">
        <v>103</v>
      </c>
      <c r="C407" s="116" t="s">
        <v>104</v>
      </c>
      <c r="D407" s="2">
        <v>600</v>
      </c>
      <c r="E407" s="52">
        <v>5.1282051282051277</v>
      </c>
      <c r="F407" s="111"/>
      <c r="H407" s="2">
        <v>60</v>
      </c>
      <c r="I407" s="2">
        <v>25</v>
      </c>
      <c r="J407" s="2">
        <v>0</v>
      </c>
      <c r="K407" s="2">
        <v>3</v>
      </c>
      <c r="L407" s="2">
        <v>206.79999999999998</v>
      </c>
      <c r="M407" s="2">
        <v>226.32500000000002</v>
      </c>
      <c r="N407" s="380">
        <v>0.61726499999999995</v>
      </c>
      <c r="O407" s="2" t="s">
        <v>1095</v>
      </c>
      <c r="P407" s="2">
        <v>100</v>
      </c>
      <c r="Q407" s="2" t="s">
        <v>63</v>
      </c>
      <c r="R407" s="8">
        <v>5</v>
      </c>
      <c r="S407" s="8">
        <v>3300</v>
      </c>
      <c r="T407" s="8">
        <v>3076.9230769230767</v>
      </c>
      <c r="U407" s="8" t="s">
        <v>725</v>
      </c>
    </row>
    <row r="408" spans="1:21" x14ac:dyDescent="0.35">
      <c r="A408" s="2">
        <v>13</v>
      </c>
      <c r="B408" s="115" t="s">
        <v>107</v>
      </c>
      <c r="C408" s="116" t="s">
        <v>108</v>
      </c>
      <c r="D408" s="2">
        <v>204</v>
      </c>
      <c r="E408" s="52">
        <v>5.2204390333886739</v>
      </c>
      <c r="F408" s="111"/>
      <c r="H408" s="2">
        <v>18</v>
      </c>
      <c r="I408" s="2">
        <v>9</v>
      </c>
      <c r="J408" s="2">
        <v>0</v>
      </c>
      <c r="K408" s="2">
        <v>1</v>
      </c>
      <c r="L408" s="2">
        <v>63.547499999999999</v>
      </c>
      <c r="M408" s="2">
        <v>69.929999999999993</v>
      </c>
      <c r="N408" s="380">
        <v>0.23268374999999999</v>
      </c>
      <c r="O408" s="2" t="s">
        <v>1095</v>
      </c>
      <c r="P408" s="2">
        <v>100</v>
      </c>
      <c r="Q408" s="2" t="s">
        <v>63</v>
      </c>
      <c r="R408" s="8">
        <v>5</v>
      </c>
      <c r="S408" s="8">
        <v>1110</v>
      </c>
      <c r="T408" s="8">
        <v>1064.9695628112895</v>
      </c>
      <c r="U408" s="8" t="s">
        <v>725</v>
      </c>
    </row>
    <row r="409" spans="1:21" x14ac:dyDescent="0.35">
      <c r="A409" s="2">
        <v>13</v>
      </c>
      <c r="B409" s="115" t="s">
        <v>120</v>
      </c>
      <c r="C409" s="116" t="s">
        <v>713</v>
      </c>
      <c r="D409" s="2">
        <v>504</v>
      </c>
      <c r="E409" s="52">
        <v>8.59</v>
      </c>
      <c r="F409" s="111"/>
      <c r="H409" s="2">
        <v>48</v>
      </c>
      <c r="I409" s="2">
        <v>21</v>
      </c>
      <c r="J409" s="2">
        <v>0</v>
      </c>
      <c r="K409" s="2">
        <v>2</v>
      </c>
      <c r="L409" s="2">
        <v>218.04000000000002</v>
      </c>
      <c r="M409" s="2">
        <v>227.70000000000002</v>
      </c>
      <c r="N409" s="380">
        <v>0.39784249999999999</v>
      </c>
      <c r="O409" s="2" t="s">
        <v>116</v>
      </c>
      <c r="P409" s="2">
        <v>100</v>
      </c>
      <c r="Q409" s="2" t="s">
        <v>63</v>
      </c>
      <c r="R409" s="8">
        <v>11.68</v>
      </c>
      <c r="S409" s="8">
        <v>6447.36</v>
      </c>
      <c r="T409" s="8">
        <v>4329.3599999999997</v>
      </c>
      <c r="U409" s="8" t="s">
        <v>725</v>
      </c>
    </row>
    <row r="410" spans="1:21" x14ac:dyDescent="0.35">
      <c r="A410" s="2">
        <v>13</v>
      </c>
      <c r="B410" s="115" t="s">
        <v>128</v>
      </c>
      <c r="C410" s="116" t="s">
        <v>129</v>
      </c>
      <c r="D410" s="2">
        <v>60</v>
      </c>
      <c r="E410" s="52">
        <v>8.59</v>
      </c>
      <c r="F410" s="111"/>
      <c r="H410" s="2"/>
      <c r="I410" s="2">
        <v>3</v>
      </c>
      <c r="J410" s="2">
        <v>0</v>
      </c>
      <c r="K410" s="2">
        <v>0</v>
      </c>
      <c r="L410" s="2">
        <v>22.799999999999997</v>
      </c>
      <c r="M410" s="2">
        <v>23.75</v>
      </c>
      <c r="N410" s="380">
        <v>4.3828125000000002E-2</v>
      </c>
      <c r="O410" s="2" t="s">
        <v>116</v>
      </c>
      <c r="P410" s="2">
        <v>100</v>
      </c>
      <c r="Q410" s="2" t="s">
        <v>63</v>
      </c>
      <c r="R410" s="8">
        <v>11.68</v>
      </c>
      <c r="S410" s="8">
        <v>700.8</v>
      </c>
      <c r="T410" s="8">
        <v>515.4</v>
      </c>
      <c r="U410" s="8" t="s">
        <v>725</v>
      </c>
    </row>
    <row r="411" spans="1:21" x14ac:dyDescent="0.35">
      <c r="A411" s="2">
        <v>13</v>
      </c>
      <c r="B411" s="115" t="s">
        <v>24</v>
      </c>
      <c r="C411" s="116" t="s">
        <v>27</v>
      </c>
      <c r="D411" s="2">
        <v>1440</v>
      </c>
      <c r="E411" s="52">
        <v>5.22</v>
      </c>
      <c r="F411" s="111"/>
      <c r="H411" s="2"/>
      <c r="I411" s="2">
        <v>120</v>
      </c>
      <c r="J411" s="2">
        <v>0</v>
      </c>
      <c r="K411" s="2">
        <v>0</v>
      </c>
      <c r="L411" s="2">
        <v>604.79999999999995</v>
      </c>
      <c r="M411" s="2">
        <v>694.8</v>
      </c>
      <c r="N411" s="380">
        <v>3.3699599999999998</v>
      </c>
      <c r="O411" s="2" t="s">
        <v>25</v>
      </c>
      <c r="P411" s="2">
        <v>50</v>
      </c>
      <c r="Q411" s="2">
        <v>0</v>
      </c>
      <c r="R411" s="8">
        <v>5.23</v>
      </c>
      <c r="S411" s="8">
        <v>7531.2000000000007</v>
      </c>
      <c r="T411" s="8">
        <v>7516.7999999999993</v>
      </c>
      <c r="U411" s="8" t="s">
        <v>725</v>
      </c>
    </row>
    <row r="412" spans="1:21" x14ac:dyDescent="0.35">
      <c r="A412" s="2">
        <v>13</v>
      </c>
      <c r="B412" s="115" t="s">
        <v>32</v>
      </c>
      <c r="C412" s="116" t="s">
        <v>33</v>
      </c>
      <c r="D412" s="2">
        <v>1440</v>
      </c>
      <c r="E412" s="52">
        <v>5.22</v>
      </c>
      <c r="F412" s="111"/>
      <c r="H412" s="2"/>
      <c r="I412" s="2">
        <v>120</v>
      </c>
      <c r="J412" s="2">
        <v>0</v>
      </c>
      <c r="K412" s="2">
        <v>0</v>
      </c>
      <c r="L412" s="2">
        <v>604.79999999999995</v>
      </c>
      <c r="M412" s="2">
        <v>694.8</v>
      </c>
      <c r="N412" s="380">
        <v>3.3699599999999998</v>
      </c>
      <c r="O412" s="2" t="s">
        <v>25</v>
      </c>
      <c r="P412" s="2">
        <v>50</v>
      </c>
      <c r="Q412" s="2">
        <v>0</v>
      </c>
      <c r="R412" s="8">
        <v>5.23</v>
      </c>
      <c r="S412" s="8">
        <v>7531.2000000000007</v>
      </c>
      <c r="T412" s="8">
        <v>7516.7999999999993</v>
      </c>
      <c r="U412" s="8" t="s">
        <v>725</v>
      </c>
    </row>
    <row r="413" spans="1:21" x14ac:dyDescent="0.35">
      <c r="A413" s="2">
        <v>12</v>
      </c>
      <c r="B413" s="115" t="s">
        <v>99</v>
      </c>
      <c r="C413" s="116" t="s">
        <v>100</v>
      </c>
      <c r="D413" s="2"/>
      <c r="E413" s="52"/>
      <c r="F413" s="111"/>
      <c r="H413" s="2">
        <v>4</v>
      </c>
      <c r="I413" s="2">
        <v>0</v>
      </c>
      <c r="J413" s="2">
        <v>0</v>
      </c>
      <c r="K413" s="2">
        <v>1</v>
      </c>
      <c r="L413" s="2">
        <v>1.2533333333333332</v>
      </c>
      <c r="M413" s="2">
        <v>1.3716666666666666</v>
      </c>
      <c r="N413" s="380">
        <v>3.7409999999999995E-3</v>
      </c>
      <c r="O413" s="2" t="s">
        <v>1095</v>
      </c>
      <c r="P413" s="2">
        <v>100</v>
      </c>
      <c r="Q413" s="2" t="s">
        <v>63</v>
      </c>
      <c r="R413" s="8">
        <v>5</v>
      </c>
      <c r="S413" s="8">
        <v>20</v>
      </c>
      <c r="T413" s="8">
        <v>0</v>
      </c>
      <c r="U413" s="8" t="s">
        <v>725</v>
      </c>
    </row>
    <row r="414" spans="1:21" x14ac:dyDescent="0.35">
      <c r="A414" s="2">
        <v>12</v>
      </c>
      <c r="B414" s="115" t="s">
        <v>103</v>
      </c>
      <c r="C414" s="116" t="s">
        <v>104</v>
      </c>
      <c r="D414" s="2"/>
      <c r="E414" s="52"/>
      <c r="F414" s="111"/>
      <c r="H414" s="2">
        <v>3</v>
      </c>
      <c r="I414" s="2">
        <v>0</v>
      </c>
      <c r="J414" s="2">
        <v>0</v>
      </c>
      <c r="K414" s="2">
        <v>1</v>
      </c>
      <c r="L414" s="2">
        <v>0.94</v>
      </c>
      <c r="M414" s="2">
        <v>1.0287500000000001</v>
      </c>
      <c r="N414" s="380">
        <v>2.8057500000000001E-3</v>
      </c>
      <c r="O414" s="2" t="s">
        <v>1095</v>
      </c>
      <c r="P414" s="2">
        <v>100</v>
      </c>
      <c r="Q414" s="2" t="s">
        <v>63</v>
      </c>
      <c r="R414" s="8">
        <v>5</v>
      </c>
      <c r="S414" s="8">
        <v>15</v>
      </c>
      <c r="T414" s="8">
        <v>0</v>
      </c>
      <c r="U414" s="8" t="s">
        <v>725</v>
      </c>
    </row>
    <row r="415" spans="1:21" x14ac:dyDescent="0.35">
      <c r="A415" s="2">
        <v>12</v>
      </c>
      <c r="B415" s="115" t="s">
        <v>107</v>
      </c>
      <c r="C415" s="116" t="s">
        <v>108</v>
      </c>
      <c r="D415" s="2"/>
      <c r="E415" s="52"/>
      <c r="F415" s="111"/>
      <c r="H415" s="2">
        <v>1</v>
      </c>
      <c r="I415" s="2">
        <v>0</v>
      </c>
      <c r="J415" s="2">
        <v>0</v>
      </c>
      <c r="K415" s="2">
        <v>1</v>
      </c>
      <c r="L415" s="2">
        <v>0.28625</v>
      </c>
      <c r="M415" s="2">
        <v>0.31499999999999995</v>
      </c>
      <c r="N415" s="380">
        <v>1.0481249999999998E-3</v>
      </c>
      <c r="O415" s="2" t="s">
        <v>1095</v>
      </c>
      <c r="P415" s="2">
        <v>100</v>
      </c>
      <c r="Q415" s="2" t="s">
        <v>63</v>
      </c>
      <c r="R415" s="8">
        <v>5</v>
      </c>
      <c r="S415" s="8">
        <v>5</v>
      </c>
      <c r="T415" s="8">
        <v>0</v>
      </c>
      <c r="U415" s="8" t="s">
        <v>725</v>
      </c>
    </row>
    <row r="416" spans="1:21" x14ac:dyDescent="0.35">
      <c r="A416" s="2">
        <v>12</v>
      </c>
      <c r="B416" s="115" t="s">
        <v>109</v>
      </c>
      <c r="C416" s="116" t="s">
        <v>110</v>
      </c>
      <c r="D416" s="2"/>
      <c r="E416" s="52"/>
      <c r="F416" s="111"/>
      <c r="H416" s="2">
        <v>1</v>
      </c>
      <c r="I416" s="2">
        <v>0</v>
      </c>
      <c r="J416" s="2">
        <v>0</v>
      </c>
      <c r="K416" s="2">
        <v>1</v>
      </c>
      <c r="L416" s="2">
        <v>0.28625</v>
      </c>
      <c r="M416" s="2">
        <v>0.31499999999999995</v>
      </c>
      <c r="N416" s="380">
        <v>1.0481249999999998E-3</v>
      </c>
      <c r="O416" s="2" t="s">
        <v>1095</v>
      </c>
      <c r="P416" s="2">
        <v>100</v>
      </c>
      <c r="Q416" s="2" t="s">
        <v>63</v>
      </c>
      <c r="R416" s="8">
        <v>5</v>
      </c>
      <c r="S416" s="8">
        <v>5</v>
      </c>
      <c r="T416" s="8">
        <v>0</v>
      </c>
      <c r="U416" s="8" t="s">
        <v>725</v>
      </c>
    </row>
    <row r="417" spans="1:21" x14ac:dyDescent="0.35">
      <c r="A417" s="2">
        <v>12</v>
      </c>
      <c r="B417" s="115" t="s">
        <v>149</v>
      </c>
      <c r="C417" s="116" t="s">
        <v>150</v>
      </c>
      <c r="D417" s="2">
        <v>1008</v>
      </c>
      <c r="E417" s="52">
        <v>12.5</v>
      </c>
      <c r="F417" s="111"/>
      <c r="H417" s="2">
        <v>144</v>
      </c>
      <c r="I417" s="2">
        <v>42</v>
      </c>
      <c r="J417" s="2">
        <v>0</v>
      </c>
      <c r="K417" s="2">
        <v>6</v>
      </c>
      <c r="L417" s="2">
        <v>455.04</v>
      </c>
      <c r="M417" s="2">
        <v>475.20000000000005</v>
      </c>
      <c r="N417" s="380">
        <v>0.84150000000000003</v>
      </c>
      <c r="O417" s="2" t="s">
        <v>116</v>
      </c>
      <c r="P417" s="2">
        <v>100</v>
      </c>
      <c r="Q417" s="2" t="s">
        <v>63</v>
      </c>
      <c r="R417" s="8">
        <v>11.68</v>
      </c>
      <c r="S417" s="8">
        <v>13455.36</v>
      </c>
      <c r="T417" s="8">
        <v>12600</v>
      </c>
      <c r="U417" s="8" t="s">
        <v>725</v>
      </c>
    </row>
    <row r="418" spans="1:21" x14ac:dyDescent="0.35">
      <c r="A418" s="2">
        <v>12</v>
      </c>
      <c r="B418" s="115" t="s">
        <v>151</v>
      </c>
      <c r="C418" s="116" t="s">
        <v>152</v>
      </c>
      <c r="D418" s="2">
        <v>768</v>
      </c>
      <c r="E418" s="52">
        <v>12.5</v>
      </c>
      <c r="F418" s="111"/>
      <c r="H418" s="2">
        <v>109</v>
      </c>
      <c r="I418" s="2">
        <v>32</v>
      </c>
      <c r="J418" s="2">
        <v>0</v>
      </c>
      <c r="K418" s="2">
        <v>5</v>
      </c>
      <c r="L418" s="2">
        <v>346.41500000000002</v>
      </c>
      <c r="M418" s="2">
        <v>361.76249999999999</v>
      </c>
      <c r="N418" s="380">
        <v>0.64062109374999998</v>
      </c>
      <c r="O418" s="2" t="s">
        <v>116</v>
      </c>
      <c r="P418" s="2">
        <v>100</v>
      </c>
      <c r="Q418" s="2" t="s">
        <v>63</v>
      </c>
      <c r="R418" s="8">
        <v>11.68</v>
      </c>
      <c r="S418" s="8">
        <v>10243.36</v>
      </c>
      <c r="T418" s="8">
        <v>9600</v>
      </c>
      <c r="U418" s="8" t="s">
        <v>725</v>
      </c>
    </row>
    <row r="419" spans="1:21" x14ac:dyDescent="0.35">
      <c r="A419" s="2">
        <v>12</v>
      </c>
      <c r="B419" s="115" t="s">
        <v>176</v>
      </c>
      <c r="C419" s="116" t="s">
        <v>179</v>
      </c>
      <c r="D419" s="2"/>
      <c r="E419" s="52"/>
      <c r="F419" s="111"/>
      <c r="H419" s="2">
        <v>2</v>
      </c>
      <c r="I419" s="2">
        <v>0</v>
      </c>
      <c r="J419" s="2">
        <v>0</v>
      </c>
      <c r="K419" s="2">
        <v>1</v>
      </c>
      <c r="L419" s="2">
        <v>0.52916666666666656</v>
      </c>
      <c r="M419" s="2">
        <v>0.58333333333333326</v>
      </c>
      <c r="N419" s="380">
        <v>1.32825E-3</v>
      </c>
      <c r="O419" s="2" t="s">
        <v>177</v>
      </c>
      <c r="P419" s="2">
        <v>200</v>
      </c>
      <c r="Q419" s="2" t="s">
        <v>178</v>
      </c>
      <c r="R419" s="8">
        <v>2.0499999999999998</v>
      </c>
      <c r="S419" s="8">
        <v>4.0999999999999996</v>
      </c>
      <c r="T419" s="8">
        <v>0</v>
      </c>
      <c r="U419" s="8" t="s">
        <v>725</v>
      </c>
    </row>
    <row r="420" spans="1:21" x14ac:dyDescent="0.35">
      <c r="A420" s="2">
        <v>12</v>
      </c>
      <c r="B420" s="115" t="s">
        <v>183</v>
      </c>
      <c r="C420" s="116" t="s">
        <v>184</v>
      </c>
      <c r="D420" s="2"/>
      <c r="E420" s="52"/>
      <c r="F420" s="111"/>
      <c r="H420" s="2">
        <v>5</v>
      </c>
      <c r="I420" s="2">
        <v>0</v>
      </c>
      <c r="J420" s="2">
        <v>0</v>
      </c>
      <c r="K420" s="2">
        <v>1</v>
      </c>
      <c r="L420" s="2">
        <v>1.3229166666666667</v>
      </c>
      <c r="M420" s="2">
        <v>1.4583333333333335</v>
      </c>
      <c r="N420" s="380">
        <v>3.3206249999999998E-3</v>
      </c>
      <c r="O420" s="2" t="s">
        <v>177</v>
      </c>
      <c r="P420" s="2">
        <v>200</v>
      </c>
      <c r="Q420" s="2" t="s">
        <v>178</v>
      </c>
      <c r="R420" s="8">
        <v>2.0499999999999998</v>
      </c>
      <c r="S420" s="8">
        <v>10.25</v>
      </c>
      <c r="T420" s="8">
        <v>0</v>
      </c>
      <c r="U420" s="8" t="s">
        <v>725</v>
      </c>
    </row>
    <row r="421" spans="1:21" x14ac:dyDescent="0.35">
      <c r="A421" s="2">
        <v>11</v>
      </c>
      <c r="B421" s="115" t="s">
        <v>164</v>
      </c>
      <c r="C421" s="116" t="s">
        <v>165</v>
      </c>
      <c r="D421" s="2">
        <v>6888</v>
      </c>
      <c r="E421" s="52">
        <v>1.03</v>
      </c>
      <c r="F421" s="111"/>
      <c r="H421" s="2"/>
      <c r="I421" s="2">
        <v>144</v>
      </c>
      <c r="J421" s="2">
        <v>0</v>
      </c>
      <c r="K421" s="2">
        <v>0</v>
      </c>
      <c r="L421" s="2">
        <v>902.32800000000009</v>
      </c>
      <c r="M421" s="2">
        <v>1009.6659999999999</v>
      </c>
      <c r="N421" s="380">
        <v>3.7654399999999999</v>
      </c>
      <c r="O421" s="2" t="s">
        <v>158</v>
      </c>
      <c r="P421" s="2">
        <v>150</v>
      </c>
      <c r="Q421" s="2" t="s">
        <v>159</v>
      </c>
      <c r="R421" s="8">
        <v>0.81599999999999995</v>
      </c>
      <c r="S421" s="8">
        <v>5620.6079999999993</v>
      </c>
      <c r="T421" s="8">
        <v>7094.64</v>
      </c>
      <c r="U421" s="8" t="s">
        <v>725</v>
      </c>
    </row>
    <row r="422" spans="1:21" x14ac:dyDescent="0.35">
      <c r="A422" s="2">
        <v>10</v>
      </c>
      <c r="B422" s="115" t="s">
        <v>99</v>
      </c>
      <c r="C422" s="116" t="s">
        <v>100</v>
      </c>
      <c r="D422" s="2">
        <v>60</v>
      </c>
      <c r="E422" s="52">
        <v>4.76</v>
      </c>
      <c r="F422" s="111"/>
      <c r="H422" s="2">
        <v>10</v>
      </c>
      <c r="I422" s="2">
        <v>3</v>
      </c>
      <c r="J422" s="2">
        <v>0</v>
      </c>
      <c r="K422" s="2">
        <v>1</v>
      </c>
      <c r="L422" s="2">
        <v>21.93333333333333</v>
      </c>
      <c r="M422" s="2">
        <v>24.004166666666666</v>
      </c>
      <c r="N422" s="380">
        <v>6.5467499999999998E-2</v>
      </c>
      <c r="O422" s="2" t="s">
        <v>1095</v>
      </c>
      <c r="P422" s="2">
        <v>100</v>
      </c>
      <c r="Q422" s="2" t="s">
        <v>63</v>
      </c>
      <c r="R422" s="8">
        <v>5</v>
      </c>
      <c r="S422" s="8">
        <v>350</v>
      </c>
      <c r="T422" s="8">
        <v>285.59999999999997</v>
      </c>
      <c r="U422" s="8" t="s">
        <v>725</v>
      </c>
    </row>
    <row r="423" spans="1:21" x14ac:dyDescent="0.35">
      <c r="A423" s="2">
        <v>10</v>
      </c>
      <c r="B423" s="115" t="s">
        <v>101</v>
      </c>
      <c r="C423" s="116" t="s">
        <v>102</v>
      </c>
      <c r="D423" s="2">
        <v>20</v>
      </c>
      <c r="E423" s="52">
        <v>4.76</v>
      </c>
      <c r="F423" s="111"/>
      <c r="H423" s="2">
        <v>3</v>
      </c>
      <c r="I423" s="2">
        <v>1</v>
      </c>
      <c r="J423" s="2">
        <v>0</v>
      </c>
      <c r="K423" s="2">
        <v>1</v>
      </c>
      <c r="L423" s="2">
        <v>7.2066666666666661</v>
      </c>
      <c r="M423" s="2">
        <v>7.8870833333333339</v>
      </c>
      <c r="N423" s="380">
        <v>2.1510750000000002E-2</v>
      </c>
      <c r="O423" s="2" t="s">
        <v>1095</v>
      </c>
      <c r="P423" s="2">
        <v>100</v>
      </c>
      <c r="Q423" s="2" t="s">
        <v>63</v>
      </c>
      <c r="R423" s="8">
        <v>5</v>
      </c>
      <c r="S423" s="8">
        <v>115</v>
      </c>
      <c r="T423" s="8">
        <v>95.199999999999989</v>
      </c>
      <c r="U423" s="8" t="s">
        <v>725</v>
      </c>
    </row>
    <row r="424" spans="1:21" x14ac:dyDescent="0.35">
      <c r="A424" s="2">
        <v>10</v>
      </c>
      <c r="B424" s="115" t="s">
        <v>103</v>
      </c>
      <c r="C424" s="116" t="s">
        <v>104</v>
      </c>
      <c r="D424" s="2">
        <v>40</v>
      </c>
      <c r="E424" s="52">
        <v>4.76</v>
      </c>
      <c r="F424" s="111"/>
      <c r="H424" s="2">
        <v>7</v>
      </c>
      <c r="I424" s="2">
        <v>2</v>
      </c>
      <c r="J424" s="2">
        <v>0</v>
      </c>
      <c r="K424" s="2">
        <v>1</v>
      </c>
      <c r="L424" s="2">
        <v>14.726666666666665</v>
      </c>
      <c r="M424" s="2">
        <v>16.117083333333333</v>
      </c>
      <c r="N424" s="380">
        <v>4.3956749999999996E-2</v>
      </c>
      <c r="O424" s="2" t="s">
        <v>1095</v>
      </c>
      <c r="P424" s="2">
        <v>100</v>
      </c>
      <c r="Q424" s="2" t="s">
        <v>63</v>
      </c>
      <c r="R424" s="8">
        <v>5</v>
      </c>
      <c r="S424" s="8">
        <v>235</v>
      </c>
      <c r="T424" s="8">
        <v>190.39999999999998</v>
      </c>
      <c r="U424" s="8" t="s">
        <v>725</v>
      </c>
    </row>
    <row r="425" spans="1:21" x14ac:dyDescent="0.35">
      <c r="A425" s="2">
        <v>10</v>
      </c>
      <c r="B425" s="115" t="s">
        <v>105</v>
      </c>
      <c r="C425" s="116" t="s">
        <v>106</v>
      </c>
      <c r="D425" s="2">
        <v>40</v>
      </c>
      <c r="E425" s="52">
        <v>4.76</v>
      </c>
      <c r="F425" s="111"/>
      <c r="H425" s="2">
        <v>7</v>
      </c>
      <c r="I425" s="2">
        <v>2</v>
      </c>
      <c r="J425" s="2">
        <v>0</v>
      </c>
      <c r="K425" s="2">
        <v>1</v>
      </c>
      <c r="L425" s="2">
        <v>14.726666666666665</v>
      </c>
      <c r="M425" s="2">
        <v>16.117083333333333</v>
      </c>
      <c r="N425" s="380">
        <v>4.3956749999999996E-2</v>
      </c>
      <c r="O425" s="2" t="s">
        <v>1095</v>
      </c>
      <c r="P425" s="2">
        <v>100</v>
      </c>
      <c r="Q425" s="2" t="s">
        <v>63</v>
      </c>
      <c r="R425" s="8">
        <v>5</v>
      </c>
      <c r="S425" s="8">
        <v>235</v>
      </c>
      <c r="T425" s="8">
        <v>190.39999999999998</v>
      </c>
      <c r="U425" s="8" t="s">
        <v>725</v>
      </c>
    </row>
    <row r="426" spans="1:21" x14ac:dyDescent="0.35">
      <c r="A426" s="2">
        <v>10</v>
      </c>
      <c r="B426" s="115" t="s">
        <v>107</v>
      </c>
      <c r="C426" s="116" t="s">
        <v>108</v>
      </c>
      <c r="D426" s="2">
        <v>50</v>
      </c>
      <c r="E426" s="52">
        <v>4.76</v>
      </c>
      <c r="F426" s="111"/>
      <c r="H426" s="2">
        <v>8</v>
      </c>
      <c r="I426" s="2">
        <v>3</v>
      </c>
      <c r="J426" s="2">
        <v>0</v>
      </c>
      <c r="K426" s="2">
        <v>1</v>
      </c>
      <c r="L426" s="2">
        <v>16.602499999999999</v>
      </c>
      <c r="M426" s="2">
        <v>18.27</v>
      </c>
      <c r="N426" s="380">
        <v>6.0791249999999984E-2</v>
      </c>
      <c r="O426" s="2" t="s">
        <v>1095</v>
      </c>
      <c r="P426" s="2">
        <v>100</v>
      </c>
      <c r="Q426" s="2" t="s">
        <v>63</v>
      </c>
      <c r="R426" s="8">
        <v>5</v>
      </c>
      <c r="S426" s="8">
        <v>290</v>
      </c>
      <c r="T426" s="8">
        <v>238</v>
      </c>
      <c r="U426" s="8" t="s">
        <v>725</v>
      </c>
    </row>
    <row r="427" spans="1:21" x14ac:dyDescent="0.35">
      <c r="A427" s="2">
        <v>10</v>
      </c>
      <c r="B427" s="115" t="s">
        <v>109</v>
      </c>
      <c r="C427" s="116" t="s">
        <v>110</v>
      </c>
      <c r="D427" s="2">
        <v>40</v>
      </c>
      <c r="E427" s="52">
        <v>4.76</v>
      </c>
      <c r="F427" s="111"/>
      <c r="H427" s="2">
        <v>7</v>
      </c>
      <c r="I427" s="2">
        <v>2</v>
      </c>
      <c r="J427" s="2">
        <v>0</v>
      </c>
      <c r="K427" s="2">
        <v>1</v>
      </c>
      <c r="L427" s="2">
        <v>13.453749999999999</v>
      </c>
      <c r="M427" s="2">
        <v>14.804999999999998</v>
      </c>
      <c r="N427" s="380">
        <v>4.926187499999999E-2</v>
      </c>
      <c r="O427" s="2" t="s">
        <v>1095</v>
      </c>
      <c r="P427" s="2">
        <v>100</v>
      </c>
      <c r="Q427" s="2" t="s">
        <v>63</v>
      </c>
      <c r="R427" s="8">
        <v>5</v>
      </c>
      <c r="S427" s="8">
        <v>235</v>
      </c>
      <c r="T427" s="8">
        <v>190.39999999999998</v>
      </c>
      <c r="U427" s="8" t="s">
        <v>725</v>
      </c>
    </row>
    <row r="428" spans="1:21" x14ac:dyDescent="0.35">
      <c r="A428" s="2">
        <v>10</v>
      </c>
      <c r="B428" s="115" t="s">
        <v>111</v>
      </c>
      <c r="C428" s="116" t="s">
        <v>112</v>
      </c>
      <c r="D428" s="2">
        <v>30</v>
      </c>
      <c r="E428" s="52">
        <v>4.76</v>
      </c>
      <c r="F428" s="111"/>
      <c r="H428" s="2">
        <v>5</v>
      </c>
      <c r="I428" s="2">
        <v>2</v>
      </c>
      <c r="J428" s="2">
        <v>0</v>
      </c>
      <c r="K428" s="2">
        <v>1</v>
      </c>
      <c r="L428" s="2">
        <v>10.018749999999999</v>
      </c>
      <c r="M428" s="2">
        <v>11.024999999999999</v>
      </c>
      <c r="N428" s="380">
        <v>3.6684374999999991E-2</v>
      </c>
      <c r="O428" s="2" t="s">
        <v>1095</v>
      </c>
      <c r="P428" s="2">
        <v>100</v>
      </c>
      <c r="Q428" s="2" t="s">
        <v>63</v>
      </c>
      <c r="R428" s="8">
        <v>5</v>
      </c>
      <c r="S428" s="8">
        <v>175</v>
      </c>
      <c r="T428" s="8">
        <v>142.79999999999998</v>
      </c>
      <c r="U428" s="8" t="s">
        <v>725</v>
      </c>
    </row>
    <row r="429" spans="1:21" x14ac:dyDescent="0.35">
      <c r="A429" s="2">
        <v>10</v>
      </c>
      <c r="B429" s="115" t="s">
        <v>80</v>
      </c>
      <c r="C429" s="116" t="s">
        <v>81</v>
      </c>
      <c r="D429" s="2">
        <v>100</v>
      </c>
      <c r="E429" s="52">
        <v>5.6</v>
      </c>
      <c r="F429" s="111"/>
      <c r="H429" s="2"/>
      <c r="I429" s="2">
        <v>9</v>
      </c>
      <c r="J429" s="2">
        <v>0</v>
      </c>
      <c r="K429" s="2">
        <v>0</v>
      </c>
      <c r="L429" s="2">
        <v>48.75</v>
      </c>
      <c r="M429" s="2">
        <v>55</v>
      </c>
      <c r="N429" s="380">
        <v>0.2719664</v>
      </c>
      <c r="O429" s="2" t="s">
        <v>25</v>
      </c>
      <c r="P429" s="2">
        <v>100</v>
      </c>
      <c r="Q429" s="2">
        <v>0</v>
      </c>
      <c r="R429" s="8">
        <v>0</v>
      </c>
      <c r="S429" s="8">
        <v>0</v>
      </c>
      <c r="T429" s="8">
        <v>560</v>
      </c>
      <c r="U429" s="8" t="s">
        <v>725</v>
      </c>
    </row>
    <row r="430" spans="1:21" x14ac:dyDescent="0.35">
      <c r="A430" s="2">
        <v>10</v>
      </c>
      <c r="B430" s="115" t="s">
        <v>82</v>
      </c>
      <c r="C430" s="116" t="s">
        <v>83</v>
      </c>
      <c r="D430" s="2">
        <v>250</v>
      </c>
      <c r="E430" s="52">
        <v>5.6</v>
      </c>
      <c r="F430" s="111"/>
      <c r="H430" s="2"/>
      <c r="I430" s="2">
        <v>21</v>
      </c>
      <c r="J430" s="2">
        <v>0</v>
      </c>
      <c r="K430" s="2">
        <v>0</v>
      </c>
      <c r="L430" s="2">
        <v>121.87499999999999</v>
      </c>
      <c r="M430" s="2">
        <v>137.49999999999997</v>
      </c>
      <c r="N430" s="380">
        <v>0.67991599999999985</v>
      </c>
      <c r="O430" s="2" t="s">
        <v>25</v>
      </c>
      <c r="P430" s="2">
        <v>100</v>
      </c>
      <c r="Q430" s="2">
        <v>0</v>
      </c>
      <c r="R430" s="8">
        <v>0</v>
      </c>
      <c r="S430" s="8">
        <v>0</v>
      </c>
      <c r="T430" s="8">
        <v>1400</v>
      </c>
      <c r="U430" s="8" t="s">
        <v>725</v>
      </c>
    </row>
    <row r="431" spans="1:21" x14ac:dyDescent="0.35">
      <c r="A431" s="2">
        <v>10</v>
      </c>
      <c r="B431" s="115" t="s">
        <v>84</v>
      </c>
      <c r="C431" s="116" t="s">
        <v>85</v>
      </c>
      <c r="D431" s="2">
        <v>60</v>
      </c>
      <c r="E431" s="52">
        <v>5.6</v>
      </c>
      <c r="F431" s="111"/>
      <c r="H431" s="2"/>
      <c r="I431" s="2">
        <v>5</v>
      </c>
      <c r="J431" s="2">
        <v>0</v>
      </c>
      <c r="K431" s="2">
        <v>0</v>
      </c>
      <c r="L431" s="2">
        <v>29.25</v>
      </c>
      <c r="M431" s="2">
        <v>33</v>
      </c>
      <c r="N431" s="380">
        <v>0.16317983999999999</v>
      </c>
      <c r="O431" s="2" t="s">
        <v>25</v>
      </c>
      <c r="P431" s="2">
        <v>100</v>
      </c>
      <c r="Q431" s="2">
        <v>0</v>
      </c>
      <c r="R431" s="8">
        <v>0</v>
      </c>
      <c r="S431" s="8">
        <v>0</v>
      </c>
      <c r="T431" s="8">
        <v>336</v>
      </c>
      <c r="U431" s="8" t="s">
        <v>725</v>
      </c>
    </row>
    <row r="432" spans="1:21" x14ac:dyDescent="0.35">
      <c r="A432" s="2">
        <v>10</v>
      </c>
      <c r="B432" s="115" t="s">
        <v>86</v>
      </c>
      <c r="C432" s="116" t="s">
        <v>87</v>
      </c>
      <c r="D432" s="2">
        <v>250</v>
      </c>
      <c r="E432" s="52">
        <v>5.6</v>
      </c>
      <c r="F432" s="111"/>
      <c r="H432" s="2"/>
      <c r="I432" s="2">
        <v>21</v>
      </c>
      <c r="J432" s="2">
        <v>0</v>
      </c>
      <c r="K432" s="2">
        <v>0</v>
      </c>
      <c r="L432" s="2">
        <v>121.87499999999999</v>
      </c>
      <c r="M432" s="2">
        <v>137.49999999999997</v>
      </c>
      <c r="N432" s="380">
        <v>0.67991599999999985</v>
      </c>
      <c r="O432" s="2" t="s">
        <v>25</v>
      </c>
      <c r="P432" s="2">
        <v>100</v>
      </c>
      <c r="Q432" s="2">
        <v>0</v>
      </c>
      <c r="R432" s="8">
        <v>0</v>
      </c>
      <c r="S432" s="8">
        <v>0</v>
      </c>
      <c r="T432" s="8">
        <v>1400</v>
      </c>
      <c r="U432" s="8" t="s">
        <v>725</v>
      </c>
    </row>
    <row r="433" spans="1:21" x14ac:dyDescent="0.35">
      <c r="A433" s="2">
        <v>10</v>
      </c>
      <c r="B433" s="115" t="s">
        <v>88</v>
      </c>
      <c r="C433" s="116" t="s">
        <v>89</v>
      </c>
      <c r="D433" s="2">
        <v>40</v>
      </c>
      <c r="E433" s="52">
        <v>5.6</v>
      </c>
      <c r="F433" s="111"/>
      <c r="H433" s="2"/>
      <c r="I433" s="2">
        <v>4</v>
      </c>
      <c r="J433" s="2">
        <v>0</v>
      </c>
      <c r="K433" s="2">
        <v>0</v>
      </c>
      <c r="L433" s="2">
        <v>17.5</v>
      </c>
      <c r="M433" s="2">
        <v>20</v>
      </c>
      <c r="N433" s="380">
        <v>0.10687333333333335</v>
      </c>
      <c r="O433" s="2" t="s">
        <v>25</v>
      </c>
      <c r="P433" s="2">
        <v>100</v>
      </c>
      <c r="Q433" s="2">
        <v>0</v>
      </c>
      <c r="R433" s="8">
        <v>0</v>
      </c>
      <c r="S433" s="8">
        <v>0</v>
      </c>
      <c r="T433" s="8">
        <v>224</v>
      </c>
      <c r="U433" s="8" t="s">
        <v>725</v>
      </c>
    </row>
    <row r="434" spans="1:21" x14ac:dyDescent="0.35">
      <c r="A434" s="2">
        <v>9</v>
      </c>
      <c r="B434" s="115" t="s">
        <v>99</v>
      </c>
      <c r="C434" s="116" t="s">
        <v>100</v>
      </c>
      <c r="D434" s="2">
        <v>180</v>
      </c>
      <c r="E434" s="52">
        <v>8.11</v>
      </c>
      <c r="F434" s="111"/>
      <c r="H434" s="2">
        <v>18</v>
      </c>
      <c r="I434" s="2">
        <v>8</v>
      </c>
      <c r="J434" s="2">
        <v>0</v>
      </c>
      <c r="K434" s="2">
        <v>1</v>
      </c>
      <c r="L434" s="2">
        <v>62.04</v>
      </c>
      <c r="M434" s="2">
        <v>67.897500000000008</v>
      </c>
      <c r="N434" s="380">
        <v>0.1851795</v>
      </c>
      <c r="O434" s="2" t="s">
        <v>1095</v>
      </c>
      <c r="P434" s="2">
        <v>100</v>
      </c>
      <c r="Q434" s="2" t="s">
        <v>63</v>
      </c>
      <c r="R434" s="8">
        <v>5</v>
      </c>
      <c r="S434" s="8">
        <v>990</v>
      </c>
      <c r="T434" s="8">
        <v>1459.8</v>
      </c>
      <c r="U434" s="8" t="s">
        <v>725</v>
      </c>
    </row>
    <row r="435" spans="1:21" x14ac:dyDescent="0.35">
      <c r="A435" s="2">
        <v>9</v>
      </c>
      <c r="B435" s="115" t="s">
        <v>101</v>
      </c>
      <c r="C435" s="116" t="s">
        <v>102</v>
      </c>
      <c r="D435" s="2">
        <v>108</v>
      </c>
      <c r="E435" s="52">
        <v>8.11</v>
      </c>
      <c r="F435" s="111"/>
      <c r="H435" s="2">
        <v>11</v>
      </c>
      <c r="I435" s="2">
        <v>5</v>
      </c>
      <c r="J435" s="2">
        <v>0</v>
      </c>
      <c r="K435" s="2">
        <v>1</v>
      </c>
      <c r="L435" s="2">
        <v>37.286666666666662</v>
      </c>
      <c r="M435" s="2">
        <v>40.807083333333331</v>
      </c>
      <c r="N435" s="380">
        <v>0.11129474999999998</v>
      </c>
      <c r="O435" s="2" t="s">
        <v>1095</v>
      </c>
      <c r="P435" s="2">
        <v>100</v>
      </c>
      <c r="Q435" s="2" t="s">
        <v>63</v>
      </c>
      <c r="R435" s="8">
        <v>5</v>
      </c>
      <c r="S435" s="8">
        <v>595</v>
      </c>
      <c r="T435" s="8">
        <v>875.87999999999988</v>
      </c>
      <c r="U435" s="8" t="s">
        <v>725</v>
      </c>
    </row>
    <row r="436" spans="1:21" x14ac:dyDescent="0.35">
      <c r="A436" s="2">
        <v>9</v>
      </c>
      <c r="B436" s="115" t="s">
        <v>103</v>
      </c>
      <c r="C436" s="116" t="s">
        <v>104</v>
      </c>
      <c r="D436" s="2">
        <v>180</v>
      </c>
      <c r="E436" s="52">
        <v>8.11</v>
      </c>
      <c r="F436" s="111"/>
      <c r="H436" s="2">
        <v>18</v>
      </c>
      <c r="I436" s="2">
        <v>8</v>
      </c>
      <c r="J436" s="2">
        <v>0</v>
      </c>
      <c r="K436" s="2">
        <v>1</v>
      </c>
      <c r="L436" s="2">
        <v>62.04</v>
      </c>
      <c r="M436" s="2">
        <v>67.897500000000008</v>
      </c>
      <c r="N436" s="380">
        <v>0.1851795</v>
      </c>
      <c r="O436" s="2" t="s">
        <v>1095</v>
      </c>
      <c r="P436" s="2">
        <v>100</v>
      </c>
      <c r="Q436" s="2" t="s">
        <v>63</v>
      </c>
      <c r="R436" s="8">
        <v>5</v>
      </c>
      <c r="S436" s="8">
        <v>990</v>
      </c>
      <c r="T436" s="8">
        <v>1459.8</v>
      </c>
      <c r="U436" s="8" t="s">
        <v>725</v>
      </c>
    </row>
    <row r="437" spans="1:21" x14ac:dyDescent="0.35">
      <c r="A437" s="2">
        <v>9</v>
      </c>
      <c r="B437" s="115" t="s">
        <v>105</v>
      </c>
      <c r="C437" s="116" t="s">
        <v>106</v>
      </c>
      <c r="D437" s="2">
        <v>108</v>
      </c>
      <c r="E437" s="52">
        <v>8.11</v>
      </c>
      <c r="F437" s="111"/>
      <c r="H437" s="2">
        <v>11</v>
      </c>
      <c r="I437" s="2">
        <v>5</v>
      </c>
      <c r="J437" s="2">
        <v>0</v>
      </c>
      <c r="K437" s="2">
        <v>1</v>
      </c>
      <c r="L437" s="2">
        <v>37.286666666666662</v>
      </c>
      <c r="M437" s="2">
        <v>40.807083333333331</v>
      </c>
      <c r="N437" s="380">
        <v>0.11129474999999998</v>
      </c>
      <c r="O437" s="2" t="s">
        <v>1095</v>
      </c>
      <c r="P437" s="2">
        <v>100</v>
      </c>
      <c r="Q437" s="2" t="s">
        <v>63</v>
      </c>
      <c r="R437" s="8">
        <v>5</v>
      </c>
      <c r="S437" s="8">
        <v>595</v>
      </c>
      <c r="T437" s="8">
        <v>875.87999999999988</v>
      </c>
      <c r="U437" s="8" t="s">
        <v>725</v>
      </c>
    </row>
    <row r="438" spans="1:21" x14ac:dyDescent="0.35">
      <c r="A438" s="2">
        <v>9</v>
      </c>
      <c r="B438" s="115" t="s">
        <v>107</v>
      </c>
      <c r="C438" s="116" t="s">
        <v>108</v>
      </c>
      <c r="D438" s="2">
        <v>180</v>
      </c>
      <c r="E438" s="52">
        <v>8.11</v>
      </c>
      <c r="F438" s="111"/>
      <c r="H438" s="2">
        <v>18</v>
      </c>
      <c r="I438" s="2">
        <v>8</v>
      </c>
      <c r="J438" s="2">
        <v>0</v>
      </c>
      <c r="K438" s="2">
        <v>1</v>
      </c>
      <c r="L438" s="2">
        <v>56.677500000000002</v>
      </c>
      <c r="M438" s="2">
        <v>62.37</v>
      </c>
      <c r="N438" s="380">
        <v>0.20752875000000001</v>
      </c>
      <c r="O438" s="2" t="s">
        <v>1095</v>
      </c>
      <c r="P438" s="2">
        <v>100</v>
      </c>
      <c r="Q438" s="2" t="s">
        <v>63</v>
      </c>
      <c r="R438" s="8">
        <v>5</v>
      </c>
      <c r="S438" s="8">
        <v>990</v>
      </c>
      <c r="T438" s="8">
        <v>1459.8</v>
      </c>
      <c r="U438" s="8" t="s">
        <v>725</v>
      </c>
    </row>
    <row r="439" spans="1:21" x14ac:dyDescent="0.35">
      <c r="A439" s="2">
        <v>9</v>
      </c>
      <c r="B439" s="115" t="s">
        <v>109</v>
      </c>
      <c r="C439" s="116" t="s">
        <v>110</v>
      </c>
      <c r="D439" s="2">
        <v>180</v>
      </c>
      <c r="E439" s="52">
        <v>8.11</v>
      </c>
      <c r="F439" s="111"/>
      <c r="H439" s="2">
        <v>18</v>
      </c>
      <c r="I439" s="2">
        <v>8</v>
      </c>
      <c r="J439" s="2">
        <v>0</v>
      </c>
      <c r="K439" s="2">
        <v>1</v>
      </c>
      <c r="L439" s="2">
        <v>56.677500000000002</v>
      </c>
      <c r="M439" s="2">
        <v>62.37</v>
      </c>
      <c r="N439" s="380">
        <v>0.20752875000000001</v>
      </c>
      <c r="O439" s="2" t="s">
        <v>1095</v>
      </c>
      <c r="P439" s="2">
        <v>100</v>
      </c>
      <c r="Q439" s="2" t="s">
        <v>63</v>
      </c>
      <c r="R439" s="8">
        <v>5</v>
      </c>
      <c r="S439" s="8">
        <v>990</v>
      </c>
      <c r="T439" s="8">
        <v>1459.8</v>
      </c>
      <c r="U439" s="8" t="s">
        <v>725</v>
      </c>
    </row>
    <row r="440" spans="1:21" x14ac:dyDescent="0.35">
      <c r="A440" s="2">
        <v>9</v>
      </c>
      <c r="B440" s="115" t="s">
        <v>111</v>
      </c>
      <c r="C440" s="116" t="s">
        <v>112</v>
      </c>
      <c r="D440" s="2">
        <v>154</v>
      </c>
      <c r="E440" s="52">
        <v>8.11</v>
      </c>
      <c r="F440" s="111"/>
      <c r="H440" s="2">
        <v>15</v>
      </c>
      <c r="I440" s="2">
        <v>7</v>
      </c>
      <c r="J440" s="2">
        <v>0</v>
      </c>
      <c r="K440" s="2">
        <v>1</v>
      </c>
      <c r="L440" s="2">
        <v>48.376250000000006</v>
      </c>
      <c r="M440" s="2">
        <v>53.234999999999999</v>
      </c>
      <c r="N440" s="380">
        <v>0.17713312500000003</v>
      </c>
      <c r="O440" s="2" t="s">
        <v>1095</v>
      </c>
      <c r="P440" s="2">
        <v>100</v>
      </c>
      <c r="Q440" s="2" t="s">
        <v>63</v>
      </c>
      <c r="R440" s="8">
        <v>5</v>
      </c>
      <c r="S440" s="8">
        <v>845</v>
      </c>
      <c r="T440" s="8">
        <v>1248.9399999999998</v>
      </c>
      <c r="U440" s="8" t="s">
        <v>725</v>
      </c>
    </row>
    <row r="441" spans="1:21" x14ac:dyDescent="0.35">
      <c r="A441" s="2">
        <v>9</v>
      </c>
      <c r="B441" s="115" t="s">
        <v>113</v>
      </c>
      <c r="C441" s="116" t="s">
        <v>114</v>
      </c>
      <c r="D441" s="2">
        <v>154</v>
      </c>
      <c r="E441" s="52">
        <v>8.11</v>
      </c>
      <c r="F441" s="111"/>
      <c r="H441" s="2">
        <v>15</v>
      </c>
      <c r="I441" s="2">
        <v>7</v>
      </c>
      <c r="J441" s="2">
        <v>0</v>
      </c>
      <c r="K441" s="2">
        <v>1</v>
      </c>
      <c r="L441" s="2">
        <v>48.376250000000006</v>
      </c>
      <c r="M441" s="2">
        <v>53.234999999999999</v>
      </c>
      <c r="N441" s="380">
        <v>0.17713312500000003</v>
      </c>
      <c r="O441" s="2" t="s">
        <v>1095</v>
      </c>
      <c r="P441" s="2">
        <v>100</v>
      </c>
      <c r="Q441" s="2" t="s">
        <v>63</v>
      </c>
      <c r="R441" s="8">
        <v>5</v>
      </c>
      <c r="S441" s="8">
        <v>845</v>
      </c>
      <c r="T441" s="8">
        <v>1248.9399999999998</v>
      </c>
      <c r="U441" s="8" t="s">
        <v>725</v>
      </c>
    </row>
    <row r="442" spans="1:21" x14ac:dyDescent="0.35">
      <c r="A442" s="2">
        <v>9</v>
      </c>
      <c r="B442" s="115" t="s">
        <v>115</v>
      </c>
      <c r="C442" s="116" t="s">
        <v>117</v>
      </c>
      <c r="D442" s="2">
        <v>60</v>
      </c>
      <c r="E442" s="52">
        <v>18.920000000000002</v>
      </c>
      <c r="F442" s="111"/>
      <c r="H442" s="2">
        <v>6</v>
      </c>
      <c r="I442" s="2">
        <v>3</v>
      </c>
      <c r="J442" s="2">
        <v>0</v>
      </c>
      <c r="K442" s="2">
        <v>1</v>
      </c>
      <c r="L442" s="2">
        <v>26.07</v>
      </c>
      <c r="M442" s="2">
        <v>27.225000000000001</v>
      </c>
      <c r="N442" s="380">
        <v>4.7568125000000003E-2</v>
      </c>
      <c r="O442" s="2" t="s">
        <v>116</v>
      </c>
      <c r="P442" s="2">
        <v>100</v>
      </c>
      <c r="Q442" s="2" t="s">
        <v>63</v>
      </c>
      <c r="R442" s="8">
        <v>11.68</v>
      </c>
      <c r="S442" s="8">
        <v>770.88</v>
      </c>
      <c r="T442" s="8">
        <v>1135.2</v>
      </c>
      <c r="U442" s="8" t="s">
        <v>725</v>
      </c>
    </row>
    <row r="443" spans="1:21" x14ac:dyDescent="0.35">
      <c r="A443" s="2">
        <v>9</v>
      </c>
      <c r="B443" s="115" t="s">
        <v>122</v>
      </c>
      <c r="C443" s="116" t="s">
        <v>123</v>
      </c>
      <c r="D443" s="2">
        <v>60</v>
      </c>
      <c r="E443" s="52">
        <v>18.920000000000002</v>
      </c>
      <c r="F443" s="111"/>
      <c r="H443" s="2">
        <v>6</v>
      </c>
      <c r="I443" s="2">
        <v>3</v>
      </c>
      <c r="J443" s="2">
        <v>0</v>
      </c>
      <c r="K443" s="2">
        <v>1</v>
      </c>
      <c r="L443" s="2">
        <v>26.07</v>
      </c>
      <c r="M443" s="2">
        <v>27.225000000000001</v>
      </c>
      <c r="N443" s="380">
        <v>4.7568125000000003E-2</v>
      </c>
      <c r="O443" s="2" t="s">
        <v>116</v>
      </c>
      <c r="P443" s="2">
        <v>100</v>
      </c>
      <c r="Q443" s="2" t="s">
        <v>63</v>
      </c>
      <c r="R443" s="8">
        <v>11.68</v>
      </c>
      <c r="S443" s="8">
        <v>770.88</v>
      </c>
      <c r="T443" s="8">
        <v>1135.2</v>
      </c>
      <c r="U443" s="8" t="s">
        <v>725</v>
      </c>
    </row>
    <row r="444" spans="1:21" x14ac:dyDescent="0.35">
      <c r="A444" s="2">
        <v>9</v>
      </c>
      <c r="B444" s="115" t="s">
        <v>124</v>
      </c>
      <c r="C444" s="116" t="s">
        <v>125</v>
      </c>
      <c r="D444" s="2">
        <v>60</v>
      </c>
      <c r="E444" s="52">
        <v>18.920000000000002</v>
      </c>
      <c r="F444" s="111"/>
      <c r="H444" s="2">
        <v>6</v>
      </c>
      <c r="I444" s="2">
        <v>3</v>
      </c>
      <c r="J444" s="2">
        <v>0</v>
      </c>
      <c r="K444" s="2">
        <v>1</v>
      </c>
      <c r="L444" s="2">
        <v>25.08</v>
      </c>
      <c r="M444" s="2">
        <v>26.125</v>
      </c>
      <c r="N444" s="380">
        <v>4.8210937500000002E-2</v>
      </c>
      <c r="O444" s="2" t="s">
        <v>116</v>
      </c>
      <c r="P444" s="2">
        <v>100</v>
      </c>
      <c r="Q444" s="2" t="s">
        <v>63</v>
      </c>
      <c r="R444" s="8">
        <v>11.68</v>
      </c>
      <c r="S444" s="8">
        <v>770.88</v>
      </c>
      <c r="T444" s="8">
        <v>1135.2</v>
      </c>
      <c r="U444" s="8" t="s">
        <v>725</v>
      </c>
    </row>
    <row r="445" spans="1:21" x14ac:dyDescent="0.35">
      <c r="A445" s="2">
        <v>9</v>
      </c>
      <c r="B445" s="115" t="s">
        <v>126</v>
      </c>
      <c r="C445" s="116" t="s">
        <v>127</v>
      </c>
      <c r="D445" s="2">
        <v>60</v>
      </c>
      <c r="E445" s="52">
        <v>18.920000000000002</v>
      </c>
      <c r="F445" s="111"/>
      <c r="H445" s="2">
        <v>6</v>
      </c>
      <c r="I445" s="2">
        <v>3</v>
      </c>
      <c r="J445" s="2">
        <v>0</v>
      </c>
      <c r="K445" s="2">
        <v>1</v>
      </c>
      <c r="L445" s="2">
        <v>25.08</v>
      </c>
      <c r="M445" s="2">
        <v>26.125</v>
      </c>
      <c r="N445" s="380">
        <v>4.8210937500000002E-2</v>
      </c>
      <c r="O445" s="2" t="s">
        <v>116</v>
      </c>
      <c r="P445" s="2">
        <v>100</v>
      </c>
      <c r="Q445" s="2" t="s">
        <v>63</v>
      </c>
      <c r="R445" s="8">
        <v>11.68</v>
      </c>
      <c r="S445" s="8">
        <v>770.88</v>
      </c>
      <c r="T445" s="8">
        <v>1135.2</v>
      </c>
      <c r="U445" s="8" t="s">
        <v>725</v>
      </c>
    </row>
    <row r="446" spans="1:21" x14ac:dyDescent="0.35">
      <c r="A446" s="2">
        <v>9</v>
      </c>
      <c r="B446" s="115" t="s">
        <v>128</v>
      </c>
      <c r="C446" s="116" t="s">
        <v>129</v>
      </c>
      <c r="D446" s="2">
        <v>60</v>
      </c>
      <c r="E446" s="52">
        <v>18.920000000000002</v>
      </c>
      <c r="F446" s="111"/>
      <c r="H446" s="2">
        <v>6</v>
      </c>
      <c r="I446" s="2">
        <v>3</v>
      </c>
      <c r="J446" s="2">
        <v>0</v>
      </c>
      <c r="K446" s="2">
        <v>1</v>
      </c>
      <c r="L446" s="2">
        <v>25.08</v>
      </c>
      <c r="M446" s="2">
        <v>26.125</v>
      </c>
      <c r="N446" s="380">
        <v>4.8210937500000002E-2</v>
      </c>
      <c r="O446" s="2" t="s">
        <v>116</v>
      </c>
      <c r="P446" s="2">
        <v>100</v>
      </c>
      <c r="Q446" s="2" t="s">
        <v>63</v>
      </c>
      <c r="R446" s="8">
        <v>11.68</v>
      </c>
      <c r="S446" s="8">
        <v>770.88</v>
      </c>
      <c r="T446" s="8">
        <v>1135.2</v>
      </c>
      <c r="U446" s="8" t="s">
        <v>725</v>
      </c>
    </row>
    <row r="447" spans="1:21" x14ac:dyDescent="0.35">
      <c r="A447" s="2">
        <v>9</v>
      </c>
      <c r="B447" s="115" t="s">
        <v>130</v>
      </c>
      <c r="C447" s="116" t="s">
        <v>131</v>
      </c>
      <c r="D447" s="2">
        <v>120</v>
      </c>
      <c r="E447" s="52">
        <v>18.920000000000002</v>
      </c>
      <c r="F447" s="111"/>
      <c r="H447" s="2">
        <v>12</v>
      </c>
      <c r="I447" s="2">
        <v>5</v>
      </c>
      <c r="J447" s="2">
        <v>0</v>
      </c>
      <c r="K447" s="2">
        <v>1</v>
      </c>
      <c r="L447" s="2">
        <v>50.16</v>
      </c>
      <c r="M447" s="2">
        <v>52.25</v>
      </c>
      <c r="N447" s="380">
        <v>9.6421875000000004E-2</v>
      </c>
      <c r="O447" s="2" t="s">
        <v>116</v>
      </c>
      <c r="P447" s="2">
        <v>100</v>
      </c>
      <c r="Q447" s="2" t="s">
        <v>63</v>
      </c>
      <c r="R447" s="8">
        <v>11.68</v>
      </c>
      <c r="S447" s="8">
        <v>1541.76</v>
      </c>
      <c r="T447" s="8">
        <v>2270.4</v>
      </c>
      <c r="U447" s="8" t="s">
        <v>725</v>
      </c>
    </row>
    <row r="448" spans="1:21" x14ac:dyDescent="0.35">
      <c r="A448" s="2">
        <v>9</v>
      </c>
      <c r="B448" s="115" t="s">
        <v>24</v>
      </c>
      <c r="C448" s="116" t="s">
        <v>27</v>
      </c>
      <c r="D448" s="2">
        <v>180</v>
      </c>
      <c r="E448" s="52">
        <v>8.11</v>
      </c>
      <c r="F448" s="111"/>
      <c r="H448" s="2"/>
      <c r="I448" s="2">
        <v>15</v>
      </c>
      <c r="J448" s="2">
        <v>0</v>
      </c>
      <c r="K448" s="2">
        <v>0</v>
      </c>
      <c r="L448" s="2">
        <v>75.599999999999994</v>
      </c>
      <c r="M448" s="2">
        <v>86.85</v>
      </c>
      <c r="N448" s="380">
        <v>0.42124499999999998</v>
      </c>
      <c r="O448" s="2" t="s">
        <v>25</v>
      </c>
      <c r="P448" s="2">
        <v>50</v>
      </c>
      <c r="Q448" s="2">
        <v>0</v>
      </c>
      <c r="R448" s="8">
        <v>5.23</v>
      </c>
      <c r="S448" s="8">
        <v>941.40000000000009</v>
      </c>
      <c r="T448" s="8">
        <v>1459.8</v>
      </c>
      <c r="U448" s="8" t="s">
        <v>725</v>
      </c>
    </row>
    <row r="449" spans="1:21" x14ac:dyDescent="0.35">
      <c r="A449" s="2">
        <v>9</v>
      </c>
      <c r="B449" s="115" t="s">
        <v>32</v>
      </c>
      <c r="C449" s="116" t="s">
        <v>33</v>
      </c>
      <c r="D449" s="2">
        <v>96</v>
      </c>
      <c r="E449" s="52">
        <v>8.11</v>
      </c>
      <c r="F449" s="111"/>
      <c r="H449" s="2"/>
      <c r="I449" s="2">
        <v>8</v>
      </c>
      <c r="J449" s="2">
        <v>0</v>
      </c>
      <c r="K449" s="2">
        <v>0</v>
      </c>
      <c r="L449" s="2">
        <v>40.32</v>
      </c>
      <c r="M449" s="2">
        <v>46.32</v>
      </c>
      <c r="N449" s="380">
        <v>0.224664</v>
      </c>
      <c r="O449" s="2" t="s">
        <v>25</v>
      </c>
      <c r="P449" s="2">
        <v>50</v>
      </c>
      <c r="Q449" s="2">
        <v>0</v>
      </c>
      <c r="R449" s="8">
        <v>5.23</v>
      </c>
      <c r="S449" s="8">
        <v>502.08000000000004</v>
      </c>
      <c r="T449" s="8">
        <v>778.56</v>
      </c>
      <c r="U449" s="8" t="s">
        <v>725</v>
      </c>
    </row>
    <row r="450" spans="1:21" x14ac:dyDescent="0.35">
      <c r="A450" s="2">
        <v>9</v>
      </c>
      <c r="B450" s="115" t="s">
        <v>34</v>
      </c>
      <c r="C450" s="116" t="s">
        <v>35</v>
      </c>
      <c r="D450" s="2">
        <v>96</v>
      </c>
      <c r="E450" s="52">
        <v>8.11</v>
      </c>
      <c r="F450" s="111"/>
      <c r="H450" s="2"/>
      <c r="I450" s="2">
        <v>8</v>
      </c>
      <c r="J450" s="2">
        <v>0</v>
      </c>
      <c r="K450" s="2">
        <v>0</v>
      </c>
      <c r="L450" s="2">
        <v>40.32</v>
      </c>
      <c r="M450" s="2">
        <v>46.32</v>
      </c>
      <c r="N450" s="380">
        <v>0.224664</v>
      </c>
      <c r="O450" s="2" t="s">
        <v>25</v>
      </c>
      <c r="P450" s="2">
        <v>50</v>
      </c>
      <c r="Q450" s="2">
        <v>0</v>
      </c>
      <c r="R450" s="8">
        <v>5.23</v>
      </c>
      <c r="S450" s="8">
        <v>502.08000000000004</v>
      </c>
      <c r="T450" s="8">
        <v>778.56</v>
      </c>
      <c r="U450" s="8" t="s">
        <v>725</v>
      </c>
    </row>
    <row r="451" spans="1:21" x14ac:dyDescent="0.35">
      <c r="A451" s="2">
        <v>9</v>
      </c>
      <c r="B451" s="115" t="s">
        <v>36</v>
      </c>
      <c r="C451" s="116" t="s">
        <v>38</v>
      </c>
      <c r="D451" s="2">
        <v>156</v>
      </c>
      <c r="E451" s="52">
        <v>8.11</v>
      </c>
      <c r="F451" s="111"/>
      <c r="H451" s="2"/>
      <c r="I451" s="2">
        <v>13</v>
      </c>
      <c r="J451" s="2">
        <v>0</v>
      </c>
      <c r="K451" s="2">
        <v>0</v>
      </c>
      <c r="L451" s="2">
        <v>62.14</v>
      </c>
      <c r="M451" s="2">
        <v>68.25</v>
      </c>
      <c r="N451" s="380">
        <v>0.36507899999999999</v>
      </c>
      <c r="O451" s="2" t="s">
        <v>25</v>
      </c>
      <c r="P451" s="2">
        <v>50</v>
      </c>
      <c r="Q451" s="2">
        <v>0</v>
      </c>
      <c r="R451" s="8">
        <v>5.23</v>
      </c>
      <c r="S451" s="8">
        <v>815.88000000000011</v>
      </c>
      <c r="T451" s="8">
        <v>1265.1599999999999</v>
      </c>
      <c r="U451" s="8" t="s">
        <v>725</v>
      </c>
    </row>
    <row r="452" spans="1:21" x14ac:dyDescent="0.35">
      <c r="A452" s="2">
        <v>9</v>
      </c>
      <c r="B452" s="115" t="s">
        <v>39</v>
      </c>
      <c r="C452" s="116" t="s">
        <v>40</v>
      </c>
      <c r="D452" s="2">
        <v>156</v>
      </c>
      <c r="E452" s="52">
        <v>8.11</v>
      </c>
      <c r="F452" s="111"/>
      <c r="H452" s="2"/>
      <c r="I452" s="2">
        <v>13</v>
      </c>
      <c r="J452" s="2">
        <v>0</v>
      </c>
      <c r="K452" s="2">
        <v>0</v>
      </c>
      <c r="L452" s="2">
        <v>62.14</v>
      </c>
      <c r="M452" s="2">
        <v>68.25</v>
      </c>
      <c r="N452" s="380">
        <v>0.36507899999999999</v>
      </c>
      <c r="O452" s="2" t="s">
        <v>25</v>
      </c>
      <c r="P452" s="2">
        <v>50</v>
      </c>
      <c r="Q452" s="2">
        <v>0</v>
      </c>
      <c r="R452" s="8">
        <v>5.23</v>
      </c>
      <c r="S452" s="8">
        <v>815.88000000000011</v>
      </c>
      <c r="T452" s="8">
        <v>1265.1599999999999</v>
      </c>
      <c r="U452" s="8" t="s">
        <v>725</v>
      </c>
    </row>
    <row r="453" spans="1:21" x14ac:dyDescent="0.35">
      <c r="A453" s="2">
        <v>9</v>
      </c>
      <c r="B453" s="115" t="s">
        <v>41</v>
      </c>
      <c r="C453" s="116" t="s">
        <v>42</v>
      </c>
      <c r="D453" s="2">
        <v>156</v>
      </c>
      <c r="E453" s="52">
        <v>8.11</v>
      </c>
      <c r="F453" s="111"/>
      <c r="H453" s="2"/>
      <c r="I453" s="2">
        <v>13</v>
      </c>
      <c r="J453" s="2">
        <v>0</v>
      </c>
      <c r="K453" s="2">
        <v>0</v>
      </c>
      <c r="L453" s="2">
        <v>62.14</v>
      </c>
      <c r="M453" s="2">
        <v>68.25</v>
      </c>
      <c r="N453" s="380">
        <v>0.36507899999999999</v>
      </c>
      <c r="O453" s="2" t="s">
        <v>25</v>
      </c>
      <c r="P453" s="2">
        <v>50</v>
      </c>
      <c r="Q453" s="2">
        <v>0</v>
      </c>
      <c r="R453" s="8">
        <v>5.23</v>
      </c>
      <c r="S453" s="8">
        <v>815.88000000000011</v>
      </c>
      <c r="T453" s="8">
        <v>1265.1599999999999</v>
      </c>
      <c r="U453" s="8" t="s">
        <v>725</v>
      </c>
    </row>
    <row r="454" spans="1:21" x14ac:dyDescent="0.35">
      <c r="A454" s="2">
        <v>9</v>
      </c>
      <c r="B454" s="115" t="s">
        <v>43</v>
      </c>
      <c r="C454" s="116" t="s">
        <v>44</v>
      </c>
      <c r="D454" s="2">
        <v>156</v>
      </c>
      <c r="E454" s="52">
        <v>8.11</v>
      </c>
      <c r="F454" s="111"/>
      <c r="H454" s="2"/>
      <c r="I454" s="2">
        <v>13</v>
      </c>
      <c r="J454" s="2">
        <v>0</v>
      </c>
      <c r="K454" s="2">
        <v>0</v>
      </c>
      <c r="L454" s="2">
        <v>62.14</v>
      </c>
      <c r="M454" s="2">
        <v>68.25</v>
      </c>
      <c r="N454" s="380">
        <v>0.36507899999999999</v>
      </c>
      <c r="O454" s="2" t="s">
        <v>25</v>
      </c>
      <c r="P454" s="2">
        <v>50</v>
      </c>
      <c r="Q454" s="2">
        <v>0</v>
      </c>
      <c r="R454" s="8">
        <v>5.23</v>
      </c>
      <c r="S454" s="8">
        <v>815.88000000000011</v>
      </c>
      <c r="T454" s="8">
        <v>1265.1599999999999</v>
      </c>
      <c r="U454" s="8" t="s">
        <v>725</v>
      </c>
    </row>
    <row r="455" spans="1:21" x14ac:dyDescent="0.35">
      <c r="A455" s="2">
        <v>9</v>
      </c>
      <c r="B455" s="115" t="s">
        <v>45</v>
      </c>
      <c r="C455" s="116" t="s">
        <v>46</v>
      </c>
      <c r="D455" s="2">
        <v>156</v>
      </c>
      <c r="E455" s="52">
        <v>8.7799999999999994</v>
      </c>
      <c r="F455" s="111"/>
      <c r="H455" s="2"/>
      <c r="I455" s="2">
        <v>13</v>
      </c>
      <c r="J455" s="2">
        <v>0</v>
      </c>
      <c r="K455" s="2">
        <v>0</v>
      </c>
      <c r="L455" s="2">
        <v>80.209999999999994</v>
      </c>
      <c r="M455" s="2">
        <v>88.009999999999991</v>
      </c>
      <c r="N455" s="380">
        <v>0.50676600000000005</v>
      </c>
      <c r="O455" s="2" t="s">
        <v>25</v>
      </c>
      <c r="P455" s="2">
        <v>50</v>
      </c>
      <c r="Q455" s="2">
        <v>0</v>
      </c>
      <c r="R455" s="8">
        <v>6.16</v>
      </c>
      <c r="S455" s="8">
        <v>1087.32</v>
      </c>
      <c r="T455" s="8">
        <v>1369.6799999999998</v>
      </c>
      <c r="U455" s="8" t="s">
        <v>725</v>
      </c>
    </row>
    <row r="456" spans="1:21" x14ac:dyDescent="0.35">
      <c r="A456" s="2">
        <v>9</v>
      </c>
      <c r="B456" s="115" t="s">
        <v>176</v>
      </c>
      <c r="C456" s="116" t="s">
        <v>179</v>
      </c>
      <c r="D456" s="2">
        <v>120</v>
      </c>
      <c r="E456" s="52">
        <v>2.7</v>
      </c>
      <c r="F456" s="111"/>
      <c r="H456" s="2"/>
      <c r="I456" s="2">
        <v>5</v>
      </c>
      <c r="J456" s="2">
        <v>0</v>
      </c>
      <c r="K456" s="2">
        <v>0</v>
      </c>
      <c r="L456" s="2">
        <v>31.75</v>
      </c>
      <c r="M456" s="2">
        <v>35</v>
      </c>
      <c r="N456" s="380">
        <v>7.9695000000000002E-2</v>
      </c>
      <c r="O456" s="2" t="s">
        <v>177</v>
      </c>
      <c r="P456" s="2">
        <v>200</v>
      </c>
      <c r="Q456" s="2" t="s">
        <v>178</v>
      </c>
      <c r="R456" s="8">
        <v>2.0499999999999998</v>
      </c>
      <c r="S456" s="8">
        <v>245.99999999999997</v>
      </c>
      <c r="T456" s="8">
        <v>324</v>
      </c>
      <c r="U456" s="8" t="s">
        <v>725</v>
      </c>
    </row>
    <row r="457" spans="1:21" x14ac:dyDescent="0.35">
      <c r="A457" s="2">
        <v>9</v>
      </c>
      <c r="B457" s="115" t="s">
        <v>185</v>
      </c>
      <c r="C457" s="116" t="s">
        <v>186</v>
      </c>
      <c r="D457" s="2">
        <v>120</v>
      </c>
      <c r="E457" s="52">
        <v>2.7</v>
      </c>
      <c r="F457" s="111"/>
      <c r="H457" s="2"/>
      <c r="I457" s="2">
        <v>5</v>
      </c>
      <c r="J457" s="2">
        <v>0</v>
      </c>
      <c r="K457" s="2">
        <v>0</v>
      </c>
      <c r="L457" s="2">
        <v>31.75</v>
      </c>
      <c r="M457" s="2">
        <v>35</v>
      </c>
      <c r="N457" s="380">
        <v>7.9695000000000002E-2</v>
      </c>
      <c r="O457" s="2" t="s">
        <v>177</v>
      </c>
      <c r="P457" s="2">
        <v>200</v>
      </c>
      <c r="Q457" s="2" t="s">
        <v>178</v>
      </c>
      <c r="R457" s="8">
        <v>2.0499999999999998</v>
      </c>
      <c r="S457" s="8">
        <v>245.99999999999997</v>
      </c>
      <c r="T457" s="8">
        <v>324</v>
      </c>
      <c r="U457" s="8" t="s">
        <v>725</v>
      </c>
    </row>
    <row r="458" spans="1:21" x14ac:dyDescent="0.35">
      <c r="A458" s="2">
        <v>9</v>
      </c>
      <c r="B458" s="115" t="s">
        <v>183</v>
      </c>
      <c r="C458" s="116" t="s">
        <v>184</v>
      </c>
      <c r="D458" s="2">
        <v>120</v>
      </c>
      <c r="E458" s="52">
        <v>2.7</v>
      </c>
      <c r="F458" s="111"/>
      <c r="H458" s="2"/>
      <c r="I458" s="2">
        <v>5</v>
      </c>
      <c r="J458" s="2">
        <v>0</v>
      </c>
      <c r="K458" s="2">
        <v>0</v>
      </c>
      <c r="L458" s="2">
        <v>31.75</v>
      </c>
      <c r="M458" s="2">
        <v>35</v>
      </c>
      <c r="N458" s="380">
        <v>7.9695000000000002E-2</v>
      </c>
      <c r="O458" s="2" t="s">
        <v>177</v>
      </c>
      <c r="P458" s="2">
        <v>200</v>
      </c>
      <c r="Q458" s="2" t="s">
        <v>178</v>
      </c>
      <c r="R458" s="8">
        <v>2.0499999999999998</v>
      </c>
      <c r="S458" s="8">
        <v>245.99999999999997</v>
      </c>
      <c r="T458" s="8">
        <v>324</v>
      </c>
      <c r="U458" s="8" t="s">
        <v>725</v>
      </c>
    </row>
    <row r="459" spans="1:21" x14ac:dyDescent="0.35">
      <c r="A459" s="2">
        <v>9</v>
      </c>
      <c r="B459" s="115" t="s">
        <v>181</v>
      </c>
      <c r="C459" s="116" t="s">
        <v>182</v>
      </c>
      <c r="D459" s="2">
        <v>120</v>
      </c>
      <c r="E459" s="52">
        <v>2.7</v>
      </c>
      <c r="F459" s="111"/>
      <c r="H459" s="2"/>
      <c r="I459" s="2">
        <v>5</v>
      </c>
      <c r="J459" s="2">
        <v>0</v>
      </c>
      <c r="K459" s="2">
        <v>0</v>
      </c>
      <c r="L459" s="2">
        <v>31.75</v>
      </c>
      <c r="M459" s="2">
        <v>35</v>
      </c>
      <c r="N459" s="380">
        <v>7.9695000000000002E-2</v>
      </c>
      <c r="O459" s="2" t="s">
        <v>177</v>
      </c>
      <c r="P459" s="2">
        <v>200</v>
      </c>
      <c r="Q459" s="2" t="s">
        <v>178</v>
      </c>
      <c r="R459" s="8">
        <v>2.0499999999999998</v>
      </c>
      <c r="S459" s="8">
        <v>245.99999999999997</v>
      </c>
      <c r="T459" s="8">
        <v>324</v>
      </c>
      <c r="U459" s="8" t="s">
        <v>725</v>
      </c>
    </row>
    <row r="460" spans="1:21" x14ac:dyDescent="0.35">
      <c r="A460" s="2">
        <v>8</v>
      </c>
      <c r="B460" s="115" t="s">
        <v>99</v>
      </c>
      <c r="C460" s="116" t="s">
        <v>100</v>
      </c>
      <c r="D460" s="2">
        <v>24</v>
      </c>
      <c r="E460" s="52">
        <v>5.78</v>
      </c>
      <c r="F460" s="111"/>
      <c r="H460" s="2">
        <v>2</v>
      </c>
      <c r="I460" s="2">
        <v>1</v>
      </c>
      <c r="J460" s="2">
        <v>0</v>
      </c>
      <c r="K460" s="2">
        <v>1</v>
      </c>
      <c r="L460" s="2">
        <v>8.1466666666666665</v>
      </c>
      <c r="M460" s="2">
        <v>8.9158333333333335</v>
      </c>
      <c r="N460" s="380">
        <v>2.4316500000000001E-2</v>
      </c>
      <c r="O460" s="2" t="s">
        <v>1095</v>
      </c>
      <c r="P460" s="2">
        <v>100</v>
      </c>
      <c r="Q460" s="2" t="s">
        <v>63</v>
      </c>
      <c r="R460" s="8">
        <v>5</v>
      </c>
      <c r="S460" s="8">
        <v>130</v>
      </c>
      <c r="T460" s="8">
        <v>138.72</v>
      </c>
      <c r="U460" s="8" t="s">
        <v>725</v>
      </c>
    </row>
    <row r="461" spans="1:21" x14ac:dyDescent="0.35">
      <c r="A461" s="2">
        <v>8</v>
      </c>
      <c r="B461" s="115" t="s">
        <v>101</v>
      </c>
      <c r="C461" s="116" t="s">
        <v>102</v>
      </c>
      <c r="D461" s="2">
        <v>24</v>
      </c>
      <c r="E461" s="52">
        <v>5.78</v>
      </c>
      <c r="F461" s="111"/>
      <c r="H461" s="2">
        <v>2</v>
      </c>
      <c r="I461" s="2">
        <v>1</v>
      </c>
      <c r="J461" s="2">
        <v>0</v>
      </c>
      <c r="K461" s="2">
        <v>1</v>
      </c>
      <c r="L461" s="2">
        <v>8.1466666666666665</v>
      </c>
      <c r="M461" s="2">
        <v>8.9158333333333335</v>
      </c>
      <c r="N461" s="380">
        <v>2.4316500000000001E-2</v>
      </c>
      <c r="O461" s="2" t="s">
        <v>1095</v>
      </c>
      <c r="P461" s="2">
        <v>100</v>
      </c>
      <c r="Q461" s="2" t="s">
        <v>63</v>
      </c>
      <c r="R461" s="8">
        <v>5</v>
      </c>
      <c r="S461" s="8">
        <v>130</v>
      </c>
      <c r="T461" s="8">
        <v>138.72</v>
      </c>
      <c r="U461" s="8" t="s">
        <v>725</v>
      </c>
    </row>
    <row r="462" spans="1:21" x14ac:dyDescent="0.35">
      <c r="A462" s="2">
        <v>8</v>
      </c>
      <c r="B462" s="115" t="s">
        <v>103</v>
      </c>
      <c r="C462" s="116" t="s">
        <v>104</v>
      </c>
      <c r="D462" s="2">
        <v>24</v>
      </c>
      <c r="E462" s="52">
        <v>5.78</v>
      </c>
      <c r="F462" s="111"/>
      <c r="H462" s="2">
        <v>2</v>
      </c>
      <c r="I462" s="2">
        <v>1</v>
      </c>
      <c r="J462" s="2">
        <v>0</v>
      </c>
      <c r="K462" s="2">
        <v>1</v>
      </c>
      <c r="L462" s="2">
        <v>8.1466666666666665</v>
      </c>
      <c r="M462" s="2">
        <v>8.9158333333333335</v>
      </c>
      <c r="N462" s="380">
        <v>2.4316500000000001E-2</v>
      </c>
      <c r="O462" s="2" t="s">
        <v>1095</v>
      </c>
      <c r="P462" s="2">
        <v>100</v>
      </c>
      <c r="Q462" s="2" t="s">
        <v>63</v>
      </c>
      <c r="R462" s="8">
        <v>5</v>
      </c>
      <c r="S462" s="8">
        <v>130</v>
      </c>
      <c r="T462" s="8">
        <v>138.72</v>
      </c>
      <c r="U462" s="8" t="s">
        <v>725</v>
      </c>
    </row>
    <row r="463" spans="1:21" x14ac:dyDescent="0.35">
      <c r="A463" s="2">
        <v>8</v>
      </c>
      <c r="B463" s="115" t="s">
        <v>105</v>
      </c>
      <c r="C463" s="116" t="s">
        <v>106</v>
      </c>
      <c r="D463" s="2">
        <v>24</v>
      </c>
      <c r="E463" s="52">
        <v>5.78</v>
      </c>
      <c r="F463" s="111"/>
      <c r="H463" s="2">
        <v>2</v>
      </c>
      <c r="I463" s="2">
        <v>1</v>
      </c>
      <c r="J463" s="2">
        <v>0</v>
      </c>
      <c r="K463" s="2">
        <v>1</v>
      </c>
      <c r="L463" s="2">
        <v>8.1466666666666665</v>
      </c>
      <c r="M463" s="2">
        <v>8.9158333333333335</v>
      </c>
      <c r="N463" s="380">
        <v>2.4316500000000001E-2</v>
      </c>
      <c r="O463" s="2" t="s">
        <v>1095</v>
      </c>
      <c r="P463" s="2">
        <v>100</v>
      </c>
      <c r="Q463" s="2" t="s">
        <v>63</v>
      </c>
      <c r="R463" s="8">
        <v>5</v>
      </c>
      <c r="S463" s="8">
        <v>130</v>
      </c>
      <c r="T463" s="8">
        <v>138.72</v>
      </c>
      <c r="U463" s="8" t="s">
        <v>725</v>
      </c>
    </row>
    <row r="464" spans="1:21" x14ac:dyDescent="0.35">
      <c r="A464" s="2">
        <v>8</v>
      </c>
      <c r="B464" s="115" t="s">
        <v>107</v>
      </c>
      <c r="C464" s="116" t="s">
        <v>108</v>
      </c>
      <c r="D464" s="2">
        <v>24</v>
      </c>
      <c r="E464" s="52">
        <v>5.78</v>
      </c>
      <c r="F464" s="111"/>
      <c r="H464" s="2">
        <v>2</v>
      </c>
      <c r="I464" s="2">
        <v>1</v>
      </c>
      <c r="J464" s="2">
        <v>0</v>
      </c>
      <c r="K464" s="2">
        <v>1</v>
      </c>
      <c r="L464" s="2">
        <v>7.4424999999999999</v>
      </c>
      <c r="M464" s="2">
        <v>8.19</v>
      </c>
      <c r="N464" s="380">
        <v>2.7251250000000001E-2</v>
      </c>
      <c r="O464" s="2" t="s">
        <v>1095</v>
      </c>
      <c r="P464" s="2">
        <v>100</v>
      </c>
      <c r="Q464" s="2" t="s">
        <v>63</v>
      </c>
      <c r="R464" s="8">
        <v>5</v>
      </c>
      <c r="S464" s="8">
        <v>130</v>
      </c>
      <c r="T464" s="8">
        <v>138.72</v>
      </c>
      <c r="U464" s="8" t="s">
        <v>725</v>
      </c>
    </row>
    <row r="465" spans="1:21" x14ac:dyDescent="0.35">
      <c r="A465" s="2">
        <v>8</v>
      </c>
      <c r="B465" s="115" t="s">
        <v>109</v>
      </c>
      <c r="C465" s="116" t="s">
        <v>110</v>
      </c>
      <c r="D465" s="2">
        <v>24</v>
      </c>
      <c r="E465" s="52">
        <v>5.78</v>
      </c>
      <c r="F465" s="111"/>
      <c r="H465" s="2">
        <v>2</v>
      </c>
      <c r="I465" s="2">
        <v>1</v>
      </c>
      <c r="J465" s="2">
        <v>0</v>
      </c>
      <c r="K465" s="2">
        <v>1</v>
      </c>
      <c r="L465" s="2">
        <v>7.4424999999999999</v>
      </c>
      <c r="M465" s="2">
        <v>8.19</v>
      </c>
      <c r="N465" s="380">
        <v>2.7251250000000001E-2</v>
      </c>
      <c r="O465" s="2" t="s">
        <v>1095</v>
      </c>
      <c r="P465" s="2">
        <v>100</v>
      </c>
      <c r="Q465" s="2" t="s">
        <v>63</v>
      </c>
      <c r="R465" s="8">
        <v>5</v>
      </c>
      <c r="S465" s="8">
        <v>130</v>
      </c>
      <c r="T465" s="8">
        <v>138.72</v>
      </c>
      <c r="U465" s="8" t="s">
        <v>725</v>
      </c>
    </row>
    <row r="466" spans="1:21" x14ac:dyDescent="0.35">
      <c r="A466" s="2">
        <v>8</v>
      </c>
      <c r="B466" s="115" t="s">
        <v>115</v>
      </c>
      <c r="C466" s="116" t="s">
        <v>117</v>
      </c>
      <c r="D466" s="2">
        <v>48</v>
      </c>
      <c r="E466" s="52">
        <v>15.55</v>
      </c>
      <c r="F466" s="111"/>
      <c r="H466" s="2"/>
      <c r="I466" s="2">
        <v>2</v>
      </c>
      <c r="J466" s="2">
        <v>0</v>
      </c>
      <c r="K466" s="2">
        <v>0</v>
      </c>
      <c r="L466" s="2">
        <v>18.96</v>
      </c>
      <c r="M466" s="2">
        <v>19.8</v>
      </c>
      <c r="N466" s="380">
        <v>3.4595000000000001E-2</v>
      </c>
      <c r="O466" s="2" t="s">
        <v>116</v>
      </c>
      <c r="P466" s="2">
        <v>100</v>
      </c>
      <c r="Q466" s="2" t="s">
        <v>63</v>
      </c>
      <c r="R466" s="8">
        <v>11.68</v>
      </c>
      <c r="S466" s="8">
        <v>560.64</v>
      </c>
      <c r="T466" s="8">
        <v>746.40000000000009</v>
      </c>
      <c r="U466" s="8" t="s">
        <v>725</v>
      </c>
    </row>
    <row r="467" spans="1:21" x14ac:dyDescent="0.35">
      <c r="A467" s="2">
        <v>8</v>
      </c>
      <c r="B467" s="115" t="s">
        <v>122</v>
      </c>
      <c r="C467" s="116" t="s">
        <v>123</v>
      </c>
      <c r="D467" s="2">
        <v>24</v>
      </c>
      <c r="E467" s="52">
        <v>15.55</v>
      </c>
      <c r="F467" s="111"/>
      <c r="H467" s="2"/>
      <c r="I467" s="2">
        <v>1</v>
      </c>
      <c r="J467" s="2">
        <v>0</v>
      </c>
      <c r="K467" s="2">
        <v>0</v>
      </c>
      <c r="L467" s="2">
        <v>9.48</v>
      </c>
      <c r="M467" s="2">
        <v>9.9</v>
      </c>
      <c r="N467" s="380">
        <v>1.72975E-2</v>
      </c>
      <c r="O467" s="2" t="s">
        <v>116</v>
      </c>
      <c r="P467" s="2">
        <v>100</v>
      </c>
      <c r="Q467" s="2" t="s">
        <v>63</v>
      </c>
      <c r="R467" s="8">
        <v>11.68</v>
      </c>
      <c r="S467" s="8">
        <v>280.32</v>
      </c>
      <c r="T467" s="8">
        <v>373.20000000000005</v>
      </c>
      <c r="U467" s="8" t="s">
        <v>725</v>
      </c>
    </row>
    <row r="468" spans="1:21" x14ac:dyDescent="0.35">
      <c r="A468" s="2">
        <v>8</v>
      </c>
      <c r="B468" s="115" t="s">
        <v>149</v>
      </c>
      <c r="C468" s="116" t="s">
        <v>150</v>
      </c>
      <c r="D468" s="2">
        <v>24</v>
      </c>
      <c r="E468" s="52">
        <v>15.55</v>
      </c>
      <c r="F468" s="111"/>
      <c r="H468" s="2">
        <v>6</v>
      </c>
      <c r="I468" s="2">
        <v>1</v>
      </c>
      <c r="J468" s="2">
        <v>0</v>
      </c>
      <c r="K468" s="2">
        <v>1</v>
      </c>
      <c r="L468" s="2">
        <v>11.850000000000001</v>
      </c>
      <c r="M468" s="2">
        <v>12.375</v>
      </c>
      <c r="N468" s="380">
        <v>2.1914062500000001E-2</v>
      </c>
      <c r="O468" s="2" t="s">
        <v>116</v>
      </c>
      <c r="P468" s="2">
        <v>100</v>
      </c>
      <c r="Q468" s="2" t="s">
        <v>63</v>
      </c>
      <c r="R468" s="8">
        <v>11.68</v>
      </c>
      <c r="S468" s="8">
        <v>350.4</v>
      </c>
      <c r="T468" s="8">
        <v>373.20000000000005</v>
      </c>
      <c r="U468" s="8" t="s">
        <v>725</v>
      </c>
    </row>
    <row r="469" spans="1:21" x14ac:dyDescent="0.35">
      <c r="A469" s="2">
        <v>8</v>
      </c>
      <c r="B469" s="115" t="s">
        <v>151</v>
      </c>
      <c r="C469" s="116" t="s">
        <v>152</v>
      </c>
      <c r="D469" s="2">
        <v>24</v>
      </c>
      <c r="E469" s="52">
        <v>15.55</v>
      </c>
      <c r="F469" s="111"/>
      <c r="H469" s="2">
        <v>6</v>
      </c>
      <c r="I469" s="2">
        <v>1</v>
      </c>
      <c r="J469" s="2">
        <v>0</v>
      </c>
      <c r="K469" s="2">
        <v>1</v>
      </c>
      <c r="L469" s="2">
        <v>11.850000000000001</v>
      </c>
      <c r="M469" s="2">
        <v>12.375</v>
      </c>
      <c r="N469" s="380">
        <v>2.1914062500000001E-2</v>
      </c>
      <c r="O469" s="2" t="s">
        <v>116</v>
      </c>
      <c r="P469" s="2">
        <v>100</v>
      </c>
      <c r="Q469" s="2" t="s">
        <v>63</v>
      </c>
      <c r="R469" s="8">
        <v>11.68</v>
      </c>
      <c r="S469" s="8">
        <v>350.4</v>
      </c>
      <c r="T469" s="8">
        <v>373.20000000000005</v>
      </c>
      <c r="U469" s="8" t="s">
        <v>725</v>
      </c>
    </row>
    <row r="470" spans="1:21" x14ac:dyDescent="0.35">
      <c r="A470" s="2">
        <v>8</v>
      </c>
      <c r="B470" s="115" t="s">
        <v>24</v>
      </c>
      <c r="C470" s="116" t="s">
        <v>27</v>
      </c>
      <c r="D470" s="2">
        <v>24</v>
      </c>
      <c r="E470" s="52">
        <v>5.78</v>
      </c>
      <c r="F470" s="111"/>
      <c r="H470" s="2"/>
      <c r="I470" s="2">
        <v>2</v>
      </c>
      <c r="J470" s="2">
        <v>0</v>
      </c>
      <c r="K470" s="2">
        <v>0</v>
      </c>
      <c r="L470" s="2">
        <v>10.08</v>
      </c>
      <c r="M470" s="2">
        <v>11.58</v>
      </c>
      <c r="N470" s="380">
        <v>5.6166000000000001E-2</v>
      </c>
      <c r="O470" s="2" t="s">
        <v>25</v>
      </c>
      <c r="P470" s="2">
        <v>50</v>
      </c>
      <c r="Q470" s="2">
        <v>0</v>
      </c>
      <c r="R470" s="8">
        <v>5.23</v>
      </c>
      <c r="S470" s="8">
        <v>125.52000000000001</v>
      </c>
      <c r="T470" s="8">
        <v>138.72</v>
      </c>
      <c r="U470" s="8" t="s">
        <v>725</v>
      </c>
    </row>
    <row r="471" spans="1:21" x14ac:dyDescent="0.35">
      <c r="A471" s="2">
        <v>8</v>
      </c>
      <c r="B471" s="115" t="s">
        <v>30</v>
      </c>
      <c r="C471" s="116" t="s">
        <v>31</v>
      </c>
      <c r="D471" s="2">
        <v>12</v>
      </c>
      <c r="E471" s="52">
        <v>2.89</v>
      </c>
      <c r="F471" s="111"/>
      <c r="H471" s="2"/>
      <c r="I471" s="2">
        <v>1</v>
      </c>
      <c r="J471" s="2">
        <v>0</v>
      </c>
      <c r="K471" s="2">
        <v>0</v>
      </c>
      <c r="L471" s="2">
        <v>5.04</v>
      </c>
      <c r="M471" s="2">
        <v>5.79</v>
      </c>
      <c r="N471" s="380">
        <v>2.8083E-2</v>
      </c>
      <c r="O471" s="2" t="s">
        <v>25</v>
      </c>
      <c r="P471" s="2">
        <v>50</v>
      </c>
      <c r="Q471" s="2">
        <v>0</v>
      </c>
      <c r="R471" s="8">
        <v>5.23</v>
      </c>
      <c r="S471" s="8">
        <v>62.760000000000005</v>
      </c>
      <c r="T471" s="8">
        <v>34.68</v>
      </c>
      <c r="U471" s="8" t="s">
        <v>725</v>
      </c>
    </row>
    <row r="472" spans="1:21" x14ac:dyDescent="0.35">
      <c r="A472" s="2">
        <v>8</v>
      </c>
      <c r="B472" s="115" t="s">
        <v>30</v>
      </c>
      <c r="C472" s="116" t="s">
        <v>31</v>
      </c>
      <c r="D472" s="2">
        <v>12</v>
      </c>
      <c r="E472" s="52">
        <v>5.78</v>
      </c>
      <c r="F472" s="111"/>
      <c r="H472" s="2"/>
      <c r="I472" s="2">
        <v>1</v>
      </c>
      <c r="J472" s="2">
        <v>0</v>
      </c>
      <c r="K472" s="2">
        <v>0</v>
      </c>
      <c r="L472" s="2">
        <v>5.04</v>
      </c>
      <c r="M472" s="2">
        <v>5.79</v>
      </c>
      <c r="N472" s="380">
        <v>2.8083E-2</v>
      </c>
      <c r="O472" s="2" t="s">
        <v>25</v>
      </c>
      <c r="P472" s="2">
        <v>50</v>
      </c>
      <c r="Q472" s="2">
        <v>0</v>
      </c>
      <c r="R472" s="8">
        <v>5.23</v>
      </c>
      <c r="S472" s="8">
        <v>62.760000000000005</v>
      </c>
      <c r="T472" s="8">
        <v>69.36</v>
      </c>
      <c r="U472" s="8" t="s">
        <v>725</v>
      </c>
    </row>
    <row r="473" spans="1:21" x14ac:dyDescent="0.35">
      <c r="A473" s="2">
        <v>8</v>
      </c>
      <c r="B473" s="115" t="s">
        <v>32</v>
      </c>
      <c r="C473" s="116" t="s">
        <v>33</v>
      </c>
      <c r="D473" s="2">
        <v>24</v>
      </c>
      <c r="E473" s="52">
        <v>5.78</v>
      </c>
      <c r="F473" s="111"/>
      <c r="H473" s="2"/>
      <c r="I473" s="2">
        <v>2</v>
      </c>
      <c r="J473" s="2">
        <v>0</v>
      </c>
      <c r="K473" s="2">
        <v>0</v>
      </c>
      <c r="L473" s="2">
        <v>10.08</v>
      </c>
      <c r="M473" s="2">
        <v>11.58</v>
      </c>
      <c r="N473" s="380">
        <v>5.6166000000000001E-2</v>
      </c>
      <c r="O473" s="2" t="s">
        <v>25</v>
      </c>
      <c r="P473" s="2">
        <v>50</v>
      </c>
      <c r="Q473" s="2">
        <v>0</v>
      </c>
      <c r="R473" s="8">
        <v>5.23</v>
      </c>
      <c r="S473" s="8">
        <v>125.52000000000001</v>
      </c>
      <c r="T473" s="8">
        <v>138.72</v>
      </c>
      <c r="U473" s="8" t="s">
        <v>725</v>
      </c>
    </row>
    <row r="474" spans="1:21" x14ac:dyDescent="0.35">
      <c r="A474" s="2">
        <v>8</v>
      </c>
      <c r="B474" s="115" t="s">
        <v>34</v>
      </c>
      <c r="C474" s="116" t="s">
        <v>35</v>
      </c>
      <c r="D474" s="2">
        <v>24</v>
      </c>
      <c r="E474" s="52">
        <v>5.78</v>
      </c>
      <c r="F474" s="111"/>
      <c r="H474" s="2"/>
      <c r="I474" s="2">
        <v>2</v>
      </c>
      <c r="J474" s="2">
        <v>0</v>
      </c>
      <c r="K474" s="2">
        <v>0</v>
      </c>
      <c r="L474" s="2">
        <v>10.08</v>
      </c>
      <c r="M474" s="2">
        <v>11.58</v>
      </c>
      <c r="N474" s="380">
        <v>5.6166000000000001E-2</v>
      </c>
      <c r="O474" s="2" t="s">
        <v>25</v>
      </c>
      <c r="P474" s="2">
        <v>50</v>
      </c>
      <c r="Q474" s="2">
        <v>0</v>
      </c>
      <c r="R474" s="8">
        <v>5.23</v>
      </c>
      <c r="S474" s="8">
        <v>125.52000000000001</v>
      </c>
      <c r="T474" s="8">
        <v>138.72</v>
      </c>
      <c r="U474" s="8" t="s">
        <v>725</v>
      </c>
    </row>
    <row r="475" spans="1:21" x14ac:dyDescent="0.35">
      <c r="A475" s="2">
        <v>8</v>
      </c>
      <c r="B475" s="115" t="s">
        <v>36</v>
      </c>
      <c r="C475" s="116" t="s">
        <v>38</v>
      </c>
      <c r="D475" s="2">
        <v>24</v>
      </c>
      <c r="E475" s="52">
        <v>5.78</v>
      </c>
      <c r="F475" s="111"/>
      <c r="H475" s="2"/>
      <c r="I475" s="2">
        <v>2</v>
      </c>
      <c r="J475" s="2">
        <v>0</v>
      </c>
      <c r="K475" s="2">
        <v>0</v>
      </c>
      <c r="L475" s="2">
        <v>9.56</v>
      </c>
      <c r="M475" s="2">
        <v>10.5</v>
      </c>
      <c r="N475" s="380">
        <v>5.6166000000000001E-2</v>
      </c>
      <c r="O475" s="2" t="s">
        <v>25</v>
      </c>
      <c r="P475" s="2">
        <v>50</v>
      </c>
      <c r="Q475" s="2">
        <v>0</v>
      </c>
      <c r="R475" s="8">
        <v>5.23</v>
      </c>
      <c r="S475" s="8">
        <v>125.52000000000001</v>
      </c>
      <c r="T475" s="8">
        <v>138.72</v>
      </c>
      <c r="U475" s="8" t="s">
        <v>725</v>
      </c>
    </row>
    <row r="476" spans="1:21" x14ac:dyDescent="0.35">
      <c r="A476" s="2">
        <v>8</v>
      </c>
      <c r="B476" s="115" t="s">
        <v>39</v>
      </c>
      <c r="C476" s="116" t="s">
        <v>40</v>
      </c>
      <c r="D476" s="2">
        <v>24</v>
      </c>
      <c r="E476" s="52">
        <v>5.78</v>
      </c>
      <c r="F476" s="111"/>
      <c r="H476" s="2"/>
      <c r="I476" s="2">
        <v>2</v>
      </c>
      <c r="J476" s="2">
        <v>0</v>
      </c>
      <c r="K476" s="2">
        <v>0</v>
      </c>
      <c r="L476" s="2">
        <v>9.56</v>
      </c>
      <c r="M476" s="2">
        <v>10.5</v>
      </c>
      <c r="N476" s="380">
        <v>5.6166000000000001E-2</v>
      </c>
      <c r="O476" s="2" t="s">
        <v>25</v>
      </c>
      <c r="P476" s="2">
        <v>50</v>
      </c>
      <c r="Q476" s="2">
        <v>0</v>
      </c>
      <c r="R476" s="8">
        <v>5.23</v>
      </c>
      <c r="S476" s="8">
        <v>125.52000000000001</v>
      </c>
      <c r="T476" s="8">
        <v>138.72</v>
      </c>
      <c r="U476" s="8" t="s">
        <v>725</v>
      </c>
    </row>
    <row r="477" spans="1:21" x14ac:dyDescent="0.35">
      <c r="A477" s="2">
        <v>7</v>
      </c>
      <c r="B477" s="115" t="s">
        <v>115</v>
      </c>
      <c r="C477" s="116" t="s">
        <v>117</v>
      </c>
      <c r="D477" s="2">
        <v>450</v>
      </c>
      <c r="E477" s="52">
        <v>12.5</v>
      </c>
      <c r="F477" s="111"/>
      <c r="H477" s="2">
        <v>38</v>
      </c>
      <c r="I477" s="2">
        <v>19</v>
      </c>
      <c r="J477" s="2">
        <v>0</v>
      </c>
      <c r="K477" s="2">
        <v>2</v>
      </c>
      <c r="L477" s="2">
        <v>192.76</v>
      </c>
      <c r="M477" s="2">
        <v>201.29999999999998</v>
      </c>
      <c r="N477" s="380">
        <v>0.35171583333333334</v>
      </c>
      <c r="O477" s="2" t="s">
        <v>116</v>
      </c>
      <c r="P477" s="2">
        <v>100</v>
      </c>
      <c r="Q477" s="2" t="s">
        <v>63</v>
      </c>
      <c r="R477" s="8">
        <v>11.68</v>
      </c>
      <c r="S477" s="8">
        <v>5699.84</v>
      </c>
      <c r="T477" s="8">
        <v>5625</v>
      </c>
      <c r="U477" s="8" t="s">
        <v>725</v>
      </c>
    </row>
    <row r="478" spans="1:21" x14ac:dyDescent="0.35">
      <c r="A478" s="2">
        <v>7</v>
      </c>
      <c r="B478" s="115" t="s">
        <v>118</v>
      </c>
      <c r="C478" s="116" t="s">
        <v>119</v>
      </c>
      <c r="D478" s="2"/>
      <c r="E478" s="52"/>
      <c r="F478" s="111">
        <v>20</v>
      </c>
      <c r="G478" s="52">
        <v>6.25</v>
      </c>
      <c r="H478" s="2"/>
      <c r="I478" s="2">
        <v>0</v>
      </c>
      <c r="J478" s="2">
        <v>1</v>
      </c>
      <c r="K478" s="2">
        <v>0</v>
      </c>
      <c r="L478" s="2">
        <v>7.9</v>
      </c>
      <c r="M478" s="2">
        <v>8.25</v>
      </c>
      <c r="N478" s="380">
        <v>1.4414583333333335E-2</v>
      </c>
      <c r="O478" s="2" t="s">
        <v>116</v>
      </c>
      <c r="P478" s="2">
        <v>100</v>
      </c>
      <c r="Q478" s="2" t="s">
        <v>63</v>
      </c>
      <c r="R478" s="8">
        <v>11.68</v>
      </c>
      <c r="S478" s="8">
        <v>233.6</v>
      </c>
      <c r="T478" s="8">
        <v>125</v>
      </c>
      <c r="U478" s="8" t="s">
        <v>725</v>
      </c>
    </row>
    <row r="479" spans="1:21" x14ac:dyDescent="0.35">
      <c r="A479" s="2">
        <v>7</v>
      </c>
      <c r="B479" s="115" t="s">
        <v>120</v>
      </c>
      <c r="C479" s="116" t="s">
        <v>713</v>
      </c>
      <c r="D479" s="2"/>
      <c r="E479" s="52"/>
      <c r="F479" s="111">
        <v>66</v>
      </c>
      <c r="G479" s="52">
        <v>6.25</v>
      </c>
      <c r="H479" s="2"/>
      <c r="I479" s="2">
        <v>0</v>
      </c>
      <c r="J479" s="2">
        <v>3</v>
      </c>
      <c r="K479" s="2">
        <v>0</v>
      </c>
      <c r="L479" s="2">
        <v>26.07</v>
      </c>
      <c r="M479" s="2">
        <v>27.225000000000001</v>
      </c>
      <c r="N479" s="380">
        <v>4.7568125000000003E-2</v>
      </c>
      <c r="O479" s="2" t="s">
        <v>116</v>
      </c>
      <c r="P479" s="2">
        <v>100</v>
      </c>
      <c r="Q479" s="2" t="s">
        <v>63</v>
      </c>
      <c r="R479" s="8">
        <v>11.68</v>
      </c>
      <c r="S479" s="8">
        <v>770.88</v>
      </c>
      <c r="T479" s="8">
        <v>412.5</v>
      </c>
      <c r="U479" s="8" t="s">
        <v>725</v>
      </c>
    </row>
    <row r="480" spans="1:21" x14ac:dyDescent="0.35">
      <c r="A480" s="2">
        <v>7</v>
      </c>
      <c r="B480" s="115" t="s">
        <v>122</v>
      </c>
      <c r="C480" s="116" t="s">
        <v>123</v>
      </c>
      <c r="D480" s="2">
        <v>150</v>
      </c>
      <c r="E480" s="52">
        <v>12.5</v>
      </c>
      <c r="F480" s="111"/>
      <c r="H480" s="2">
        <v>13</v>
      </c>
      <c r="I480" s="2">
        <v>7</v>
      </c>
      <c r="J480" s="2">
        <v>0</v>
      </c>
      <c r="K480" s="2">
        <v>1</v>
      </c>
      <c r="L480" s="2">
        <v>64.385000000000005</v>
      </c>
      <c r="M480" s="2">
        <v>67.237500000000011</v>
      </c>
      <c r="N480" s="380">
        <v>0.11747885416666667</v>
      </c>
      <c r="O480" s="2" t="s">
        <v>116</v>
      </c>
      <c r="P480" s="2">
        <v>100</v>
      </c>
      <c r="Q480" s="2" t="s">
        <v>63</v>
      </c>
      <c r="R480" s="8">
        <v>11.68</v>
      </c>
      <c r="S480" s="8">
        <v>1903.84</v>
      </c>
      <c r="T480" s="8">
        <v>1875</v>
      </c>
      <c r="U480" s="8" t="s">
        <v>725</v>
      </c>
    </row>
    <row r="481" spans="1:21" x14ac:dyDescent="0.35">
      <c r="A481" s="2">
        <v>7</v>
      </c>
      <c r="B481" s="115" t="s">
        <v>128</v>
      </c>
      <c r="C481" s="116" t="s">
        <v>129</v>
      </c>
      <c r="D481" s="2"/>
      <c r="E481" s="52"/>
      <c r="F481" s="111">
        <v>30</v>
      </c>
      <c r="G481" s="52">
        <v>6.25</v>
      </c>
      <c r="H481" s="2"/>
      <c r="I481" s="2">
        <v>0</v>
      </c>
      <c r="J481" s="2">
        <v>2</v>
      </c>
      <c r="K481" s="2">
        <v>0</v>
      </c>
      <c r="L481" s="2">
        <v>11.399999999999999</v>
      </c>
      <c r="M481" s="2">
        <v>11.875</v>
      </c>
      <c r="N481" s="380">
        <v>2.1914062500000001E-2</v>
      </c>
      <c r="O481" s="2" t="s">
        <v>116</v>
      </c>
      <c r="P481" s="2">
        <v>100</v>
      </c>
      <c r="Q481" s="2" t="s">
        <v>63</v>
      </c>
      <c r="R481" s="8">
        <v>11.68</v>
      </c>
      <c r="S481" s="8">
        <v>350.4</v>
      </c>
      <c r="T481" s="8">
        <v>187.5</v>
      </c>
      <c r="U481" s="8" t="s">
        <v>725</v>
      </c>
    </row>
    <row r="482" spans="1:21" x14ac:dyDescent="0.35">
      <c r="A482" s="2">
        <v>7</v>
      </c>
      <c r="B482" s="115" t="s">
        <v>130</v>
      </c>
      <c r="C482" s="116" t="s">
        <v>131</v>
      </c>
      <c r="D482" s="2"/>
      <c r="E482" s="52"/>
      <c r="F482" s="111">
        <v>90</v>
      </c>
      <c r="G482" s="52">
        <v>6.25</v>
      </c>
      <c r="H482" s="2"/>
      <c r="I482" s="2">
        <v>0</v>
      </c>
      <c r="J482" s="2">
        <v>4</v>
      </c>
      <c r="K482" s="2">
        <v>0</v>
      </c>
      <c r="L482" s="2">
        <v>34.199999999999996</v>
      </c>
      <c r="M482" s="2">
        <v>35.625</v>
      </c>
      <c r="N482" s="380">
        <v>6.5742187499999993E-2</v>
      </c>
      <c r="O482" s="2" t="s">
        <v>116</v>
      </c>
      <c r="P482" s="2">
        <v>100</v>
      </c>
      <c r="Q482" s="2" t="s">
        <v>63</v>
      </c>
      <c r="R482" s="8">
        <v>11.68</v>
      </c>
      <c r="S482" s="8">
        <v>1051.2</v>
      </c>
      <c r="T482" s="8">
        <v>562.5</v>
      </c>
      <c r="U482" s="8" t="s">
        <v>725</v>
      </c>
    </row>
    <row r="483" spans="1:21" x14ac:dyDescent="0.35">
      <c r="A483" s="2">
        <v>7</v>
      </c>
      <c r="B483" s="115" t="s">
        <v>149</v>
      </c>
      <c r="C483" s="116" t="s">
        <v>150</v>
      </c>
      <c r="D483" s="2">
        <v>200</v>
      </c>
      <c r="E483" s="52">
        <v>12.5</v>
      </c>
      <c r="F483" s="111"/>
      <c r="H483" s="2">
        <v>243</v>
      </c>
      <c r="I483" s="2">
        <v>9</v>
      </c>
      <c r="J483" s="2">
        <v>0</v>
      </c>
      <c r="K483" s="2">
        <v>11</v>
      </c>
      <c r="L483" s="2">
        <v>174.98499999999999</v>
      </c>
      <c r="M483" s="2">
        <v>182.73749999999998</v>
      </c>
      <c r="N483" s="380">
        <v>0.32359765624999998</v>
      </c>
      <c r="O483" s="2" t="s">
        <v>116</v>
      </c>
      <c r="P483" s="2">
        <v>100</v>
      </c>
      <c r="Q483" s="2" t="s">
        <v>63</v>
      </c>
      <c r="R483" s="8">
        <v>11.68</v>
      </c>
      <c r="S483" s="8">
        <v>5174.24</v>
      </c>
      <c r="T483" s="8">
        <v>2500</v>
      </c>
      <c r="U483" s="8" t="s">
        <v>725</v>
      </c>
    </row>
    <row r="484" spans="1:21" x14ac:dyDescent="0.35">
      <c r="A484" s="2">
        <v>7</v>
      </c>
      <c r="B484" s="115" t="s">
        <v>151</v>
      </c>
      <c r="C484" s="116" t="s">
        <v>152</v>
      </c>
      <c r="D484" s="2">
        <v>200</v>
      </c>
      <c r="E484" s="52">
        <v>12.5</v>
      </c>
      <c r="F484" s="111"/>
      <c r="H484" s="2">
        <v>243</v>
      </c>
      <c r="I484" s="2">
        <v>9</v>
      </c>
      <c r="J484" s="2">
        <v>0</v>
      </c>
      <c r="K484" s="2">
        <v>11</v>
      </c>
      <c r="L484" s="2">
        <v>174.98499999999999</v>
      </c>
      <c r="M484" s="2">
        <v>182.73749999999998</v>
      </c>
      <c r="N484" s="380">
        <v>0.32359765624999998</v>
      </c>
      <c r="O484" s="2" t="s">
        <v>116</v>
      </c>
      <c r="P484" s="2">
        <v>100</v>
      </c>
      <c r="Q484" s="2" t="s">
        <v>63</v>
      </c>
      <c r="R484" s="8">
        <v>11.68</v>
      </c>
      <c r="S484" s="8">
        <v>5174.24</v>
      </c>
      <c r="T484" s="8">
        <v>2500</v>
      </c>
      <c r="U484" s="8" t="s">
        <v>725</v>
      </c>
    </row>
    <row r="485" spans="1:21" x14ac:dyDescent="0.35">
      <c r="A485" s="2">
        <v>6</v>
      </c>
      <c r="B485" s="115" t="s">
        <v>109</v>
      </c>
      <c r="C485" s="116" t="s">
        <v>110</v>
      </c>
      <c r="D485" s="2">
        <v>2640</v>
      </c>
      <c r="E485" s="52">
        <v>5.2533271071678724</v>
      </c>
      <c r="F485" s="111"/>
      <c r="H485" s="2"/>
      <c r="I485" s="2">
        <v>110</v>
      </c>
      <c r="J485" s="2">
        <v>0</v>
      </c>
      <c r="K485" s="2">
        <v>0</v>
      </c>
      <c r="L485" s="2">
        <v>755.7</v>
      </c>
      <c r="M485" s="2">
        <v>831.59999999999991</v>
      </c>
      <c r="N485" s="380">
        <v>2.7670499999999998</v>
      </c>
      <c r="O485" s="2" t="s">
        <v>1095</v>
      </c>
      <c r="P485" s="2">
        <v>100</v>
      </c>
      <c r="Q485" s="2" t="s">
        <v>63</v>
      </c>
      <c r="R485" s="8">
        <v>5</v>
      </c>
      <c r="S485" s="8">
        <v>13200</v>
      </c>
      <c r="T485" s="8">
        <v>13868.783562923183</v>
      </c>
      <c r="U485" s="8" t="s">
        <v>725</v>
      </c>
    </row>
    <row r="486" spans="1:21" x14ac:dyDescent="0.35">
      <c r="A486" s="2">
        <v>5</v>
      </c>
      <c r="B486" s="115" t="s">
        <v>149</v>
      </c>
      <c r="C486" s="116" t="s">
        <v>150</v>
      </c>
      <c r="D486" s="2">
        <v>2712</v>
      </c>
      <c r="E486" s="52">
        <v>12.5</v>
      </c>
      <c r="F486" s="111">
        <v>912</v>
      </c>
      <c r="G486" s="52">
        <v>6.25</v>
      </c>
      <c r="H486" s="2"/>
      <c r="I486" s="2">
        <v>113</v>
      </c>
      <c r="J486" s="2">
        <v>38</v>
      </c>
      <c r="K486" s="2">
        <v>0</v>
      </c>
      <c r="L486" s="2">
        <v>1431.48</v>
      </c>
      <c r="M486" s="2">
        <v>1494.9</v>
      </c>
      <c r="N486" s="380">
        <v>2.64721875</v>
      </c>
      <c r="O486" s="2" t="s">
        <v>116</v>
      </c>
      <c r="P486" s="2">
        <v>100</v>
      </c>
      <c r="Q486" s="2" t="s">
        <v>63</v>
      </c>
      <c r="R486" s="8">
        <v>11.68</v>
      </c>
      <c r="S486" s="8">
        <v>42328.32</v>
      </c>
      <c r="T486" s="8">
        <v>39600</v>
      </c>
      <c r="U486" s="8" t="s">
        <v>725</v>
      </c>
    </row>
    <row r="487" spans="1:21" x14ac:dyDescent="0.35">
      <c r="A487" s="2">
        <v>5</v>
      </c>
      <c r="B487" s="115" t="s">
        <v>151</v>
      </c>
      <c r="C487" s="116" t="s">
        <v>152</v>
      </c>
      <c r="D487" s="2">
        <v>2712</v>
      </c>
      <c r="E487" s="52">
        <v>12.5</v>
      </c>
      <c r="F487" s="111">
        <v>912</v>
      </c>
      <c r="G487" s="52">
        <v>6.25</v>
      </c>
      <c r="H487" s="2"/>
      <c r="I487" s="2">
        <v>113</v>
      </c>
      <c r="J487" s="2">
        <v>38</v>
      </c>
      <c r="K487" s="2">
        <v>0</v>
      </c>
      <c r="L487" s="2">
        <v>1431.48</v>
      </c>
      <c r="M487" s="2">
        <v>1494.9</v>
      </c>
      <c r="N487" s="380">
        <v>2.64721875</v>
      </c>
      <c r="O487" s="2" t="s">
        <v>116</v>
      </c>
      <c r="P487" s="2">
        <v>100</v>
      </c>
      <c r="Q487" s="2" t="s">
        <v>63</v>
      </c>
      <c r="R487" s="8">
        <v>11.68</v>
      </c>
      <c r="S487" s="8">
        <v>42328.32</v>
      </c>
      <c r="T487" s="8">
        <v>39600</v>
      </c>
      <c r="U487" s="8" t="s">
        <v>725</v>
      </c>
    </row>
    <row r="488" spans="1:21" x14ac:dyDescent="0.35">
      <c r="A488" s="2">
        <v>4</v>
      </c>
      <c r="B488" s="115" t="s">
        <v>96</v>
      </c>
      <c r="C488" s="116" t="s">
        <v>97</v>
      </c>
      <c r="D488" s="2">
        <v>3000</v>
      </c>
      <c r="E488" s="52">
        <v>17</v>
      </c>
      <c r="F488" s="111"/>
      <c r="H488" s="2"/>
      <c r="I488" s="2">
        <v>150</v>
      </c>
      <c r="J488" s="2">
        <v>0</v>
      </c>
      <c r="K488" s="2">
        <v>0</v>
      </c>
      <c r="L488" s="2">
        <v>2190</v>
      </c>
      <c r="M488" s="2">
        <v>3075</v>
      </c>
      <c r="N488" s="380">
        <v>11.04</v>
      </c>
      <c r="O488" s="2" t="s">
        <v>25</v>
      </c>
      <c r="P488" s="2">
        <v>100</v>
      </c>
      <c r="Q488" s="2">
        <v>0</v>
      </c>
      <c r="R488" s="8">
        <v>15</v>
      </c>
      <c r="S488" s="8">
        <v>45000</v>
      </c>
      <c r="T488" s="8">
        <v>51000</v>
      </c>
      <c r="U488" s="8" t="s">
        <v>725</v>
      </c>
    </row>
    <row r="489" spans="1:21" x14ac:dyDescent="0.35">
      <c r="A489" s="2">
        <v>3</v>
      </c>
      <c r="B489" s="115" t="s">
        <v>115</v>
      </c>
      <c r="C489" s="116" t="s">
        <v>117</v>
      </c>
      <c r="D489" s="2">
        <v>480</v>
      </c>
      <c r="E489" s="52">
        <v>13.99</v>
      </c>
      <c r="F489" s="111"/>
      <c r="H489" s="2">
        <v>60</v>
      </c>
      <c r="I489" s="2">
        <v>20</v>
      </c>
      <c r="J489" s="2">
        <v>0</v>
      </c>
      <c r="K489" s="2">
        <v>3</v>
      </c>
      <c r="L489" s="2">
        <v>213.3</v>
      </c>
      <c r="M489" s="2">
        <v>222.75</v>
      </c>
      <c r="N489" s="380">
        <v>0.38919375</v>
      </c>
      <c r="O489" s="2" t="s">
        <v>116</v>
      </c>
      <c r="P489" s="2">
        <v>100</v>
      </c>
      <c r="Q489" s="2" t="s">
        <v>63</v>
      </c>
      <c r="R489" s="8">
        <v>11.68</v>
      </c>
      <c r="S489" s="8">
        <v>6307.2</v>
      </c>
      <c r="T489" s="8">
        <v>6715.2</v>
      </c>
      <c r="U489" s="8" t="s">
        <v>725</v>
      </c>
    </row>
    <row r="490" spans="1:21" x14ac:dyDescent="0.35">
      <c r="A490" s="2">
        <v>3</v>
      </c>
      <c r="B490" s="115" t="s">
        <v>118</v>
      </c>
      <c r="C490" s="116" t="s">
        <v>119</v>
      </c>
      <c r="D490" s="2">
        <v>480</v>
      </c>
      <c r="E490" s="52">
        <v>13.99</v>
      </c>
      <c r="F490" s="111"/>
      <c r="H490" s="2">
        <v>60</v>
      </c>
      <c r="I490" s="2">
        <v>20</v>
      </c>
      <c r="J490" s="2">
        <v>0</v>
      </c>
      <c r="K490" s="2">
        <v>3</v>
      </c>
      <c r="L490" s="2">
        <v>213.3</v>
      </c>
      <c r="M490" s="2">
        <v>222.75</v>
      </c>
      <c r="N490" s="380">
        <v>0.38919375</v>
      </c>
      <c r="O490" s="2" t="s">
        <v>116</v>
      </c>
      <c r="P490" s="2">
        <v>100</v>
      </c>
      <c r="Q490" s="2" t="s">
        <v>63</v>
      </c>
      <c r="R490" s="8">
        <v>11.68</v>
      </c>
      <c r="S490" s="8">
        <v>6307.2</v>
      </c>
      <c r="T490" s="8">
        <v>6715.2</v>
      </c>
      <c r="U490" s="8" t="s">
        <v>725</v>
      </c>
    </row>
    <row r="491" spans="1:21" x14ac:dyDescent="0.35">
      <c r="A491" s="2">
        <v>3</v>
      </c>
      <c r="B491" s="115" t="s">
        <v>120</v>
      </c>
      <c r="C491" s="116" t="s">
        <v>713</v>
      </c>
      <c r="D491" s="2">
        <v>480</v>
      </c>
      <c r="E491" s="52">
        <v>13.99</v>
      </c>
      <c r="F491" s="111"/>
      <c r="H491" s="2">
        <v>60</v>
      </c>
      <c r="I491" s="2">
        <v>20</v>
      </c>
      <c r="J491" s="2">
        <v>0</v>
      </c>
      <c r="K491" s="2">
        <v>3</v>
      </c>
      <c r="L491" s="2">
        <v>213.3</v>
      </c>
      <c r="M491" s="2">
        <v>222.75</v>
      </c>
      <c r="N491" s="380">
        <v>0.38919375</v>
      </c>
      <c r="O491" s="2" t="s">
        <v>116</v>
      </c>
      <c r="P491" s="2">
        <v>100</v>
      </c>
      <c r="Q491" s="2" t="s">
        <v>63</v>
      </c>
      <c r="R491" s="8">
        <v>11.68</v>
      </c>
      <c r="S491" s="8">
        <v>6307.2</v>
      </c>
      <c r="T491" s="8">
        <v>6715.2</v>
      </c>
      <c r="U491" s="8" t="s">
        <v>725</v>
      </c>
    </row>
    <row r="492" spans="1:21" x14ac:dyDescent="0.35">
      <c r="A492" s="2">
        <v>3</v>
      </c>
      <c r="B492" s="115" t="s">
        <v>122</v>
      </c>
      <c r="C492" s="116" t="s">
        <v>123</v>
      </c>
      <c r="D492" s="2">
        <v>480</v>
      </c>
      <c r="E492" s="52">
        <v>13.99</v>
      </c>
      <c r="F492" s="111"/>
      <c r="H492" s="2">
        <v>60</v>
      </c>
      <c r="I492" s="2">
        <v>20</v>
      </c>
      <c r="J492" s="2">
        <v>0</v>
      </c>
      <c r="K492" s="2">
        <v>3</v>
      </c>
      <c r="L492" s="2">
        <v>213.3</v>
      </c>
      <c r="M492" s="2">
        <v>222.75</v>
      </c>
      <c r="N492" s="380">
        <v>0.38919375</v>
      </c>
      <c r="O492" s="2" t="s">
        <v>116</v>
      </c>
      <c r="P492" s="2">
        <v>100</v>
      </c>
      <c r="Q492" s="2" t="s">
        <v>63</v>
      </c>
      <c r="R492" s="8">
        <v>11.68</v>
      </c>
      <c r="S492" s="8">
        <v>6307.2</v>
      </c>
      <c r="T492" s="8">
        <v>6715.2</v>
      </c>
      <c r="U492" s="8" t="s">
        <v>725</v>
      </c>
    </row>
    <row r="493" spans="1:21" x14ac:dyDescent="0.35">
      <c r="A493" s="2">
        <v>3</v>
      </c>
      <c r="B493" s="115" t="s">
        <v>124</v>
      </c>
      <c r="C493" s="116" t="s">
        <v>125</v>
      </c>
      <c r="D493" s="2">
        <v>480</v>
      </c>
      <c r="E493" s="52">
        <v>13.99</v>
      </c>
      <c r="F493" s="111"/>
      <c r="H493" s="2">
        <v>60</v>
      </c>
      <c r="I493" s="2">
        <v>20</v>
      </c>
      <c r="J493" s="2">
        <v>0</v>
      </c>
      <c r="K493" s="2">
        <v>3</v>
      </c>
      <c r="L493" s="2">
        <v>205.2</v>
      </c>
      <c r="M493" s="2">
        <v>213.75</v>
      </c>
      <c r="N493" s="380">
        <v>0.39445312500000002</v>
      </c>
      <c r="O493" s="2" t="s">
        <v>116</v>
      </c>
      <c r="P493" s="2">
        <v>100</v>
      </c>
      <c r="Q493" s="2" t="s">
        <v>63</v>
      </c>
      <c r="R493" s="8">
        <v>11.68</v>
      </c>
      <c r="S493" s="8">
        <v>6307.2</v>
      </c>
      <c r="T493" s="8">
        <v>6715.2</v>
      </c>
      <c r="U493" s="8" t="s">
        <v>725</v>
      </c>
    </row>
    <row r="494" spans="1:21" x14ac:dyDescent="0.35">
      <c r="A494" s="2">
        <v>3</v>
      </c>
      <c r="B494" s="115" t="s">
        <v>126</v>
      </c>
      <c r="C494" s="116" t="s">
        <v>127</v>
      </c>
      <c r="D494" s="2">
        <v>480</v>
      </c>
      <c r="E494" s="52">
        <v>13.99</v>
      </c>
      <c r="F494" s="111"/>
      <c r="H494" s="2">
        <v>60</v>
      </c>
      <c r="I494" s="2">
        <v>20</v>
      </c>
      <c r="J494" s="2">
        <v>0</v>
      </c>
      <c r="K494" s="2">
        <v>3</v>
      </c>
      <c r="L494" s="2">
        <v>205.2</v>
      </c>
      <c r="M494" s="2">
        <v>213.75</v>
      </c>
      <c r="N494" s="380">
        <v>0.39445312500000002</v>
      </c>
      <c r="O494" s="2" t="s">
        <v>116</v>
      </c>
      <c r="P494" s="2">
        <v>100</v>
      </c>
      <c r="Q494" s="2" t="s">
        <v>63</v>
      </c>
      <c r="R494" s="8">
        <v>11.68</v>
      </c>
      <c r="S494" s="8">
        <v>6307.2</v>
      </c>
      <c r="T494" s="8">
        <v>6715.2</v>
      </c>
      <c r="U494" s="8" t="s">
        <v>725</v>
      </c>
    </row>
    <row r="495" spans="1:21" x14ac:dyDescent="0.35">
      <c r="A495" s="2">
        <v>3</v>
      </c>
      <c r="B495" s="115" t="s">
        <v>128</v>
      </c>
      <c r="C495" s="116" t="s">
        <v>129</v>
      </c>
      <c r="D495" s="2">
        <v>480</v>
      </c>
      <c r="E495" s="52">
        <v>13.99</v>
      </c>
      <c r="F495" s="111"/>
      <c r="H495" s="2">
        <v>60</v>
      </c>
      <c r="I495" s="2">
        <v>20</v>
      </c>
      <c r="J495" s="2">
        <v>0</v>
      </c>
      <c r="K495" s="2">
        <v>3</v>
      </c>
      <c r="L495" s="2">
        <v>205.2</v>
      </c>
      <c r="M495" s="2">
        <v>213.75</v>
      </c>
      <c r="N495" s="380">
        <v>0.39445312500000002</v>
      </c>
      <c r="O495" s="2" t="s">
        <v>116</v>
      </c>
      <c r="P495" s="2">
        <v>100</v>
      </c>
      <c r="Q495" s="2" t="s">
        <v>63</v>
      </c>
      <c r="R495" s="8">
        <v>11.68</v>
      </c>
      <c r="S495" s="8">
        <v>6307.2</v>
      </c>
      <c r="T495" s="8">
        <v>6715.2</v>
      </c>
      <c r="U495" s="8" t="s">
        <v>725</v>
      </c>
    </row>
    <row r="496" spans="1:21" x14ac:dyDescent="0.35">
      <c r="A496" s="2">
        <v>3</v>
      </c>
      <c r="B496" s="115" t="s">
        <v>130</v>
      </c>
      <c r="C496" s="116" t="s">
        <v>131</v>
      </c>
      <c r="D496" s="2">
        <v>480</v>
      </c>
      <c r="E496" s="52">
        <v>13.99</v>
      </c>
      <c r="F496" s="111"/>
      <c r="H496" s="2">
        <v>60</v>
      </c>
      <c r="I496" s="2">
        <v>20</v>
      </c>
      <c r="J496" s="2">
        <v>0</v>
      </c>
      <c r="K496" s="2">
        <v>3</v>
      </c>
      <c r="L496" s="2">
        <v>205.2</v>
      </c>
      <c r="M496" s="2">
        <v>213.75</v>
      </c>
      <c r="N496" s="380">
        <v>0.39445312500000002</v>
      </c>
      <c r="O496" s="2" t="s">
        <v>116</v>
      </c>
      <c r="P496" s="2">
        <v>100</v>
      </c>
      <c r="Q496" s="2" t="s">
        <v>63</v>
      </c>
      <c r="R496" s="8">
        <v>11.68</v>
      </c>
      <c r="S496" s="8">
        <v>6307.2</v>
      </c>
      <c r="T496" s="8">
        <v>6715.2</v>
      </c>
      <c r="U496" s="8" t="s">
        <v>725</v>
      </c>
    </row>
    <row r="497" spans="1:21" x14ac:dyDescent="0.35">
      <c r="A497" s="2">
        <v>2</v>
      </c>
      <c r="B497" s="115" t="s">
        <v>115</v>
      </c>
      <c r="C497" s="116" t="s">
        <v>117</v>
      </c>
      <c r="D497" s="2">
        <v>720</v>
      </c>
      <c r="E497" s="52">
        <v>14.53</v>
      </c>
      <c r="F497" s="111"/>
      <c r="H497" s="2">
        <v>100</v>
      </c>
      <c r="I497" s="2">
        <v>30</v>
      </c>
      <c r="J497" s="2">
        <v>0</v>
      </c>
      <c r="K497" s="2">
        <v>5</v>
      </c>
      <c r="L497" s="2">
        <v>323.89999999999998</v>
      </c>
      <c r="M497" s="2">
        <v>338.25</v>
      </c>
      <c r="N497" s="380">
        <v>0.59099791666666668</v>
      </c>
      <c r="O497" s="2" t="s">
        <v>116</v>
      </c>
      <c r="P497" s="2">
        <v>100</v>
      </c>
      <c r="Q497" s="2" t="s">
        <v>63</v>
      </c>
      <c r="R497" s="8">
        <v>11.68</v>
      </c>
      <c r="S497" s="8">
        <v>9577.6</v>
      </c>
      <c r="T497" s="8">
        <v>10461.6</v>
      </c>
      <c r="U497" s="8" t="s">
        <v>725</v>
      </c>
    </row>
    <row r="498" spans="1:21" x14ac:dyDescent="0.35">
      <c r="A498" s="2">
        <v>2</v>
      </c>
      <c r="B498" s="115" t="s">
        <v>118</v>
      </c>
      <c r="C498" s="116" t="s">
        <v>119</v>
      </c>
      <c r="D498" s="2">
        <v>720</v>
      </c>
      <c r="E498" s="52">
        <v>14.53</v>
      </c>
      <c r="F498" s="111"/>
      <c r="H498" s="2">
        <v>100</v>
      </c>
      <c r="I498" s="2">
        <v>30</v>
      </c>
      <c r="J498" s="2">
        <v>0</v>
      </c>
      <c r="K498" s="2">
        <v>5</v>
      </c>
      <c r="L498" s="2">
        <v>323.89999999999998</v>
      </c>
      <c r="M498" s="2">
        <v>338.25</v>
      </c>
      <c r="N498" s="380">
        <v>0.59099791666666668</v>
      </c>
      <c r="O498" s="2" t="s">
        <v>116</v>
      </c>
      <c r="P498" s="2">
        <v>100</v>
      </c>
      <c r="Q498" s="2" t="s">
        <v>63</v>
      </c>
      <c r="R498" s="8">
        <v>11.68</v>
      </c>
      <c r="S498" s="8">
        <v>9577.6</v>
      </c>
      <c r="T498" s="8">
        <v>10461.6</v>
      </c>
      <c r="U498" s="8" t="s">
        <v>725</v>
      </c>
    </row>
    <row r="499" spans="1:21" x14ac:dyDescent="0.35">
      <c r="A499" s="2">
        <v>2</v>
      </c>
      <c r="B499" s="115" t="s">
        <v>120</v>
      </c>
      <c r="C499" s="116" t="s">
        <v>713</v>
      </c>
      <c r="D499" s="2">
        <v>720</v>
      </c>
      <c r="E499" s="52">
        <v>14.53</v>
      </c>
      <c r="F499" s="111"/>
      <c r="H499" s="2">
        <v>100</v>
      </c>
      <c r="I499" s="2">
        <v>30</v>
      </c>
      <c r="J499" s="2">
        <v>0</v>
      </c>
      <c r="K499" s="2">
        <v>5</v>
      </c>
      <c r="L499" s="2">
        <v>323.89999999999998</v>
      </c>
      <c r="M499" s="2">
        <v>338.25</v>
      </c>
      <c r="N499" s="380">
        <v>0.59099791666666668</v>
      </c>
      <c r="O499" s="2" t="s">
        <v>116</v>
      </c>
      <c r="P499" s="2">
        <v>100</v>
      </c>
      <c r="Q499" s="2" t="s">
        <v>63</v>
      </c>
      <c r="R499" s="8">
        <v>11.68</v>
      </c>
      <c r="S499" s="8">
        <v>9577.6</v>
      </c>
      <c r="T499" s="8">
        <v>10461.6</v>
      </c>
      <c r="U499" s="8" t="s">
        <v>725</v>
      </c>
    </row>
    <row r="500" spans="1:21" x14ac:dyDescent="0.35">
      <c r="A500" s="2">
        <v>2</v>
      </c>
      <c r="B500" s="115" t="s">
        <v>122</v>
      </c>
      <c r="C500" s="116" t="s">
        <v>123</v>
      </c>
      <c r="D500" s="2">
        <v>720</v>
      </c>
      <c r="E500" s="52">
        <v>14.53</v>
      </c>
      <c r="F500" s="111"/>
      <c r="H500" s="2">
        <v>100</v>
      </c>
      <c r="I500" s="2">
        <v>30</v>
      </c>
      <c r="J500" s="2">
        <v>0</v>
      </c>
      <c r="K500" s="2">
        <v>5</v>
      </c>
      <c r="L500" s="2">
        <v>323.89999999999998</v>
      </c>
      <c r="M500" s="2">
        <v>338.25</v>
      </c>
      <c r="N500" s="380">
        <v>0.59099791666666668</v>
      </c>
      <c r="O500" s="2" t="s">
        <v>116</v>
      </c>
      <c r="P500" s="2">
        <v>100</v>
      </c>
      <c r="Q500" s="2" t="s">
        <v>63</v>
      </c>
      <c r="R500" s="8">
        <v>11.68</v>
      </c>
      <c r="S500" s="8">
        <v>9577.6</v>
      </c>
      <c r="T500" s="8">
        <v>10461.6</v>
      </c>
      <c r="U500" s="8" t="s">
        <v>725</v>
      </c>
    </row>
    <row r="501" spans="1:21" x14ac:dyDescent="0.35">
      <c r="A501" s="2">
        <v>2</v>
      </c>
      <c r="B501" s="115" t="s">
        <v>124</v>
      </c>
      <c r="C501" s="116" t="s">
        <v>125</v>
      </c>
      <c r="D501" s="2">
        <v>720</v>
      </c>
      <c r="E501" s="52">
        <v>14.53</v>
      </c>
      <c r="F501" s="111"/>
      <c r="H501" s="2">
        <v>100</v>
      </c>
      <c r="I501" s="2">
        <v>30</v>
      </c>
      <c r="J501" s="2">
        <v>0</v>
      </c>
      <c r="K501" s="2">
        <v>5</v>
      </c>
      <c r="L501" s="2">
        <v>311.59999999999997</v>
      </c>
      <c r="M501" s="2">
        <v>324.58333333333331</v>
      </c>
      <c r="N501" s="380">
        <v>0.59898437500000001</v>
      </c>
      <c r="O501" s="2" t="s">
        <v>116</v>
      </c>
      <c r="P501" s="2">
        <v>100</v>
      </c>
      <c r="Q501" s="2" t="s">
        <v>63</v>
      </c>
      <c r="R501" s="8">
        <v>11.68</v>
      </c>
      <c r="S501" s="8">
        <v>9577.6</v>
      </c>
      <c r="T501" s="8">
        <v>10461.6</v>
      </c>
      <c r="U501" s="8" t="s">
        <v>725</v>
      </c>
    </row>
    <row r="502" spans="1:21" x14ac:dyDescent="0.35">
      <c r="A502" s="2">
        <v>2</v>
      </c>
      <c r="B502" s="115" t="s">
        <v>126</v>
      </c>
      <c r="C502" s="116" t="s">
        <v>127</v>
      </c>
      <c r="D502" s="2">
        <v>720</v>
      </c>
      <c r="E502" s="52">
        <v>14.53</v>
      </c>
      <c r="F502" s="111"/>
      <c r="H502" s="2">
        <v>100</v>
      </c>
      <c r="I502" s="2">
        <v>30</v>
      </c>
      <c r="J502" s="2">
        <v>0</v>
      </c>
      <c r="K502" s="2">
        <v>5</v>
      </c>
      <c r="L502" s="2">
        <v>311.59999999999997</v>
      </c>
      <c r="M502" s="2">
        <v>324.58333333333331</v>
      </c>
      <c r="N502" s="380">
        <v>0.59898437500000001</v>
      </c>
      <c r="O502" s="2" t="s">
        <v>116</v>
      </c>
      <c r="P502" s="2">
        <v>100</v>
      </c>
      <c r="Q502" s="2" t="s">
        <v>63</v>
      </c>
      <c r="R502" s="8">
        <v>11.68</v>
      </c>
      <c r="S502" s="8">
        <v>9577.6</v>
      </c>
      <c r="T502" s="8">
        <v>10461.6</v>
      </c>
      <c r="U502" s="8" t="s">
        <v>725</v>
      </c>
    </row>
    <row r="503" spans="1:21" x14ac:dyDescent="0.35">
      <c r="A503" s="2">
        <v>2</v>
      </c>
      <c r="B503" s="115" t="s">
        <v>128</v>
      </c>
      <c r="C503" s="116" t="s">
        <v>129</v>
      </c>
      <c r="D503" s="2">
        <v>720</v>
      </c>
      <c r="E503" s="52">
        <v>14.53</v>
      </c>
      <c r="F503" s="111"/>
      <c r="H503" s="2">
        <v>100</v>
      </c>
      <c r="I503" s="2">
        <v>30</v>
      </c>
      <c r="J503" s="2">
        <v>0</v>
      </c>
      <c r="K503" s="2">
        <v>5</v>
      </c>
      <c r="L503" s="2">
        <v>311.59999999999997</v>
      </c>
      <c r="M503" s="2">
        <v>324.58333333333331</v>
      </c>
      <c r="N503" s="380">
        <v>0.59898437500000001</v>
      </c>
      <c r="O503" s="2" t="s">
        <v>116</v>
      </c>
      <c r="P503" s="2">
        <v>100</v>
      </c>
      <c r="Q503" s="2" t="s">
        <v>63</v>
      </c>
      <c r="R503" s="8">
        <v>11.68</v>
      </c>
      <c r="S503" s="8">
        <v>9577.6</v>
      </c>
      <c r="T503" s="8">
        <v>10461.6</v>
      </c>
      <c r="U503" s="8" t="s">
        <v>725</v>
      </c>
    </row>
    <row r="504" spans="1:21" x14ac:dyDescent="0.35">
      <c r="A504" s="2">
        <v>2</v>
      </c>
      <c r="B504" s="115" t="s">
        <v>130</v>
      </c>
      <c r="C504" s="116" t="s">
        <v>131</v>
      </c>
      <c r="D504" s="2">
        <v>720</v>
      </c>
      <c r="E504" s="52">
        <v>14.53</v>
      </c>
      <c r="F504" s="111"/>
      <c r="H504" s="2">
        <v>100</v>
      </c>
      <c r="I504" s="2">
        <v>30</v>
      </c>
      <c r="J504" s="2">
        <v>0</v>
      </c>
      <c r="K504" s="2">
        <v>5</v>
      </c>
      <c r="L504" s="2">
        <v>311.59999999999997</v>
      </c>
      <c r="M504" s="2">
        <v>324.58333333333331</v>
      </c>
      <c r="N504" s="380">
        <v>0.59898437500000001</v>
      </c>
      <c r="O504" s="2" t="s">
        <v>116</v>
      </c>
      <c r="P504" s="2">
        <v>100</v>
      </c>
      <c r="Q504" s="2" t="s">
        <v>63</v>
      </c>
      <c r="R504" s="8">
        <v>11.68</v>
      </c>
      <c r="S504" s="8">
        <v>9577.6</v>
      </c>
      <c r="T504" s="8">
        <v>10461.6</v>
      </c>
      <c r="U504" s="8" t="s">
        <v>725</v>
      </c>
    </row>
    <row r="505" spans="1:21" x14ac:dyDescent="0.35">
      <c r="D505" s="2"/>
      <c r="E505" s="52"/>
      <c r="F505" s="111"/>
      <c r="H505" s="2"/>
      <c r="L505" s="2"/>
      <c r="M505" s="2"/>
      <c r="N505" s="380"/>
      <c r="O505" s="2"/>
      <c r="P505" s="2"/>
      <c r="Q505" s="2"/>
      <c r="R505" s="8"/>
      <c r="S505" s="8"/>
      <c r="T505" s="8"/>
      <c r="U505" s="8"/>
    </row>
    <row r="506" spans="1:21" x14ac:dyDescent="0.35">
      <c r="D506" s="2"/>
      <c r="E506" s="52"/>
      <c r="F506" s="111"/>
      <c r="H506" s="2"/>
      <c r="L506" s="2"/>
      <c r="M506" s="2"/>
      <c r="N506" s="380"/>
      <c r="O506" s="2"/>
      <c r="P506" s="2"/>
      <c r="Q506" s="2"/>
      <c r="R506" s="8"/>
      <c r="S506" s="8"/>
      <c r="T506" s="8"/>
      <c r="U506" s="8"/>
    </row>
    <row r="507" spans="1:21" x14ac:dyDescent="0.35">
      <c r="D507" s="2"/>
      <c r="E507" s="52"/>
      <c r="F507" s="111"/>
      <c r="H507" s="2"/>
      <c r="L507" s="2"/>
      <c r="M507" s="2"/>
      <c r="N507" s="380"/>
      <c r="O507" s="2"/>
      <c r="P507" s="2"/>
      <c r="Q507" s="2"/>
      <c r="R507" s="8"/>
      <c r="S507" s="8"/>
      <c r="T507" s="8"/>
      <c r="U507" s="8"/>
    </row>
    <row r="508" spans="1:21" x14ac:dyDescent="0.35">
      <c r="D508" s="2"/>
      <c r="E508" s="52"/>
      <c r="F508" s="111"/>
      <c r="H508" s="2"/>
      <c r="L508" s="2"/>
      <c r="M508" s="2"/>
      <c r="N508" s="380"/>
      <c r="O508" s="2"/>
      <c r="P508" s="2"/>
      <c r="Q508" s="2"/>
      <c r="R508" s="8"/>
      <c r="S508" s="8"/>
      <c r="T508" s="8"/>
      <c r="U508" s="8"/>
    </row>
  </sheetData>
  <sortState xmlns:xlrd2="http://schemas.microsoft.com/office/spreadsheetml/2017/richdata2" ref="A2:U508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1"/>
  <dimension ref="A1:AV61"/>
  <sheetViews>
    <sheetView workbookViewId="0">
      <pane ySplit="1" topLeftCell="A11" activePane="bottomLeft" state="frozen"/>
      <selection activeCell="A2" sqref="A2:AP47"/>
      <selection pane="bottomLeft" activeCell="A2" sqref="A2:AP61"/>
    </sheetView>
  </sheetViews>
  <sheetFormatPr defaultColWidth="9.1796875" defaultRowHeight="14.5" x14ac:dyDescent="0.35"/>
  <cols>
    <col min="1" max="1" width="14.26953125" style="4" customWidth="1"/>
    <col min="2" max="2" width="14.26953125" style="67" customWidth="1"/>
    <col min="3" max="3" width="25.7265625" style="4" bestFit="1" customWidth="1"/>
    <col min="4" max="4" width="14.26953125" style="4" customWidth="1"/>
    <col min="5" max="5" width="15.81640625" style="187" customWidth="1"/>
    <col min="6" max="6" width="18.26953125" style="4" customWidth="1"/>
    <col min="7" max="7" width="53.1796875" style="4" bestFit="1" customWidth="1"/>
    <col min="8" max="8" width="14.26953125" style="8" customWidth="1"/>
    <col min="9" max="9" width="14.26953125" style="2" customWidth="1"/>
    <col min="10" max="10" width="14.26953125" style="112" customWidth="1"/>
    <col min="11" max="11" width="18.54296875" style="112" bestFit="1" customWidth="1"/>
    <col min="12" max="13" width="14.26953125" style="112" customWidth="1"/>
    <col min="14" max="14" width="11.54296875" style="194" customWidth="1"/>
    <col min="15" max="15" width="14.7265625" style="1" customWidth="1"/>
    <col min="16" max="17" width="14.26953125" style="7" customWidth="1"/>
    <col min="18" max="18" width="22" style="1" bestFit="1" customWidth="1"/>
    <col min="19" max="19" width="15.7265625" style="1" customWidth="1"/>
    <col min="20" max="20" width="12.1796875" style="106" customWidth="1"/>
    <col min="21" max="22" width="14.26953125" style="1" customWidth="1"/>
    <col min="23" max="23" width="54.81640625" style="1" bestFit="1" customWidth="1"/>
    <col min="24" max="27" width="15.81640625" style="1" customWidth="1"/>
    <col min="28" max="28" width="14.26953125" style="7" customWidth="1"/>
    <col min="29" max="29" width="21.453125" style="106" customWidth="1"/>
    <col min="30" max="30" width="20.81640625" style="7" customWidth="1"/>
    <col min="31" max="31" width="25.453125" customWidth="1"/>
    <col min="32" max="33" width="21.1796875" style="7" customWidth="1"/>
    <col min="34" max="34" width="21.7265625" style="7" customWidth="1"/>
    <col min="35" max="35" width="58.26953125" style="193" customWidth="1"/>
    <col min="36" max="36" width="20.1796875" style="7" bestFit="1" customWidth="1"/>
    <col min="37" max="37" width="12.7265625" customWidth="1"/>
    <col min="38" max="38" width="18" style="7" customWidth="1"/>
    <col min="39" max="39" width="18" customWidth="1"/>
    <col min="40" max="41" width="18" style="1" customWidth="1"/>
    <col min="42" max="42" width="14.81640625" style="75" customWidth="1"/>
    <col min="43" max="43" width="11.54296875" style="75" bestFit="1" customWidth="1"/>
  </cols>
  <sheetData>
    <row r="1" spans="1:48" s="64" customFormat="1" ht="42" customHeight="1" x14ac:dyDescent="0.35">
      <c r="A1" s="64" t="s">
        <v>380</v>
      </c>
      <c r="B1" s="64" t="s">
        <v>386</v>
      </c>
      <c r="C1" s="64" t="s">
        <v>387</v>
      </c>
      <c r="D1" s="64" t="s">
        <v>231</v>
      </c>
      <c r="E1" s="185" t="s">
        <v>388</v>
      </c>
      <c r="F1" s="64" t="s">
        <v>389</v>
      </c>
      <c r="G1" s="64" t="s">
        <v>230</v>
      </c>
      <c r="H1" s="64" t="s">
        <v>390</v>
      </c>
      <c r="I1" s="110" t="s">
        <v>391</v>
      </c>
      <c r="J1" s="109" t="s">
        <v>1103</v>
      </c>
      <c r="K1" s="109" t="s">
        <v>1209</v>
      </c>
      <c r="L1" s="109" t="s">
        <v>15</v>
      </c>
      <c r="M1" s="109" t="s">
        <v>16</v>
      </c>
      <c r="N1" s="64" t="s">
        <v>23</v>
      </c>
      <c r="O1" s="64" t="s">
        <v>392</v>
      </c>
      <c r="P1" s="66" t="s">
        <v>393</v>
      </c>
      <c r="Q1" s="66" t="s">
        <v>394</v>
      </c>
      <c r="R1" s="64" t="s">
        <v>395</v>
      </c>
      <c r="S1" s="64" t="s">
        <v>1208</v>
      </c>
      <c r="T1" s="110" t="s">
        <v>396</v>
      </c>
      <c r="U1" s="64" t="s">
        <v>397</v>
      </c>
      <c r="V1" s="64" t="s">
        <v>737</v>
      </c>
      <c r="W1" s="64" t="s">
        <v>398</v>
      </c>
      <c r="X1" s="64" t="s">
        <v>399</v>
      </c>
      <c r="Y1" s="64" t="s">
        <v>400</v>
      </c>
      <c r="Z1" s="64" t="s">
        <v>401</v>
      </c>
      <c r="AA1" s="66" t="s">
        <v>968</v>
      </c>
      <c r="AB1" s="64" t="s">
        <v>402</v>
      </c>
      <c r="AC1" s="110" t="s">
        <v>1104</v>
      </c>
      <c r="AD1" s="64" t="s">
        <v>1106</v>
      </c>
      <c r="AE1" s="64" t="s">
        <v>1105</v>
      </c>
      <c r="AF1" s="64" t="s">
        <v>1107</v>
      </c>
      <c r="AG1" s="64" t="s">
        <v>403</v>
      </c>
      <c r="AH1" s="64" t="s">
        <v>404</v>
      </c>
      <c r="AI1" s="558" t="s">
        <v>405</v>
      </c>
      <c r="AJ1" s="64" t="s">
        <v>406</v>
      </c>
      <c r="AK1" s="64" t="s">
        <v>407</v>
      </c>
      <c r="AL1" s="191" t="s">
        <v>839</v>
      </c>
      <c r="AM1" s="192" t="s">
        <v>840</v>
      </c>
      <c r="AN1" s="192" t="s">
        <v>841</v>
      </c>
      <c r="AO1" s="192" t="s">
        <v>842</v>
      </c>
      <c r="AP1" s="77" t="s">
        <v>1056</v>
      </c>
      <c r="AV1" s="64">
        <f>COUNTA(orderHistory[order_no])+2</f>
        <v>62</v>
      </c>
    </row>
    <row r="2" spans="1:48" x14ac:dyDescent="0.35">
      <c r="A2" s="1">
        <v>67</v>
      </c>
      <c r="B2" s="76">
        <v>45478</v>
      </c>
      <c r="C2" s="1" t="s">
        <v>310</v>
      </c>
      <c r="D2" s="1" t="s">
        <v>246</v>
      </c>
      <c r="E2" s="186"/>
      <c r="F2" s="1"/>
      <c r="G2" s="1" t="s">
        <v>350</v>
      </c>
      <c r="H2" s="7" t="s">
        <v>635</v>
      </c>
      <c r="I2" s="113"/>
      <c r="J2" s="121"/>
      <c r="K2" s="121"/>
      <c r="L2" s="121"/>
      <c r="M2" s="121"/>
      <c r="N2" s="562"/>
      <c r="R2" s="7" t="s">
        <v>1023</v>
      </c>
      <c r="S2" s="7"/>
      <c r="T2" s="113"/>
      <c r="U2" s="76"/>
      <c r="V2" s="76" t="s">
        <v>843</v>
      </c>
      <c r="W2" s="1" t="s">
        <v>1022</v>
      </c>
      <c r="X2" s="76"/>
      <c r="Y2" s="76" t="b">
        <v>0</v>
      </c>
      <c r="Z2" s="7"/>
      <c r="AA2" s="7"/>
      <c r="AC2" s="113"/>
      <c r="AE2" s="7"/>
      <c r="AI2" s="399" t="s">
        <v>1233</v>
      </c>
      <c r="AJ2" s="7" t="s">
        <v>1060</v>
      </c>
      <c r="AK2" s="7" t="b">
        <v>1</v>
      </c>
      <c r="AM2" s="7"/>
      <c r="AN2" s="7"/>
      <c r="AO2" s="7"/>
      <c r="AP2" s="76" t="s">
        <v>1232</v>
      </c>
      <c r="AR2" s="75"/>
      <c r="AS2" s="75"/>
      <c r="AT2" s="75"/>
    </row>
    <row r="3" spans="1:48" x14ac:dyDescent="0.35">
      <c r="A3" s="1">
        <v>66</v>
      </c>
      <c r="B3" s="76">
        <v>45476</v>
      </c>
      <c r="C3" s="1" t="s">
        <v>1224</v>
      </c>
      <c r="D3" s="1" t="s">
        <v>246</v>
      </c>
      <c r="E3" s="186"/>
      <c r="F3" s="1" t="s">
        <v>1227</v>
      </c>
      <c r="G3" s="1" t="s">
        <v>637</v>
      </c>
      <c r="H3" s="7" t="s">
        <v>635</v>
      </c>
      <c r="I3" s="113" t="s">
        <v>1222</v>
      </c>
      <c r="J3" s="121" t="s">
        <v>1225</v>
      </c>
      <c r="K3" s="121"/>
      <c r="L3" s="121">
        <v>158</v>
      </c>
      <c r="M3" s="121">
        <v>175</v>
      </c>
      <c r="N3" s="562">
        <v>0.72945749999999987</v>
      </c>
      <c r="R3" s="7" t="s">
        <v>979</v>
      </c>
      <c r="S3" s="7"/>
      <c r="T3" s="113"/>
      <c r="U3" s="76"/>
      <c r="V3" s="76" t="s">
        <v>845</v>
      </c>
      <c r="W3" s="1" t="s">
        <v>637</v>
      </c>
      <c r="X3" s="76"/>
      <c r="Y3" s="76" t="b">
        <v>1</v>
      </c>
      <c r="Z3" s="7">
        <v>2298.3000000000002</v>
      </c>
      <c r="AA3" s="7">
        <v>0</v>
      </c>
      <c r="AB3" s="7">
        <v>-2298.3000000000002</v>
      </c>
      <c r="AC3" s="113" t="s">
        <v>1174</v>
      </c>
      <c r="AE3" s="7"/>
      <c r="AI3" s="399" t="s">
        <v>1226</v>
      </c>
      <c r="AJ3" s="7" t="s">
        <v>741</v>
      </c>
      <c r="AK3" s="7" t="b">
        <v>1</v>
      </c>
      <c r="AM3" s="7"/>
      <c r="AN3" s="7"/>
      <c r="AO3" s="7"/>
      <c r="AP3" s="76"/>
      <c r="AR3" s="75"/>
      <c r="AS3" s="75"/>
      <c r="AT3" s="75"/>
    </row>
    <row r="4" spans="1:48" x14ac:dyDescent="0.35">
      <c r="A4" s="1">
        <v>65</v>
      </c>
      <c r="B4" s="76">
        <v>45474</v>
      </c>
      <c r="C4" s="1" t="s">
        <v>769</v>
      </c>
      <c r="D4" s="1" t="s">
        <v>246</v>
      </c>
      <c r="E4" s="186"/>
      <c r="F4" s="1">
        <v>48</v>
      </c>
      <c r="G4" s="1" t="s">
        <v>360</v>
      </c>
      <c r="H4" s="7" t="s">
        <v>635</v>
      </c>
      <c r="I4" s="113" t="s">
        <v>1222</v>
      </c>
      <c r="J4" s="121"/>
      <c r="K4" s="121"/>
      <c r="L4" s="121">
        <v>414</v>
      </c>
      <c r="M4" s="121">
        <v>432</v>
      </c>
      <c r="N4" s="410">
        <v>0.76090494791666674</v>
      </c>
      <c r="O4" s="1" t="s">
        <v>1034</v>
      </c>
      <c r="P4" s="7" t="s">
        <v>1215</v>
      </c>
      <c r="R4" s="7" t="s">
        <v>1023</v>
      </c>
      <c r="S4" s="7"/>
      <c r="T4" s="113" t="s">
        <v>1212</v>
      </c>
      <c r="U4" s="76" t="s">
        <v>1220</v>
      </c>
      <c r="V4" s="76" t="s">
        <v>725</v>
      </c>
      <c r="W4" s="1" t="s">
        <v>1016</v>
      </c>
      <c r="X4" s="76"/>
      <c r="Y4" s="76" t="b">
        <v>0</v>
      </c>
      <c r="Z4" s="7">
        <v>12252.32</v>
      </c>
      <c r="AA4" s="7">
        <v>10918.75</v>
      </c>
      <c r="AB4" s="7">
        <v>-1333.57</v>
      </c>
      <c r="AC4" s="113" t="s">
        <v>1213</v>
      </c>
      <c r="AD4" s="7" t="s">
        <v>1214</v>
      </c>
      <c r="AE4" s="7"/>
      <c r="AI4" s="399" t="s">
        <v>949</v>
      </c>
      <c r="AJ4" s="7" t="s">
        <v>741</v>
      </c>
      <c r="AK4" s="7" t="b">
        <v>1</v>
      </c>
      <c r="AM4" s="7"/>
      <c r="AN4" s="7"/>
      <c r="AO4" s="7"/>
      <c r="AP4" s="76" t="s">
        <v>1216</v>
      </c>
      <c r="AR4" s="75"/>
      <c r="AS4" s="75"/>
      <c r="AT4" s="75"/>
    </row>
    <row r="5" spans="1:48" x14ac:dyDescent="0.35">
      <c r="A5" s="1">
        <v>64</v>
      </c>
      <c r="B5" s="76">
        <v>45471</v>
      </c>
      <c r="C5" s="1" t="s">
        <v>369</v>
      </c>
      <c r="D5" s="1" t="s">
        <v>246</v>
      </c>
      <c r="E5" s="186"/>
      <c r="F5" s="1">
        <v>36</v>
      </c>
      <c r="G5" s="1" t="s">
        <v>350</v>
      </c>
      <c r="H5" s="7" t="s">
        <v>635</v>
      </c>
      <c r="I5" s="113" t="s">
        <v>1222</v>
      </c>
      <c r="J5" s="121"/>
      <c r="K5" s="121"/>
      <c r="L5" s="121">
        <v>182</v>
      </c>
      <c r="M5" s="121">
        <v>203</v>
      </c>
      <c r="N5" s="374">
        <v>0.82310175000000008</v>
      </c>
      <c r="R5" s="7" t="s">
        <v>979</v>
      </c>
      <c r="S5" s="7" t="s">
        <v>777</v>
      </c>
      <c r="T5" s="113"/>
      <c r="U5" s="76"/>
      <c r="V5" s="76" t="s">
        <v>725</v>
      </c>
      <c r="W5" s="1" t="s">
        <v>1128</v>
      </c>
      <c r="X5" s="76"/>
      <c r="Y5" s="76" t="b">
        <v>0</v>
      </c>
      <c r="Z5" s="7">
        <v>2487.96</v>
      </c>
      <c r="AA5" s="7">
        <v>2214</v>
      </c>
      <c r="AB5" s="7">
        <v>-273.95999999999998</v>
      </c>
      <c r="AC5" s="113"/>
      <c r="AE5" s="7"/>
      <c r="AI5" s="399"/>
      <c r="AJ5" s="7" t="s">
        <v>741</v>
      </c>
      <c r="AK5" s="7" t="b">
        <v>1</v>
      </c>
      <c r="AM5" s="7"/>
      <c r="AN5" s="7"/>
      <c r="AO5" s="7"/>
      <c r="AP5" s="76"/>
      <c r="AR5" s="75"/>
      <c r="AS5" s="75"/>
      <c r="AT5" s="75"/>
    </row>
    <row r="6" spans="1:48" x14ac:dyDescent="0.35">
      <c r="A6" s="1">
        <v>63</v>
      </c>
      <c r="B6" s="76">
        <v>45471</v>
      </c>
      <c r="C6" s="1" t="s">
        <v>375</v>
      </c>
      <c r="D6" s="1" t="s">
        <v>246</v>
      </c>
      <c r="E6" s="186"/>
      <c r="F6" s="1">
        <v>145</v>
      </c>
      <c r="G6" s="1" t="s">
        <v>350</v>
      </c>
      <c r="H6" s="7" t="s">
        <v>761</v>
      </c>
      <c r="I6" s="113"/>
      <c r="J6" s="121"/>
      <c r="K6" s="121" t="s">
        <v>949</v>
      </c>
      <c r="L6" s="121">
        <v>1313</v>
      </c>
      <c r="M6" s="121">
        <v>1370</v>
      </c>
      <c r="N6" s="374">
        <v>2.4272113020833332</v>
      </c>
      <c r="R6" s="7" t="s">
        <v>979</v>
      </c>
      <c r="S6" s="7" t="s">
        <v>1203</v>
      </c>
      <c r="T6" s="113"/>
      <c r="U6" s="76"/>
      <c r="V6" s="76" t="s">
        <v>725</v>
      </c>
      <c r="W6" s="1" t="s">
        <v>1202</v>
      </c>
      <c r="X6" s="76"/>
      <c r="Y6" s="76" t="b">
        <v>0</v>
      </c>
      <c r="Z6" s="7">
        <v>39198.080000000002</v>
      </c>
      <c r="AA6" s="7">
        <v>47730</v>
      </c>
      <c r="AB6" s="7">
        <v>8531.92</v>
      </c>
      <c r="AC6" s="113"/>
      <c r="AE6" s="7"/>
      <c r="AI6" s="399" t="s">
        <v>1230</v>
      </c>
      <c r="AJ6" s="7" t="s">
        <v>726</v>
      </c>
      <c r="AK6" s="7" t="b">
        <v>1</v>
      </c>
      <c r="AM6" s="7"/>
      <c r="AN6" s="7"/>
      <c r="AO6" s="7"/>
      <c r="AP6" s="76"/>
      <c r="AR6" s="75"/>
      <c r="AS6" s="75"/>
      <c r="AT6" s="75"/>
    </row>
    <row r="7" spans="1:48" x14ac:dyDescent="0.35">
      <c r="A7" s="1">
        <v>62</v>
      </c>
      <c r="B7" s="76">
        <v>45471</v>
      </c>
      <c r="C7" s="1" t="s">
        <v>352</v>
      </c>
      <c r="D7" s="1" t="s">
        <v>267</v>
      </c>
      <c r="E7" s="186"/>
      <c r="F7" s="1">
        <v>920</v>
      </c>
      <c r="G7" s="1" t="s">
        <v>350</v>
      </c>
      <c r="H7" s="7" t="s">
        <v>761</v>
      </c>
      <c r="I7" s="113" t="s">
        <v>1201</v>
      </c>
      <c r="J7" s="121"/>
      <c r="K7" s="121"/>
      <c r="L7" s="121">
        <v>5118</v>
      </c>
      <c r="M7" s="121">
        <v>5694</v>
      </c>
      <c r="N7" s="374">
        <v>24.166156100000006</v>
      </c>
      <c r="R7" s="7" t="s">
        <v>979</v>
      </c>
      <c r="S7" s="7"/>
      <c r="T7" s="113"/>
      <c r="U7" s="76"/>
      <c r="V7" s="76" t="s">
        <v>725</v>
      </c>
      <c r="W7" s="1" t="s">
        <v>955</v>
      </c>
      <c r="X7" s="76"/>
      <c r="Y7" s="76" t="b">
        <v>0</v>
      </c>
      <c r="Z7" s="7">
        <v>72420.56</v>
      </c>
      <c r="AA7" s="7">
        <v>75616.320000000007</v>
      </c>
      <c r="AB7" s="7">
        <v>3195.76</v>
      </c>
      <c r="AC7" s="113"/>
      <c r="AE7" s="7"/>
      <c r="AI7" s="399" t="s">
        <v>1228</v>
      </c>
      <c r="AJ7" s="7" t="s">
        <v>726</v>
      </c>
      <c r="AK7" s="7" t="b">
        <v>1</v>
      </c>
      <c r="AM7" s="7"/>
      <c r="AN7" s="7"/>
      <c r="AO7" s="7"/>
      <c r="AP7" s="76"/>
      <c r="AR7" s="75"/>
      <c r="AS7" s="75"/>
      <c r="AT7" s="75"/>
    </row>
    <row r="8" spans="1:48" x14ac:dyDescent="0.35">
      <c r="A8" s="1">
        <v>61</v>
      </c>
      <c r="B8" s="76">
        <v>45471</v>
      </c>
      <c r="C8" s="1" t="s">
        <v>235</v>
      </c>
      <c r="D8" s="1" t="s">
        <v>246</v>
      </c>
      <c r="E8" s="186"/>
      <c r="F8" s="1">
        <v>2755</v>
      </c>
      <c r="G8" s="1" t="s">
        <v>245</v>
      </c>
      <c r="H8" s="7" t="s">
        <v>761</v>
      </c>
      <c r="I8" s="113" t="s">
        <v>1201</v>
      </c>
      <c r="J8" s="121"/>
      <c r="K8" s="121"/>
      <c r="L8" s="121">
        <v>8869</v>
      </c>
      <c r="M8" s="121">
        <v>9265</v>
      </c>
      <c r="N8" s="374">
        <v>36.385795645833326</v>
      </c>
      <c r="P8" s="7" t="s">
        <v>1213</v>
      </c>
      <c r="R8" s="7" t="s">
        <v>979</v>
      </c>
      <c r="S8" s="7"/>
      <c r="T8" s="113"/>
      <c r="U8" s="76"/>
      <c r="V8" s="76" t="s">
        <v>725</v>
      </c>
      <c r="W8" s="1" t="s">
        <v>244</v>
      </c>
      <c r="X8" s="76"/>
      <c r="Y8" s="76" t="b">
        <v>0</v>
      </c>
      <c r="Z8" s="7">
        <v>163730.51999999999</v>
      </c>
      <c r="AA8" s="7">
        <v>170598.84</v>
      </c>
      <c r="AB8" s="7">
        <v>6868.32</v>
      </c>
      <c r="AC8" s="113" t="s">
        <v>1213</v>
      </c>
      <c r="AD8" s="7" t="s">
        <v>1214</v>
      </c>
      <c r="AE8" s="7"/>
      <c r="AI8" s="399" t="s">
        <v>1229</v>
      </c>
      <c r="AJ8" s="7" t="s">
        <v>741</v>
      </c>
      <c r="AK8" s="7" t="b">
        <v>1</v>
      </c>
      <c r="AM8" s="7"/>
      <c r="AN8" s="7"/>
      <c r="AO8" s="7"/>
      <c r="AP8" s="76"/>
      <c r="AR8" s="75"/>
      <c r="AS8" s="75"/>
      <c r="AT8" s="75"/>
    </row>
    <row r="9" spans="1:48" x14ac:dyDescent="0.35">
      <c r="A9" s="1">
        <v>60</v>
      </c>
      <c r="B9" s="76">
        <v>45450</v>
      </c>
      <c r="C9" s="1" t="s">
        <v>1136</v>
      </c>
      <c r="D9" s="1"/>
      <c r="E9" s="186"/>
      <c r="F9" s="1">
        <v>2</v>
      </c>
      <c r="G9" s="1"/>
      <c r="H9" s="7" t="s">
        <v>847</v>
      </c>
      <c r="I9" s="113">
        <v>0</v>
      </c>
      <c r="J9" s="121"/>
      <c r="K9" s="121"/>
      <c r="L9" s="121">
        <v>19</v>
      </c>
      <c r="M9" s="121">
        <v>20</v>
      </c>
      <c r="O9" s="1" t="s">
        <v>1149</v>
      </c>
      <c r="P9" s="7">
        <v>0</v>
      </c>
      <c r="Q9" s="7" t="b">
        <v>0</v>
      </c>
      <c r="R9" s="7" t="s">
        <v>410</v>
      </c>
      <c r="S9" s="7"/>
      <c r="T9" s="113"/>
      <c r="U9" s="76">
        <v>0</v>
      </c>
      <c r="V9" s="76" t="s">
        <v>845</v>
      </c>
      <c r="X9" s="76"/>
      <c r="Y9" s="76" t="b">
        <v>1</v>
      </c>
      <c r="Z9" s="7">
        <v>560.64</v>
      </c>
      <c r="AA9" s="7">
        <v>0</v>
      </c>
      <c r="AB9" s="7">
        <v>-560.64</v>
      </c>
      <c r="AC9" s="113">
        <v>0</v>
      </c>
      <c r="AD9" s="7">
        <v>0</v>
      </c>
      <c r="AE9" s="7"/>
      <c r="AF9" s="7">
        <v>0</v>
      </c>
      <c r="AG9" s="7">
        <v>0</v>
      </c>
      <c r="AI9" s="194"/>
      <c r="AJ9" s="7" t="s">
        <v>741</v>
      </c>
      <c r="AK9" s="7" t="b">
        <v>1</v>
      </c>
      <c r="AM9" s="7"/>
      <c r="AN9" s="7"/>
      <c r="AO9" s="7"/>
      <c r="AP9" s="76">
        <v>45450</v>
      </c>
      <c r="AR9" s="75"/>
      <c r="AS9" s="75"/>
      <c r="AT9" s="75"/>
    </row>
    <row r="10" spans="1:48" x14ac:dyDescent="0.35">
      <c r="A10" s="1">
        <v>58</v>
      </c>
      <c r="B10" s="76">
        <v>45449</v>
      </c>
      <c r="C10" s="1" t="s">
        <v>786</v>
      </c>
      <c r="D10" s="1" t="s">
        <v>246</v>
      </c>
      <c r="E10" s="186"/>
      <c r="F10" s="1">
        <v>344</v>
      </c>
      <c r="G10" s="1"/>
      <c r="H10" s="7" t="s">
        <v>761</v>
      </c>
      <c r="I10" s="113">
        <v>6</v>
      </c>
      <c r="J10" s="121"/>
      <c r="K10" s="121"/>
      <c r="L10" s="121">
        <v>3149</v>
      </c>
      <c r="M10" s="121">
        <v>3282</v>
      </c>
      <c r="N10" s="195"/>
      <c r="P10" s="7">
        <v>0</v>
      </c>
      <c r="Q10" s="7" t="b">
        <v>0</v>
      </c>
      <c r="R10" s="7" t="s">
        <v>1023</v>
      </c>
      <c r="S10" s="7"/>
      <c r="T10" s="113" t="s">
        <v>1177</v>
      </c>
      <c r="U10" s="76">
        <v>45447</v>
      </c>
      <c r="V10" s="76" t="s">
        <v>843</v>
      </c>
      <c r="X10" s="76"/>
      <c r="Y10" s="76" t="b">
        <v>1</v>
      </c>
      <c r="Z10" s="7">
        <v>0</v>
      </c>
      <c r="AA10" s="7">
        <v>95869.440000000002</v>
      </c>
      <c r="AB10" s="7">
        <v>0</v>
      </c>
      <c r="AC10" s="113">
        <v>0</v>
      </c>
      <c r="AD10" s="7">
        <v>0</v>
      </c>
      <c r="AE10" s="7"/>
      <c r="AF10" s="7">
        <v>0</v>
      </c>
      <c r="AG10" s="7">
        <v>0</v>
      </c>
      <c r="AI10" s="195"/>
      <c r="AJ10" s="7" t="s">
        <v>741</v>
      </c>
      <c r="AK10" s="7" t="b">
        <v>1</v>
      </c>
      <c r="AM10" s="7"/>
      <c r="AN10" s="7"/>
      <c r="AO10" s="7"/>
      <c r="AP10" s="255">
        <v>0</v>
      </c>
      <c r="AR10" s="75"/>
      <c r="AS10" s="75"/>
      <c r="AT10" s="75"/>
    </row>
    <row r="11" spans="1:48" x14ac:dyDescent="0.35">
      <c r="A11" s="1">
        <v>57</v>
      </c>
      <c r="B11" s="76">
        <v>45449</v>
      </c>
      <c r="C11" s="1" t="s">
        <v>786</v>
      </c>
      <c r="D11" s="1" t="s">
        <v>246</v>
      </c>
      <c r="E11" s="186"/>
      <c r="F11" s="1">
        <v>1312</v>
      </c>
      <c r="G11" s="1"/>
      <c r="H11" s="7" t="s">
        <v>761</v>
      </c>
      <c r="I11" s="113">
        <v>18</v>
      </c>
      <c r="J11" s="121"/>
      <c r="K11" s="121"/>
      <c r="L11" s="121">
        <v>6173</v>
      </c>
      <c r="M11" s="121">
        <v>6697</v>
      </c>
      <c r="N11" s="195"/>
      <c r="P11" s="7">
        <v>0</v>
      </c>
      <c r="Q11" s="7" t="b">
        <v>0</v>
      </c>
      <c r="R11" s="7" t="s">
        <v>1023</v>
      </c>
      <c r="S11" s="7"/>
      <c r="T11" s="113" t="s">
        <v>1179</v>
      </c>
      <c r="U11" s="76">
        <v>45447</v>
      </c>
      <c r="V11" s="76" t="s">
        <v>843</v>
      </c>
      <c r="X11" s="76"/>
      <c r="Y11" s="76" t="b">
        <v>1</v>
      </c>
      <c r="Z11" s="7">
        <v>0</v>
      </c>
      <c r="AA11" s="7">
        <v>138612.84</v>
      </c>
      <c r="AB11" s="7">
        <v>0</v>
      </c>
      <c r="AC11" s="113">
        <v>0</v>
      </c>
      <c r="AD11" s="7">
        <v>0</v>
      </c>
      <c r="AE11" s="7"/>
      <c r="AF11" s="7">
        <v>0</v>
      </c>
      <c r="AG11" s="7">
        <v>0</v>
      </c>
      <c r="AI11" s="195"/>
      <c r="AJ11" s="7" t="s">
        <v>741</v>
      </c>
      <c r="AK11" s="7" t="b">
        <v>1</v>
      </c>
      <c r="AM11" s="7"/>
      <c r="AN11" s="7"/>
      <c r="AO11" s="7"/>
      <c r="AP11" s="76">
        <v>0</v>
      </c>
      <c r="AR11" s="75"/>
      <c r="AS11" s="75"/>
      <c r="AT11" s="75"/>
    </row>
    <row r="12" spans="1:48" x14ac:dyDescent="0.35">
      <c r="A12" s="1">
        <v>59</v>
      </c>
      <c r="B12" s="76">
        <v>45449</v>
      </c>
      <c r="C12" s="1" t="s">
        <v>1140</v>
      </c>
      <c r="D12" s="1"/>
      <c r="E12" s="186"/>
      <c r="F12" s="1">
        <v>1</v>
      </c>
      <c r="G12" s="1"/>
      <c r="H12" s="7" t="s">
        <v>847</v>
      </c>
      <c r="I12" s="113">
        <v>0</v>
      </c>
      <c r="J12" s="121"/>
      <c r="K12" s="121"/>
      <c r="L12" s="121">
        <v>2</v>
      </c>
      <c r="M12" s="121">
        <v>3</v>
      </c>
      <c r="N12" s="297"/>
      <c r="O12" s="1" t="s">
        <v>846</v>
      </c>
      <c r="P12" s="7">
        <v>42</v>
      </c>
      <c r="Q12" s="7" t="b">
        <v>1</v>
      </c>
      <c r="R12" s="7" t="s">
        <v>1023</v>
      </c>
      <c r="S12" s="7"/>
      <c r="T12" s="113"/>
      <c r="U12" s="76">
        <v>0</v>
      </c>
      <c r="V12" s="76" t="s">
        <v>845</v>
      </c>
      <c r="X12" s="76"/>
      <c r="Y12" s="76" t="b">
        <v>1</v>
      </c>
      <c r="Z12" s="7">
        <v>24</v>
      </c>
      <c r="AA12" s="7">
        <v>0</v>
      </c>
      <c r="AB12" s="7">
        <v>-24</v>
      </c>
      <c r="AC12" s="113">
        <v>0</v>
      </c>
      <c r="AD12" s="7">
        <v>0</v>
      </c>
      <c r="AE12" s="7"/>
      <c r="AF12" s="7">
        <v>0</v>
      </c>
      <c r="AG12" s="7">
        <v>0</v>
      </c>
      <c r="AI12" s="195"/>
      <c r="AJ12" s="7" t="s">
        <v>741</v>
      </c>
      <c r="AK12" s="7" t="b">
        <v>1</v>
      </c>
      <c r="AM12" s="7"/>
      <c r="AN12" s="7"/>
      <c r="AO12" s="7"/>
      <c r="AP12" s="76">
        <v>0</v>
      </c>
      <c r="AR12" s="75"/>
      <c r="AS12" s="75"/>
      <c r="AT12" s="75"/>
    </row>
    <row r="13" spans="1:48" x14ac:dyDescent="0.35">
      <c r="A13" s="1">
        <v>56</v>
      </c>
      <c r="B13" s="76">
        <v>45448</v>
      </c>
      <c r="C13" s="1" t="s">
        <v>249</v>
      </c>
      <c r="D13" s="1" t="s">
        <v>246</v>
      </c>
      <c r="E13" s="186"/>
      <c r="F13" s="1">
        <v>154</v>
      </c>
      <c r="G13" s="1" t="s">
        <v>350</v>
      </c>
      <c r="H13" s="7" t="s">
        <v>635</v>
      </c>
      <c r="I13" s="113">
        <v>16</v>
      </c>
      <c r="J13" s="121"/>
      <c r="K13" s="121"/>
      <c r="L13" s="121">
        <v>913</v>
      </c>
      <c r="M13" s="121">
        <v>1010</v>
      </c>
      <c r="R13" s="7" t="s">
        <v>410</v>
      </c>
      <c r="S13" s="7"/>
      <c r="T13" s="113"/>
      <c r="U13" s="76"/>
      <c r="V13" s="76" t="s">
        <v>725</v>
      </c>
      <c r="W13" s="1" t="s">
        <v>244</v>
      </c>
      <c r="X13" s="76"/>
      <c r="Y13" s="76" t="b">
        <v>0</v>
      </c>
      <c r="Z13" s="7">
        <v>11373.36</v>
      </c>
      <c r="AA13" s="7">
        <v>12108</v>
      </c>
      <c r="AB13" s="7">
        <v>734.64</v>
      </c>
      <c r="AC13" s="113"/>
      <c r="AE13" s="7"/>
      <c r="AI13" s="194" t="s">
        <v>1231</v>
      </c>
      <c r="AJ13" s="7" t="s">
        <v>741</v>
      </c>
      <c r="AK13" s="7" t="b">
        <v>1</v>
      </c>
      <c r="AM13" s="7"/>
      <c r="AN13" s="7"/>
      <c r="AO13" s="7"/>
      <c r="AP13" s="76"/>
      <c r="AR13" s="75"/>
      <c r="AS13" s="75"/>
      <c r="AT13" s="75"/>
    </row>
    <row r="14" spans="1:48" x14ac:dyDescent="0.35">
      <c r="A14" s="1">
        <v>54</v>
      </c>
      <c r="B14" s="76">
        <v>45446</v>
      </c>
      <c r="C14" s="1" t="s">
        <v>310</v>
      </c>
      <c r="D14" s="1" t="s">
        <v>246</v>
      </c>
      <c r="E14" s="186"/>
      <c r="F14" s="1">
        <v>10</v>
      </c>
      <c r="G14" s="1" t="s">
        <v>350</v>
      </c>
      <c r="H14" s="7" t="s">
        <v>635</v>
      </c>
      <c r="I14" s="113">
        <v>1</v>
      </c>
      <c r="J14" s="121"/>
      <c r="K14" s="121"/>
      <c r="L14" s="121">
        <v>93</v>
      </c>
      <c r="M14" s="121">
        <v>97</v>
      </c>
      <c r="N14" s="298"/>
      <c r="P14" s="7">
        <v>0</v>
      </c>
      <c r="Q14" s="7" t="b">
        <v>0</v>
      </c>
      <c r="R14" s="7" t="s">
        <v>1023</v>
      </c>
      <c r="S14" s="7"/>
      <c r="T14" s="113" t="s">
        <v>1181</v>
      </c>
      <c r="U14" s="76">
        <v>45426</v>
      </c>
      <c r="V14" s="76" t="s">
        <v>843</v>
      </c>
      <c r="W14" s="1" t="s">
        <v>1022</v>
      </c>
      <c r="X14" s="76"/>
      <c r="Y14" s="76" t="b">
        <v>1</v>
      </c>
      <c r="Z14" s="7">
        <v>0</v>
      </c>
      <c r="AA14" s="7">
        <v>0</v>
      </c>
      <c r="AB14" s="7">
        <v>0</v>
      </c>
      <c r="AC14" s="113">
        <v>0</v>
      </c>
      <c r="AD14" s="7">
        <v>0</v>
      </c>
      <c r="AE14" s="7"/>
      <c r="AF14" s="7">
        <v>0</v>
      </c>
      <c r="AG14" s="7">
        <v>0</v>
      </c>
      <c r="AI14" s="261" t="s">
        <v>1089</v>
      </c>
      <c r="AJ14" s="7" t="s">
        <v>741</v>
      </c>
      <c r="AK14" s="7" t="b">
        <v>1</v>
      </c>
      <c r="AM14" s="7"/>
      <c r="AN14" s="7"/>
      <c r="AO14" s="7"/>
      <c r="AP14" s="76">
        <v>0</v>
      </c>
      <c r="AR14" s="75"/>
      <c r="AS14" s="75"/>
      <c r="AT14" s="75"/>
    </row>
    <row r="15" spans="1:48" x14ac:dyDescent="0.35">
      <c r="A15" s="1">
        <v>55</v>
      </c>
      <c r="B15" s="76">
        <v>45446</v>
      </c>
      <c r="C15" s="1" t="s">
        <v>310</v>
      </c>
      <c r="D15" s="1" t="s">
        <v>246</v>
      </c>
      <c r="E15" s="186"/>
      <c r="F15" s="1">
        <v>2</v>
      </c>
      <c r="G15" s="1" t="s">
        <v>350</v>
      </c>
      <c r="H15" s="7" t="s">
        <v>635</v>
      </c>
      <c r="I15" s="113">
        <v>1</v>
      </c>
      <c r="J15" s="121"/>
      <c r="K15" s="121"/>
      <c r="L15" s="121">
        <v>2</v>
      </c>
      <c r="M15" s="121">
        <v>3</v>
      </c>
      <c r="N15" s="261"/>
      <c r="P15" s="7">
        <v>0</v>
      </c>
      <c r="Q15" s="7" t="b">
        <v>0</v>
      </c>
      <c r="R15" s="7" t="s">
        <v>1023</v>
      </c>
      <c r="S15" s="7"/>
      <c r="T15" s="113"/>
      <c r="U15" s="76">
        <v>0</v>
      </c>
      <c r="V15" s="76" t="s">
        <v>843</v>
      </c>
      <c r="W15" s="1" t="s">
        <v>1022</v>
      </c>
      <c r="X15" s="76"/>
      <c r="Y15" s="76" t="b">
        <v>1</v>
      </c>
      <c r="Z15" s="7">
        <v>0</v>
      </c>
      <c r="AA15" s="7">
        <v>0</v>
      </c>
      <c r="AB15" s="7">
        <v>0</v>
      </c>
      <c r="AC15" s="113">
        <v>0</v>
      </c>
      <c r="AD15" s="7">
        <v>0</v>
      </c>
      <c r="AE15" s="7"/>
      <c r="AF15" s="7">
        <v>0</v>
      </c>
      <c r="AG15" s="7">
        <v>0</v>
      </c>
      <c r="AI15" s="261"/>
      <c r="AJ15" s="7" t="s">
        <v>741</v>
      </c>
      <c r="AK15" s="7" t="b">
        <v>1</v>
      </c>
      <c r="AM15" s="7"/>
      <c r="AN15" s="7"/>
      <c r="AO15" s="7"/>
      <c r="AP15" s="76">
        <v>0</v>
      </c>
      <c r="AR15" s="75"/>
      <c r="AS15" s="75"/>
      <c r="AT15" s="75"/>
    </row>
    <row r="16" spans="1:48" x14ac:dyDescent="0.35">
      <c r="A16" s="1">
        <v>53</v>
      </c>
      <c r="B16" s="76">
        <v>45436</v>
      </c>
      <c r="C16" s="1" t="s">
        <v>310</v>
      </c>
      <c r="D16" s="1" t="s">
        <v>246</v>
      </c>
      <c r="E16" s="186"/>
      <c r="F16" s="1">
        <v>30</v>
      </c>
      <c r="G16" s="1" t="s">
        <v>350</v>
      </c>
      <c r="H16" s="7" t="s">
        <v>635</v>
      </c>
      <c r="I16" s="113"/>
      <c r="J16" s="121"/>
      <c r="K16" s="121"/>
      <c r="L16" s="121">
        <v>284</v>
      </c>
      <c r="M16" s="121">
        <v>297</v>
      </c>
      <c r="N16" s="194">
        <v>0.51892499999999997</v>
      </c>
      <c r="O16" s="1" t="s">
        <v>1061</v>
      </c>
      <c r="P16" s="7">
        <v>0</v>
      </c>
      <c r="Q16" s="7" t="b">
        <v>0</v>
      </c>
      <c r="R16" s="7" t="s">
        <v>1023</v>
      </c>
      <c r="S16" s="7"/>
      <c r="T16" s="113">
        <v>175</v>
      </c>
      <c r="U16" s="76">
        <v>45436</v>
      </c>
      <c r="V16" s="76" t="s">
        <v>725</v>
      </c>
      <c r="W16" s="1" t="s">
        <v>1022</v>
      </c>
      <c r="X16" s="76"/>
      <c r="Y16" s="76" t="b">
        <v>0</v>
      </c>
      <c r="Z16" s="7">
        <v>8409.6</v>
      </c>
      <c r="AA16" s="7">
        <v>8409.6</v>
      </c>
      <c r="AB16" s="7">
        <v>0</v>
      </c>
      <c r="AC16" s="113">
        <v>0</v>
      </c>
      <c r="AD16" s="7">
        <v>0</v>
      </c>
      <c r="AE16" s="7"/>
      <c r="AF16" s="7">
        <v>0</v>
      </c>
      <c r="AG16" s="7">
        <v>0</v>
      </c>
      <c r="AI16" s="194" t="s">
        <v>1067</v>
      </c>
      <c r="AJ16" s="7" t="s">
        <v>1060</v>
      </c>
      <c r="AK16" s="7" t="b">
        <v>1</v>
      </c>
      <c r="AM16" s="7"/>
      <c r="AN16" s="7"/>
      <c r="AO16" s="7"/>
      <c r="AP16" s="76">
        <v>45436</v>
      </c>
      <c r="AR16" s="75"/>
      <c r="AS16" s="75"/>
      <c r="AT16" s="75"/>
    </row>
    <row r="17" spans="1:46" x14ac:dyDescent="0.35">
      <c r="A17" s="1">
        <v>52</v>
      </c>
      <c r="B17" s="76">
        <v>45435</v>
      </c>
      <c r="C17" s="1" t="s">
        <v>235</v>
      </c>
      <c r="D17" s="1" t="s">
        <v>246</v>
      </c>
      <c r="E17" s="186"/>
      <c r="F17" s="1">
        <v>1</v>
      </c>
      <c r="G17" s="1" t="s">
        <v>245</v>
      </c>
      <c r="H17" s="7" t="s">
        <v>847</v>
      </c>
      <c r="I17" s="113">
        <v>0</v>
      </c>
      <c r="J17" s="121"/>
      <c r="K17" s="121"/>
      <c r="L17" s="121">
        <v>6</v>
      </c>
      <c r="M17" s="121">
        <v>7</v>
      </c>
      <c r="N17" s="195"/>
      <c r="O17" s="1" t="s">
        <v>846</v>
      </c>
      <c r="P17" s="7">
        <v>49</v>
      </c>
      <c r="Q17" s="7" t="b">
        <v>1</v>
      </c>
      <c r="R17" s="7" t="s">
        <v>1023</v>
      </c>
      <c r="S17" s="7"/>
      <c r="T17" s="113"/>
      <c r="U17" s="76">
        <v>0</v>
      </c>
      <c r="V17" s="76" t="s">
        <v>845</v>
      </c>
      <c r="W17" s="1" t="s">
        <v>244</v>
      </c>
      <c r="X17" s="76"/>
      <c r="Y17" s="76" t="b">
        <v>1</v>
      </c>
      <c r="Z17" s="7">
        <v>83.64</v>
      </c>
      <c r="AA17" s="7">
        <v>0</v>
      </c>
      <c r="AB17" s="7">
        <v>-83.64</v>
      </c>
      <c r="AC17" s="113">
        <v>0</v>
      </c>
      <c r="AD17" s="7">
        <v>0</v>
      </c>
      <c r="AE17" s="7"/>
      <c r="AF17" s="7">
        <v>0</v>
      </c>
      <c r="AG17" s="7">
        <v>0</v>
      </c>
      <c r="AI17" s="195" t="s">
        <v>1024</v>
      </c>
      <c r="AJ17" s="7" t="s">
        <v>741</v>
      </c>
      <c r="AK17" s="7" t="b">
        <v>1</v>
      </c>
      <c r="AM17" s="7"/>
      <c r="AN17" s="7"/>
      <c r="AO17" s="7"/>
      <c r="AP17" s="76"/>
      <c r="AR17" s="75"/>
      <c r="AS17" s="75"/>
      <c r="AT17" s="75"/>
    </row>
    <row r="18" spans="1:46" x14ac:dyDescent="0.35">
      <c r="A18" s="1">
        <v>51</v>
      </c>
      <c r="B18" s="76">
        <v>45433</v>
      </c>
      <c r="C18" s="1" t="s">
        <v>310</v>
      </c>
      <c r="D18" s="1" t="s">
        <v>246</v>
      </c>
      <c r="E18" s="186"/>
      <c r="F18" s="1">
        <v>346</v>
      </c>
      <c r="G18" s="1" t="s">
        <v>350</v>
      </c>
      <c r="H18" s="7" t="s">
        <v>761</v>
      </c>
      <c r="I18" s="113"/>
      <c r="J18" s="121"/>
      <c r="K18" s="121"/>
      <c r="L18" s="121">
        <v>2382</v>
      </c>
      <c r="M18" s="121">
        <v>2563</v>
      </c>
      <c r="N18" s="195">
        <v>7.9860607291666668</v>
      </c>
      <c r="O18" s="1" t="s">
        <v>1080</v>
      </c>
      <c r="P18" s="7">
        <v>0</v>
      </c>
      <c r="Q18" s="7" t="b">
        <v>0</v>
      </c>
      <c r="R18" s="7" t="s">
        <v>1023</v>
      </c>
      <c r="S18" s="7"/>
      <c r="T18" s="113">
        <v>190</v>
      </c>
      <c r="U18" s="76">
        <v>45448</v>
      </c>
      <c r="V18" s="76" t="s">
        <v>725</v>
      </c>
      <c r="W18" s="1" t="s">
        <v>1022</v>
      </c>
      <c r="X18" s="76"/>
      <c r="Y18" s="76" t="b">
        <v>0</v>
      </c>
      <c r="Z18" s="7">
        <v>54711.03</v>
      </c>
      <c r="AA18" s="7">
        <v>54711.03</v>
      </c>
      <c r="AB18" s="7">
        <v>0</v>
      </c>
      <c r="AC18" s="113">
        <v>0</v>
      </c>
      <c r="AD18" s="7">
        <v>0</v>
      </c>
      <c r="AE18" s="7"/>
      <c r="AF18" s="7">
        <v>0</v>
      </c>
      <c r="AG18" s="7">
        <v>0</v>
      </c>
      <c r="AI18" s="195" t="s">
        <v>1150</v>
      </c>
      <c r="AJ18" s="7" t="s">
        <v>726</v>
      </c>
      <c r="AK18" s="7" t="b">
        <v>1</v>
      </c>
      <c r="AM18" s="7"/>
      <c r="AN18" s="7"/>
      <c r="AO18" s="7"/>
      <c r="AP18" s="76">
        <v>45446</v>
      </c>
      <c r="AR18" s="75"/>
      <c r="AS18" s="75"/>
      <c r="AT18" s="75"/>
    </row>
    <row r="19" spans="1:46" x14ac:dyDescent="0.35">
      <c r="A19" s="1">
        <v>49</v>
      </c>
      <c r="B19" s="76">
        <v>45427</v>
      </c>
      <c r="C19" s="1" t="s">
        <v>310</v>
      </c>
      <c r="D19" s="1" t="s">
        <v>246</v>
      </c>
      <c r="E19" s="186"/>
      <c r="F19" s="1">
        <v>1043</v>
      </c>
      <c r="G19" s="1" t="s">
        <v>350</v>
      </c>
      <c r="H19" s="7" t="s">
        <v>761</v>
      </c>
      <c r="I19" s="113">
        <v>19</v>
      </c>
      <c r="J19" s="121"/>
      <c r="K19" s="121"/>
      <c r="L19" s="121">
        <v>6528</v>
      </c>
      <c r="M19" s="121">
        <v>7213</v>
      </c>
      <c r="N19" s="195"/>
      <c r="P19" s="7">
        <v>0</v>
      </c>
      <c r="Q19" s="7" t="b">
        <v>0</v>
      </c>
      <c r="R19" s="7" t="s">
        <v>1023</v>
      </c>
      <c r="S19" s="7"/>
      <c r="T19" s="113" t="s">
        <v>1175</v>
      </c>
      <c r="U19" s="76">
        <v>45316</v>
      </c>
      <c r="V19" s="76" t="s">
        <v>843</v>
      </c>
      <c r="W19" s="1" t="s">
        <v>309</v>
      </c>
      <c r="X19" s="76"/>
      <c r="Y19" s="76" t="b">
        <v>1</v>
      </c>
      <c r="Z19" s="7">
        <v>0</v>
      </c>
      <c r="AA19" s="7">
        <v>110036.24</v>
      </c>
      <c r="AB19" s="7">
        <v>0</v>
      </c>
      <c r="AC19" s="113">
        <v>0</v>
      </c>
      <c r="AD19" s="7">
        <v>0</v>
      </c>
      <c r="AE19" s="7"/>
      <c r="AF19" s="7">
        <v>0</v>
      </c>
      <c r="AG19" s="7">
        <v>0</v>
      </c>
      <c r="AI19" s="195"/>
      <c r="AJ19" s="7" t="s">
        <v>741</v>
      </c>
      <c r="AK19" s="7" t="b">
        <v>1</v>
      </c>
      <c r="AM19" s="7"/>
      <c r="AN19" s="7"/>
      <c r="AO19" s="7"/>
      <c r="AP19" s="76"/>
      <c r="AR19" s="75"/>
      <c r="AS19" s="75"/>
      <c r="AT19" s="75"/>
    </row>
    <row r="20" spans="1:46" x14ac:dyDescent="0.35">
      <c r="A20" s="1">
        <v>48</v>
      </c>
      <c r="B20" s="76">
        <v>45426</v>
      </c>
      <c r="C20" s="1" t="s">
        <v>786</v>
      </c>
      <c r="D20" s="1" t="s">
        <v>246</v>
      </c>
      <c r="E20" s="186"/>
      <c r="F20" s="1">
        <v>14</v>
      </c>
      <c r="G20" s="1"/>
      <c r="H20" s="7" t="s">
        <v>635</v>
      </c>
      <c r="I20" s="113">
        <v>1</v>
      </c>
      <c r="J20" s="121"/>
      <c r="K20" s="121"/>
      <c r="L20" s="121">
        <v>97</v>
      </c>
      <c r="M20" s="121">
        <v>102</v>
      </c>
      <c r="P20" s="7">
        <v>0</v>
      </c>
      <c r="Q20" s="7" t="b">
        <v>0</v>
      </c>
      <c r="R20" s="7" t="s">
        <v>410</v>
      </c>
      <c r="S20" s="7"/>
      <c r="T20" s="113">
        <v>52484</v>
      </c>
      <c r="U20" s="76">
        <v>45424</v>
      </c>
      <c r="V20" s="76" t="s">
        <v>843</v>
      </c>
      <c r="X20" s="76"/>
      <c r="Y20" s="76" t="b">
        <v>0</v>
      </c>
      <c r="Z20" s="7">
        <v>0</v>
      </c>
      <c r="AA20" s="7">
        <v>1676.6</v>
      </c>
      <c r="AB20" s="7">
        <v>0</v>
      </c>
      <c r="AC20" s="113">
        <v>0</v>
      </c>
      <c r="AD20" s="7">
        <v>0</v>
      </c>
      <c r="AE20" s="7"/>
      <c r="AF20" s="7">
        <v>0</v>
      </c>
      <c r="AG20" s="7">
        <v>0</v>
      </c>
      <c r="AI20" s="194"/>
      <c r="AJ20" s="7" t="s">
        <v>741</v>
      </c>
      <c r="AK20" s="7" t="b">
        <v>1</v>
      </c>
      <c r="AM20" s="7"/>
      <c r="AN20" s="7"/>
      <c r="AO20" s="7"/>
      <c r="AP20" s="76"/>
      <c r="AR20" s="75"/>
      <c r="AS20" s="75"/>
      <c r="AT20" s="75"/>
    </row>
    <row r="21" spans="1:46" x14ac:dyDescent="0.35">
      <c r="A21" s="1">
        <v>45</v>
      </c>
      <c r="B21" s="76">
        <v>45422</v>
      </c>
      <c r="C21" s="1" t="s">
        <v>786</v>
      </c>
      <c r="D21" s="1" t="s">
        <v>246</v>
      </c>
      <c r="E21" s="186"/>
      <c r="F21" s="1">
        <v>81</v>
      </c>
      <c r="G21" s="1"/>
      <c r="H21" s="7" t="s">
        <v>635</v>
      </c>
      <c r="I21" s="113">
        <v>2</v>
      </c>
      <c r="J21" s="121"/>
      <c r="K21" s="121"/>
      <c r="L21" s="121">
        <v>758</v>
      </c>
      <c r="M21" s="121">
        <v>791</v>
      </c>
      <c r="N21" s="195"/>
      <c r="P21" s="7">
        <v>0</v>
      </c>
      <c r="Q21" s="7" t="b">
        <v>0</v>
      </c>
      <c r="R21" s="7" t="s">
        <v>1023</v>
      </c>
      <c r="S21" s="7"/>
      <c r="T21" s="113" t="s">
        <v>1175</v>
      </c>
      <c r="U21" s="76">
        <v>45373</v>
      </c>
      <c r="V21" s="76" t="s">
        <v>843</v>
      </c>
      <c r="X21" s="76"/>
      <c r="Y21" s="76" t="b">
        <v>1</v>
      </c>
      <c r="Z21" s="7">
        <v>0</v>
      </c>
      <c r="AA21" s="7">
        <v>22402.240000000002</v>
      </c>
      <c r="AB21" s="7">
        <v>0</v>
      </c>
      <c r="AC21" s="113">
        <v>0</v>
      </c>
      <c r="AD21" s="7">
        <v>0</v>
      </c>
      <c r="AE21" s="7"/>
      <c r="AF21" s="7">
        <v>0</v>
      </c>
      <c r="AG21" s="7">
        <v>0</v>
      </c>
      <c r="AI21" s="195"/>
      <c r="AJ21" s="7" t="s">
        <v>741</v>
      </c>
      <c r="AK21" s="7" t="b">
        <v>1</v>
      </c>
      <c r="AM21" s="7"/>
      <c r="AN21" s="7"/>
      <c r="AO21" s="7"/>
      <c r="AP21" s="76"/>
      <c r="AR21" s="75"/>
      <c r="AS21" s="75"/>
      <c r="AT21" s="75"/>
    </row>
    <row r="22" spans="1:46" x14ac:dyDescent="0.35">
      <c r="A22" s="1">
        <v>44</v>
      </c>
      <c r="B22" s="76">
        <v>45422</v>
      </c>
      <c r="C22" s="1" t="s">
        <v>786</v>
      </c>
      <c r="D22" s="1" t="s">
        <v>246</v>
      </c>
      <c r="E22" s="186"/>
      <c r="F22" s="1">
        <v>1178</v>
      </c>
      <c r="G22" s="1"/>
      <c r="H22" s="7" t="s">
        <v>635</v>
      </c>
      <c r="I22" s="113">
        <v>18</v>
      </c>
      <c r="J22" s="121"/>
      <c r="K22" s="121"/>
      <c r="L22" s="121">
        <v>5541</v>
      </c>
      <c r="M22" s="121">
        <v>6011</v>
      </c>
      <c r="N22" s="278"/>
      <c r="P22" s="7">
        <v>0</v>
      </c>
      <c r="Q22" s="7" t="b">
        <v>0</v>
      </c>
      <c r="R22" s="7" t="s">
        <v>1023</v>
      </c>
      <c r="S22" s="7"/>
      <c r="T22" s="113" t="s">
        <v>1173</v>
      </c>
      <c r="U22" s="76">
        <v>45373</v>
      </c>
      <c r="V22" s="76" t="s">
        <v>843</v>
      </c>
      <c r="X22" s="76"/>
      <c r="Y22" s="76" t="b">
        <v>1</v>
      </c>
      <c r="Z22" s="7">
        <v>0</v>
      </c>
      <c r="AA22" s="7">
        <v>118780.74</v>
      </c>
      <c r="AB22" s="7">
        <v>0</v>
      </c>
      <c r="AC22" s="113">
        <v>0</v>
      </c>
      <c r="AD22" s="7">
        <v>0</v>
      </c>
      <c r="AE22" s="7"/>
      <c r="AF22" s="7">
        <v>0</v>
      </c>
      <c r="AG22" s="7">
        <v>0</v>
      </c>
      <c r="AI22" s="278"/>
      <c r="AJ22" s="7" t="s">
        <v>741</v>
      </c>
      <c r="AK22" s="7" t="b">
        <v>1</v>
      </c>
      <c r="AM22" s="7"/>
      <c r="AN22" s="7"/>
      <c r="AO22" s="7"/>
      <c r="AP22" s="76"/>
      <c r="AR22" s="75"/>
      <c r="AS22" s="75"/>
      <c r="AT22" s="75"/>
    </row>
    <row r="23" spans="1:46" x14ac:dyDescent="0.35">
      <c r="A23" s="1">
        <v>43</v>
      </c>
      <c r="B23" s="76">
        <v>45422</v>
      </c>
      <c r="C23" s="1" t="s">
        <v>786</v>
      </c>
      <c r="D23" s="1" t="s">
        <v>246</v>
      </c>
      <c r="E23" s="186"/>
      <c r="F23" s="1">
        <v>29</v>
      </c>
      <c r="G23" s="1"/>
      <c r="H23" s="7" t="s">
        <v>761</v>
      </c>
      <c r="I23" s="113">
        <v>1</v>
      </c>
      <c r="J23" s="121"/>
      <c r="K23" s="121"/>
      <c r="L23" s="121">
        <v>259</v>
      </c>
      <c r="M23" s="121">
        <v>270</v>
      </c>
      <c r="N23" s="303"/>
      <c r="P23" s="7">
        <v>0</v>
      </c>
      <c r="Q23" s="7" t="b">
        <v>0</v>
      </c>
      <c r="R23" s="7" t="s">
        <v>1023</v>
      </c>
      <c r="S23" s="7"/>
      <c r="T23" s="113" t="s">
        <v>1178</v>
      </c>
      <c r="U23" s="76">
        <v>45419</v>
      </c>
      <c r="V23" s="76" t="s">
        <v>843</v>
      </c>
      <c r="X23" s="76"/>
      <c r="Y23" s="76" t="b">
        <v>1</v>
      </c>
      <c r="Z23" s="7">
        <v>0</v>
      </c>
      <c r="AA23" s="7">
        <v>0</v>
      </c>
      <c r="AB23" s="7">
        <v>0</v>
      </c>
      <c r="AC23" s="113">
        <v>0</v>
      </c>
      <c r="AD23" s="7">
        <v>0</v>
      </c>
      <c r="AE23" s="7"/>
      <c r="AF23" s="7">
        <v>0</v>
      </c>
      <c r="AG23" s="7">
        <v>0</v>
      </c>
      <c r="AI23" s="303"/>
      <c r="AJ23" s="7" t="s">
        <v>741</v>
      </c>
      <c r="AK23" s="7" t="b">
        <v>1</v>
      </c>
      <c r="AM23" s="7"/>
      <c r="AN23" s="7"/>
      <c r="AO23" s="7"/>
      <c r="AP23" s="255"/>
    </row>
    <row r="24" spans="1:46" x14ac:dyDescent="0.35">
      <c r="A24" s="1">
        <v>42</v>
      </c>
      <c r="B24" s="76">
        <v>45422</v>
      </c>
      <c r="C24" s="1" t="s">
        <v>786</v>
      </c>
      <c r="D24" s="1" t="s">
        <v>246</v>
      </c>
      <c r="E24" s="186"/>
      <c r="F24" s="1">
        <v>322</v>
      </c>
      <c r="G24" s="1"/>
      <c r="H24" s="7" t="s">
        <v>761</v>
      </c>
      <c r="I24" s="113">
        <v>5</v>
      </c>
      <c r="J24" s="121"/>
      <c r="K24" s="121"/>
      <c r="L24" s="121">
        <v>1534</v>
      </c>
      <c r="M24" s="121">
        <v>1662</v>
      </c>
      <c r="P24" s="7">
        <v>0</v>
      </c>
      <c r="Q24" s="7" t="b">
        <v>0</v>
      </c>
      <c r="R24" s="7" t="s">
        <v>1023</v>
      </c>
      <c r="S24" s="7"/>
      <c r="T24" s="113" t="s">
        <v>1180</v>
      </c>
      <c r="U24" s="76">
        <v>45419</v>
      </c>
      <c r="V24" s="76" t="s">
        <v>843</v>
      </c>
      <c r="X24" s="76"/>
      <c r="Y24" s="76" t="b">
        <v>1</v>
      </c>
      <c r="Z24" s="7">
        <v>0</v>
      </c>
      <c r="AA24" s="7">
        <v>33846.550000000003</v>
      </c>
      <c r="AB24" s="7">
        <v>0</v>
      </c>
      <c r="AC24" s="113">
        <v>0</v>
      </c>
      <c r="AD24" s="7">
        <v>0</v>
      </c>
      <c r="AE24" s="7"/>
      <c r="AF24" s="7">
        <v>0</v>
      </c>
      <c r="AG24" s="7">
        <v>0</v>
      </c>
      <c r="AI24" s="194"/>
      <c r="AJ24" s="7" t="s">
        <v>741</v>
      </c>
      <c r="AK24" s="7" t="b">
        <v>1</v>
      </c>
      <c r="AM24" s="7"/>
      <c r="AN24" s="7"/>
      <c r="AO24" s="7"/>
      <c r="AP24" s="255"/>
    </row>
    <row r="25" spans="1:46" x14ac:dyDescent="0.35">
      <c r="A25" s="1">
        <v>41</v>
      </c>
      <c r="B25" s="76">
        <v>45420</v>
      </c>
      <c r="C25" s="1" t="s">
        <v>787</v>
      </c>
      <c r="D25" s="1" t="s">
        <v>246</v>
      </c>
      <c r="E25" s="186">
        <v>0.85175000000000001</v>
      </c>
      <c r="F25" s="1">
        <v>20</v>
      </c>
      <c r="G25" s="1" t="s">
        <v>245</v>
      </c>
      <c r="H25" s="7" t="s">
        <v>761</v>
      </c>
      <c r="I25" s="113"/>
      <c r="J25" s="121"/>
      <c r="K25" s="121"/>
      <c r="L25" s="121">
        <v>187</v>
      </c>
      <c r="M25" s="121">
        <v>195</v>
      </c>
      <c r="N25" s="194">
        <v>0.34875499999999998</v>
      </c>
      <c r="O25" s="1" t="s">
        <v>1025</v>
      </c>
      <c r="P25" s="7">
        <v>0</v>
      </c>
      <c r="Q25" s="7" t="b">
        <v>0</v>
      </c>
      <c r="R25" s="7" t="s">
        <v>1023</v>
      </c>
      <c r="S25" s="7"/>
      <c r="T25" s="113">
        <v>172</v>
      </c>
      <c r="U25" s="76">
        <v>45435</v>
      </c>
      <c r="V25" s="76" t="s">
        <v>725</v>
      </c>
      <c r="W25" s="1" t="s">
        <v>656</v>
      </c>
      <c r="X25" s="76"/>
      <c r="Y25" s="76" t="b">
        <v>0</v>
      </c>
      <c r="Z25" s="7">
        <v>5606.4</v>
      </c>
      <c r="AA25" s="7">
        <v>7607.87</v>
      </c>
      <c r="AB25" s="7">
        <v>2001.47</v>
      </c>
      <c r="AC25" s="113">
        <v>0</v>
      </c>
      <c r="AD25" s="7">
        <v>0</v>
      </c>
      <c r="AE25" s="7"/>
      <c r="AF25" s="7">
        <v>0</v>
      </c>
      <c r="AG25" s="7">
        <v>0</v>
      </c>
      <c r="AI25" s="194"/>
      <c r="AJ25" s="7" t="s">
        <v>741</v>
      </c>
      <c r="AK25" s="7" t="b">
        <v>1</v>
      </c>
      <c r="AM25" s="7"/>
      <c r="AN25" s="7"/>
      <c r="AO25" s="7"/>
      <c r="AP25" s="76">
        <v>45435</v>
      </c>
    </row>
    <row r="26" spans="1:46" x14ac:dyDescent="0.35">
      <c r="A26" s="1">
        <v>38</v>
      </c>
      <c r="B26" s="76">
        <v>45411</v>
      </c>
      <c r="C26" s="1" t="s">
        <v>787</v>
      </c>
      <c r="D26" s="1" t="s">
        <v>246</v>
      </c>
      <c r="E26" s="186"/>
      <c r="F26" s="1">
        <v>9</v>
      </c>
      <c r="G26" s="1" t="s">
        <v>245</v>
      </c>
      <c r="H26" s="7" t="s">
        <v>635</v>
      </c>
      <c r="I26" s="113"/>
      <c r="J26" s="121"/>
      <c r="K26" s="121"/>
      <c r="L26" s="121">
        <v>0</v>
      </c>
      <c r="M26" s="121">
        <v>0</v>
      </c>
      <c r="N26" s="279">
        <v>0</v>
      </c>
      <c r="O26" s="1" t="s">
        <v>1025</v>
      </c>
      <c r="P26" s="7">
        <v>0</v>
      </c>
      <c r="Q26" s="7" t="b">
        <v>0</v>
      </c>
      <c r="R26" s="7" t="s">
        <v>1023</v>
      </c>
      <c r="S26" s="7"/>
      <c r="T26" s="113">
        <v>173</v>
      </c>
      <c r="U26" s="76">
        <v>45435</v>
      </c>
      <c r="V26" s="76" t="s">
        <v>725</v>
      </c>
      <c r="W26" s="1" t="s">
        <v>656</v>
      </c>
      <c r="X26" s="76"/>
      <c r="Y26" s="76" t="b">
        <v>0</v>
      </c>
      <c r="Z26" s="7">
        <v>0</v>
      </c>
      <c r="AA26" s="7">
        <v>10225.799999999999</v>
      </c>
      <c r="AB26" s="7">
        <v>10225.799999999999</v>
      </c>
      <c r="AC26" s="113">
        <v>0</v>
      </c>
      <c r="AD26" s="7">
        <v>0</v>
      </c>
      <c r="AE26" s="7"/>
      <c r="AF26" s="7">
        <v>0</v>
      </c>
      <c r="AG26" s="7">
        <v>0</v>
      </c>
      <c r="AI26" s="279" t="s">
        <v>1151</v>
      </c>
      <c r="AJ26" s="7" t="s">
        <v>741</v>
      </c>
      <c r="AK26" s="7" t="b">
        <v>1</v>
      </c>
      <c r="AM26" s="7"/>
      <c r="AN26" s="7"/>
      <c r="AO26" s="7"/>
      <c r="AP26" s="76">
        <v>45435</v>
      </c>
    </row>
    <row r="27" spans="1:46" x14ac:dyDescent="0.35">
      <c r="A27" s="1">
        <v>37</v>
      </c>
      <c r="B27" s="76">
        <v>45408</v>
      </c>
      <c r="C27" s="1" t="s">
        <v>368</v>
      </c>
      <c r="D27" s="1" t="s">
        <v>246</v>
      </c>
      <c r="E27" s="186">
        <v>0.85660000000000003</v>
      </c>
      <c r="F27" s="1">
        <v>75</v>
      </c>
      <c r="G27" s="1" t="s">
        <v>350</v>
      </c>
      <c r="H27" s="7" t="s">
        <v>761</v>
      </c>
      <c r="I27" s="113"/>
      <c r="J27" s="121"/>
      <c r="K27" s="121"/>
      <c r="L27" s="121">
        <v>548</v>
      </c>
      <c r="M27" s="121">
        <v>600</v>
      </c>
      <c r="N27" s="279">
        <v>1.6366875000000001</v>
      </c>
      <c r="P27" s="7">
        <v>0</v>
      </c>
      <c r="Q27" s="7" t="b">
        <v>0</v>
      </c>
      <c r="R27" s="7" t="s">
        <v>1023</v>
      </c>
      <c r="S27" s="7"/>
      <c r="T27" s="113">
        <v>141</v>
      </c>
      <c r="U27" s="76">
        <v>45418</v>
      </c>
      <c r="V27" s="76" t="s">
        <v>725</v>
      </c>
      <c r="W27" s="1" t="s">
        <v>1152</v>
      </c>
      <c r="X27" s="76"/>
      <c r="Y27" s="76" t="b">
        <v>1</v>
      </c>
      <c r="Z27" s="7">
        <v>8750</v>
      </c>
      <c r="AA27" s="7">
        <v>9193.33</v>
      </c>
      <c r="AB27" s="7">
        <v>443.33</v>
      </c>
      <c r="AC27" s="113">
        <v>0</v>
      </c>
      <c r="AD27" s="7">
        <v>0</v>
      </c>
      <c r="AE27" s="7"/>
      <c r="AF27" s="7">
        <v>0</v>
      </c>
      <c r="AG27" s="7">
        <v>0</v>
      </c>
      <c r="AI27" s="279" t="s">
        <v>965</v>
      </c>
      <c r="AJ27" s="7" t="s">
        <v>741</v>
      </c>
      <c r="AK27" s="7" t="b">
        <v>1</v>
      </c>
      <c r="AM27" s="7"/>
      <c r="AN27" s="7"/>
      <c r="AO27" s="7"/>
      <c r="AP27" s="76">
        <v>0</v>
      </c>
    </row>
    <row r="28" spans="1:46" x14ac:dyDescent="0.35">
      <c r="A28" s="1">
        <v>35</v>
      </c>
      <c r="B28" s="76">
        <v>45406</v>
      </c>
      <c r="C28" s="1" t="s">
        <v>352</v>
      </c>
      <c r="D28" s="1" t="s">
        <v>246</v>
      </c>
      <c r="E28" s="186">
        <v>1.0842000000000001</v>
      </c>
      <c r="F28" s="1">
        <v>1178</v>
      </c>
      <c r="G28" s="1" t="s">
        <v>350</v>
      </c>
      <c r="H28" s="7" t="s">
        <v>761</v>
      </c>
      <c r="I28" s="113"/>
      <c r="J28" s="121"/>
      <c r="K28" s="121"/>
      <c r="L28" s="121">
        <v>6486</v>
      </c>
      <c r="M28" s="121">
        <v>7242</v>
      </c>
      <c r="N28" s="194">
        <v>31.707290999999994</v>
      </c>
      <c r="O28" s="1" t="s">
        <v>1081</v>
      </c>
      <c r="P28" s="7">
        <v>0</v>
      </c>
      <c r="Q28" s="7" t="b">
        <v>0</v>
      </c>
      <c r="R28" s="7" t="s">
        <v>1023</v>
      </c>
      <c r="S28" s="7"/>
      <c r="T28" s="113">
        <v>187</v>
      </c>
      <c r="U28" s="76">
        <v>45446</v>
      </c>
      <c r="V28" s="76" t="s">
        <v>725</v>
      </c>
      <c r="W28" s="1" t="s">
        <v>1153</v>
      </c>
      <c r="X28" s="76"/>
      <c r="Y28" s="76" t="b">
        <v>0</v>
      </c>
      <c r="Z28" s="7">
        <v>90868.800000000003</v>
      </c>
      <c r="AA28" s="7">
        <v>90999.45</v>
      </c>
      <c r="AB28" s="7">
        <v>130.65</v>
      </c>
      <c r="AC28" s="113">
        <v>0</v>
      </c>
      <c r="AD28" s="7">
        <v>0</v>
      </c>
      <c r="AE28" s="7"/>
      <c r="AF28" s="7">
        <v>0</v>
      </c>
      <c r="AG28" s="7">
        <v>0</v>
      </c>
      <c r="AI28" s="194" t="s">
        <v>1068</v>
      </c>
      <c r="AJ28" s="7" t="s">
        <v>726</v>
      </c>
      <c r="AK28" s="7" t="b">
        <v>1</v>
      </c>
      <c r="AM28" s="7"/>
      <c r="AN28" s="7"/>
      <c r="AO28" s="7"/>
      <c r="AP28" s="76">
        <v>45446</v>
      </c>
    </row>
    <row r="29" spans="1:46" x14ac:dyDescent="0.35">
      <c r="A29" s="1">
        <v>19</v>
      </c>
      <c r="B29" s="76">
        <v>45401</v>
      </c>
      <c r="C29" s="1" t="s">
        <v>786</v>
      </c>
      <c r="D29" s="1" t="s">
        <v>246</v>
      </c>
      <c r="E29" s="186"/>
      <c r="F29" s="1">
        <v>1120</v>
      </c>
      <c r="G29" s="1"/>
      <c r="H29" s="7" t="s">
        <v>761</v>
      </c>
      <c r="I29" s="113">
        <v>0</v>
      </c>
      <c r="J29" s="121"/>
      <c r="K29" s="121"/>
      <c r="L29" s="121">
        <v>7112</v>
      </c>
      <c r="M29" s="121">
        <v>7840</v>
      </c>
      <c r="N29" s="256"/>
      <c r="P29" s="7">
        <v>0</v>
      </c>
      <c r="Q29" s="7" t="b">
        <v>0</v>
      </c>
      <c r="R29" s="7" t="s">
        <v>1023</v>
      </c>
      <c r="S29" s="7"/>
      <c r="T29" s="113" t="s">
        <v>1176</v>
      </c>
      <c r="U29" s="76">
        <v>45340</v>
      </c>
      <c r="V29" s="76" t="s">
        <v>843</v>
      </c>
      <c r="X29" s="76"/>
      <c r="Y29" s="76" t="b">
        <v>1</v>
      </c>
      <c r="Z29" s="7">
        <v>0</v>
      </c>
      <c r="AA29" s="7">
        <v>55104</v>
      </c>
      <c r="AB29" s="7">
        <v>0</v>
      </c>
      <c r="AC29" s="113">
        <v>0</v>
      </c>
      <c r="AD29" s="7">
        <v>0</v>
      </c>
      <c r="AE29" s="7"/>
      <c r="AF29" s="7">
        <v>0</v>
      </c>
      <c r="AG29" s="7">
        <v>0</v>
      </c>
      <c r="AI29" s="256"/>
      <c r="AJ29" s="7" t="s">
        <v>741</v>
      </c>
      <c r="AK29" s="7" t="b">
        <v>1</v>
      </c>
      <c r="AM29" s="7"/>
      <c r="AN29" s="7"/>
      <c r="AO29" s="7"/>
      <c r="AP29" s="76"/>
    </row>
    <row r="30" spans="1:46" x14ac:dyDescent="0.35">
      <c r="A30" s="1">
        <v>34</v>
      </c>
      <c r="B30" s="76">
        <v>45397</v>
      </c>
      <c r="C30" s="1" t="s">
        <v>769</v>
      </c>
      <c r="D30" s="1" t="s">
        <v>246</v>
      </c>
      <c r="E30" s="186"/>
      <c r="F30" s="1">
        <v>52</v>
      </c>
      <c r="G30" s="1" t="s">
        <v>360</v>
      </c>
      <c r="H30" s="7" t="s">
        <v>635</v>
      </c>
      <c r="I30" s="113"/>
      <c r="J30" s="121" t="s">
        <v>1200</v>
      </c>
      <c r="K30" s="121"/>
      <c r="L30" s="121">
        <v>448</v>
      </c>
      <c r="M30" s="121">
        <v>468</v>
      </c>
      <c r="N30" s="273">
        <v>0.82204031249999998</v>
      </c>
      <c r="O30" s="1" t="s">
        <v>780</v>
      </c>
      <c r="P30" s="7">
        <v>460</v>
      </c>
      <c r="Q30" s="7" t="b">
        <v>1</v>
      </c>
      <c r="R30" s="7" t="s">
        <v>1023</v>
      </c>
      <c r="S30" s="7"/>
      <c r="T30" s="113">
        <v>174</v>
      </c>
      <c r="U30" s="76">
        <v>45435</v>
      </c>
      <c r="V30" s="76" t="s">
        <v>725</v>
      </c>
      <c r="W30" s="1" t="s">
        <v>1016</v>
      </c>
      <c r="X30" s="76"/>
      <c r="Y30" s="76" t="b">
        <v>1</v>
      </c>
      <c r="Z30" s="7">
        <v>13303.52</v>
      </c>
      <c r="AA30" s="7">
        <v>12825</v>
      </c>
      <c r="AB30" s="7">
        <v>-478.52</v>
      </c>
      <c r="AC30" s="113">
        <v>0</v>
      </c>
      <c r="AD30" s="7">
        <v>0</v>
      </c>
      <c r="AE30" s="7"/>
      <c r="AF30" s="7">
        <v>0</v>
      </c>
      <c r="AG30" s="7">
        <v>0</v>
      </c>
      <c r="AI30" s="273" t="s">
        <v>1154</v>
      </c>
      <c r="AJ30" s="7" t="s">
        <v>741</v>
      </c>
      <c r="AK30" s="7" t="b">
        <v>1</v>
      </c>
      <c r="AM30" s="7"/>
      <c r="AN30" s="7"/>
      <c r="AO30" s="7"/>
      <c r="AP30" s="76">
        <v>45435</v>
      </c>
    </row>
    <row r="31" spans="1:46" x14ac:dyDescent="0.35">
      <c r="A31" s="1">
        <v>32</v>
      </c>
      <c r="B31" s="76">
        <v>45392</v>
      </c>
      <c r="C31" s="1" t="s">
        <v>943</v>
      </c>
      <c r="D31" s="1" t="s">
        <v>246</v>
      </c>
      <c r="E31" s="186"/>
      <c r="F31" s="1">
        <v>26</v>
      </c>
      <c r="G31" s="1" t="s">
        <v>350</v>
      </c>
      <c r="H31" s="7" t="s">
        <v>635</v>
      </c>
      <c r="I31" s="113">
        <v>1</v>
      </c>
      <c r="J31" s="121"/>
      <c r="K31" s="121"/>
      <c r="L31" s="121">
        <v>159</v>
      </c>
      <c r="M31" s="121">
        <v>176</v>
      </c>
      <c r="N31" s="261"/>
      <c r="P31" s="7">
        <v>0</v>
      </c>
      <c r="Q31" s="7" t="b">
        <v>0</v>
      </c>
      <c r="R31" s="7" t="s">
        <v>1023</v>
      </c>
      <c r="S31" s="7"/>
      <c r="T31" s="113">
        <v>0</v>
      </c>
      <c r="U31" s="76">
        <v>0</v>
      </c>
      <c r="V31" s="76" t="s">
        <v>845</v>
      </c>
      <c r="W31" s="1" t="s">
        <v>244</v>
      </c>
      <c r="X31" s="76"/>
      <c r="Y31" s="76" t="b">
        <v>1</v>
      </c>
      <c r="Z31" s="7">
        <v>1905.24</v>
      </c>
      <c r="AA31" s="7">
        <v>0</v>
      </c>
      <c r="AB31" s="7">
        <v>-1905.24</v>
      </c>
      <c r="AC31" s="113">
        <v>0</v>
      </c>
      <c r="AD31" s="7">
        <v>0</v>
      </c>
      <c r="AE31" s="7"/>
      <c r="AF31" s="7">
        <v>0</v>
      </c>
      <c r="AG31" s="7">
        <v>0</v>
      </c>
      <c r="AI31" s="261" t="s">
        <v>953</v>
      </c>
      <c r="AJ31" s="7" t="s">
        <v>741</v>
      </c>
      <c r="AK31" s="7" t="b">
        <v>1</v>
      </c>
      <c r="AM31" s="7"/>
      <c r="AN31" s="7"/>
      <c r="AO31" s="7"/>
      <c r="AP31" s="76"/>
    </row>
    <row r="32" spans="1:46" x14ac:dyDescent="0.35">
      <c r="A32" s="1">
        <v>40</v>
      </c>
      <c r="B32" s="76">
        <v>45391</v>
      </c>
      <c r="C32" s="1" t="s">
        <v>235</v>
      </c>
      <c r="D32" s="1" t="s">
        <v>246</v>
      </c>
      <c r="E32" s="186"/>
      <c r="F32" s="1">
        <v>2755</v>
      </c>
      <c r="G32" s="1" t="s">
        <v>245</v>
      </c>
      <c r="H32" s="7" t="s">
        <v>635</v>
      </c>
      <c r="I32" s="113">
        <v>21</v>
      </c>
      <c r="J32" s="121"/>
      <c r="K32" s="121"/>
      <c r="L32" s="121">
        <v>8869</v>
      </c>
      <c r="M32" s="121">
        <v>9265</v>
      </c>
      <c r="N32" s="195"/>
      <c r="P32" s="7">
        <v>0</v>
      </c>
      <c r="Q32" s="7" t="b">
        <v>0</v>
      </c>
      <c r="R32" s="7" t="s">
        <v>410</v>
      </c>
      <c r="S32" s="7"/>
      <c r="T32" s="113"/>
      <c r="U32" s="76">
        <v>0</v>
      </c>
      <c r="V32" s="76" t="s">
        <v>725</v>
      </c>
      <c r="W32" s="1" t="s">
        <v>244</v>
      </c>
      <c r="X32" s="76"/>
      <c r="Y32" s="76" t="b">
        <v>1</v>
      </c>
      <c r="Z32" s="7">
        <v>163730.51999999999</v>
      </c>
      <c r="AA32" s="7">
        <v>170598.84</v>
      </c>
      <c r="AB32" s="7">
        <v>6868.32</v>
      </c>
      <c r="AC32" s="113">
        <v>0</v>
      </c>
      <c r="AD32" s="7">
        <v>0</v>
      </c>
      <c r="AE32" s="7"/>
      <c r="AF32" s="7">
        <v>0</v>
      </c>
      <c r="AG32" s="7">
        <v>0</v>
      </c>
      <c r="AI32" s="195"/>
      <c r="AJ32" s="7" t="s">
        <v>741</v>
      </c>
      <c r="AK32" s="7" t="b">
        <v>1</v>
      </c>
      <c r="AM32" s="7"/>
      <c r="AN32" s="7"/>
      <c r="AO32" s="7"/>
      <c r="AP32" s="76">
        <v>0</v>
      </c>
    </row>
    <row r="33" spans="1:42" x14ac:dyDescent="0.35">
      <c r="A33" s="1">
        <v>25</v>
      </c>
      <c r="B33" s="76">
        <v>45390</v>
      </c>
      <c r="C33" s="1" t="s">
        <v>335</v>
      </c>
      <c r="D33" s="1" t="s">
        <v>246</v>
      </c>
      <c r="E33" s="186"/>
      <c r="F33" s="1">
        <v>60</v>
      </c>
      <c r="G33" s="1" t="s">
        <v>666</v>
      </c>
      <c r="H33" s="7" t="s">
        <v>635</v>
      </c>
      <c r="I33" s="113"/>
      <c r="J33" s="121"/>
      <c r="K33" s="121"/>
      <c r="L33" s="121">
        <v>553</v>
      </c>
      <c r="M33" s="121">
        <v>577</v>
      </c>
      <c r="N33" s="195">
        <v>1.02192578125</v>
      </c>
      <c r="P33" s="7">
        <v>0</v>
      </c>
      <c r="Q33" s="7" t="b">
        <v>0</v>
      </c>
      <c r="R33" s="7" t="s">
        <v>1023</v>
      </c>
      <c r="S33" s="7"/>
      <c r="T33" s="113">
        <v>118</v>
      </c>
      <c r="U33" s="76">
        <v>45392</v>
      </c>
      <c r="V33" s="76" t="s">
        <v>725</v>
      </c>
      <c r="W33" s="1" t="s">
        <v>665</v>
      </c>
      <c r="X33" s="76"/>
      <c r="Y33" s="76" t="b">
        <v>1</v>
      </c>
      <c r="Z33" s="7">
        <v>16340.32</v>
      </c>
      <c r="AA33" s="7">
        <v>15300</v>
      </c>
      <c r="AB33" s="7">
        <v>-1040.32</v>
      </c>
      <c r="AC33" s="113">
        <v>0</v>
      </c>
      <c r="AD33" s="7">
        <v>0</v>
      </c>
      <c r="AE33" s="7"/>
      <c r="AF33" s="7">
        <v>0</v>
      </c>
      <c r="AG33" s="7">
        <v>0</v>
      </c>
      <c r="AI33" s="195"/>
      <c r="AJ33" s="7" t="s">
        <v>741</v>
      </c>
      <c r="AK33" s="7" t="b">
        <v>1</v>
      </c>
      <c r="AM33" s="7"/>
      <c r="AN33" s="7"/>
      <c r="AO33" s="7"/>
      <c r="AP33" s="255"/>
    </row>
    <row r="34" spans="1:42" x14ac:dyDescent="0.35">
      <c r="A34" s="1">
        <v>24</v>
      </c>
      <c r="B34" s="76">
        <v>45390</v>
      </c>
      <c r="C34" s="1" t="s">
        <v>764</v>
      </c>
      <c r="D34" s="1" t="s">
        <v>246</v>
      </c>
      <c r="E34" s="186"/>
      <c r="F34" s="1">
        <v>150</v>
      </c>
      <c r="G34" s="1" t="s">
        <v>768</v>
      </c>
      <c r="H34" s="7" t="s">
        <v>635</v>
      </c>
      <c r="I34" s="113"/>
      <c r="J34" s="121"/>
      <c r="K34" s="121"/>
      <c r="L34" s="121">
        <v>2190</v>
      </c>
      <c r="M34" s="121">
        <v>3075</v>
      </c>
      <c r="N34" s="195">
        <v>11.04</v>
      </c>
      <c r="O34" s="1" t="s">
        <v>780</v>
      </c>
      <c r="P34" s="7">
        <v>1280</v>
      </c>
      <c r="Q34" s="7" t="b">
        <v>1</v>
      </c>
      <c r="R34" s="7" t="s">
        <v>1023</v>
      </c>
      <c r="S34" s="7"/>
      <c r="T34" s="113">
        <v>113</v>
      </c>
      <c r="U34" s="76">
        <v>45386</v>
      </c>
      <c r="V34" s="76" t="s">
        <v>725</v>
      </c>
      <c r="W34" s="1" t="s">
        <v>1016</v>
      </c>
      <c r="X34" s="76"/>
      <c r="Y34" s="76" t="b">
        <v>1</v>
      </c>
      <c r="Z34" s="7">
        <v>45000</v>
      </c>
      <c r="AA34" s="7">
        <v>67500</v>
      </c>
      <c r="AB34" s="7">
        <v>22500</v>
      </c>
      <c r="AC34" s="113">
        <v>0</v>
      </c>
      <c r="AD34" s="7">
        <v>0</v>
      </c>
      <c r="AE34" s="7"/>
      <c r="AF34" s="7">
        <v>0</v>
      </c>
      <c r="AG34" s="7">
        <v>0</v>
      </c>
      <c r="AI34" s="195"/>
      <c r="AJ34" s="7" t="s">
        <v>741</v>
      </c>
      <c r="AK34" s="7" t="b">
        <v>1</v>
      </c>
      <c r="AM34" s="7"/>
      <c r="AN34" s="7"/>
      <c r="AO34" s="7"/>
      <c r="AP34" s="76">
        <v>0</v>
      </c>
    </row>
    <row r="35" spans="1:42" x14ac:dyDescent="0.35">
      <c r="A35" s="1">
        <v>30</v>
      </c>
      <c r="B35" s="76">
        <v>45386</v>
      </c>
      <c r="C35" s="1" t="s">
        <v>786</v>
      </c>
      <c r="D35" s="1" t="s">
        <v>246</v>
      </c>
      <c r="E35" s="186"/>
      <c r="F35" s="1">
        <v>450</v>
      </c>
      <c r="G35" s="1"/>
      <c r="H35" s="7" t="s">
        <v>761</v>
      </c>
      <c r="I35" s="113">
        <v>10</v>
      </c>
      <c r="J35" s="121"/>
      <c r="K35" s="121"/>
      <c r="L35" s="121">
        <v>3271</v>
      </c>
      <c r="M35" s="121">
        <v>3412</v>
      </c>
      <c r="N35" s="195"/>
      <c r="P35" s="7">
        <v>0</v>
      </c>
      <c r="Q35" s="7" t="b">
        <v>0</v>
      </c>
      <c r="R35" s="7" t="s">
        <v>1023</v>
      </c>
      <c r="S35" s="7"/>
      <c r="T35" s="113" t="s">
        <v>1183</v>
      </c>
      <c r="U35" s="76">
        <v>45391</v>
      </c>
      <c r="V35" s="76" t="s">
        <v>843</v>
      </c>
      <c r="X35" s="76"/>
      <c r="Y35" s="76" t="b">
        <v>1</v>
      </c>
      <c r="Z35" s="7">
        <v>0</v>
      </c>
      <c r="AA35" s="7">
        <v>17625.599999999999</v>
      </c>
      <c r="AB35" s="7">
        <v>0</v>
      </c>
      <c r="AC35" s="113">
        <v>0</v>
      </c>
      <c r="AD35" s="7">
        <v>0</v>
      </c>
      <c r="AE35" s="7"/>
      <c r="AF35" s="7">
        <v>0</v>
      </c>
      <c r="AG35" s="7">
        <v>0</v>
      </c>
      <c r="AI35" s="195"/>
      <c r="AJ35" s="7" t="s">
        <v>741</v>
      </c>
      <c r="AK35" s="7" t="b">
        <v>1</v>
      </c>
      <c r="AM35" s="7"/>
      <c r="AN35" s="7"/>
      <c r="AO35" s="7"/>
      <c r="AP35" s="76"/>
    </row>
    <row r="36" spans="1:42" x14ac:dyDescent="0.35">
      <c r="A36" s="1">
        <v>29</v>
      </c>
      <c r="B36" s="76">
        <v>45386</v>
      </c>
      <c r="C36" s="1" t="s">
        <v>786</v>
      </c>
      <c r="D36" s="1" t="s">
        <v>246</v>
      </c>
      <c r="E36" s="186"/>
      <c r="F36" s="1">
        <v>1043</v>
      </c>
      <c r="G36" s="1"/>
      <c r="H36" s="7" t="s">
        <v>761</v>
      </c>
      <c r="I36" s="113">
        <v>19</v>
      </c>
      <c r="J36" s="121"/>
      <c r="K36" s="121"/>
      <c r="L36" s="121">
        <v>6528</v>
      </c>
      <c r="M36" s="121">
        <v>7213</v>
      </c>
      <c r="N36" s="195"/>
      <c r="P36" s="7">
        <v>0</v>
      </c>
      <c r="Q36" s="7" t="b">
        <v>0</v>
      </c>
      <c r="R36" s="7" t="s">
        <v>1023</v>
      </c>
      <c r="S36" s="7"/>
      <c r="T36" s="113" t="s">
        <v>1175</v>
      </c>
      <c r="U36" s="76">
        <v>45316</v>
      </c>
      <c r="V36" s="76" t="s">
        <v>843</v>
      </c>
      <c r="X36" s="76"/>
      <c r="Y36" s="76" t="b">
        <v>1</v>
      </c>
      <c r="Z36" s="7">
        <v>0</v>
      </c>
      <c r="AA36" s="7">
        <v>110036.24</v>
      </c>
      <c r="AB36" s="7">
        <v>0</v>
      </c>
      <c r="AC36" s="113">
        <v>0</v>
      </c>
      <c r="AD36" s="7">
        <v>0</v>
      </c>
      <c r="AE36" s="7"/>
      <c r="AF36" s="7">
        <v>0</v>
      </c>
      <c r="AG36" s="7">
        <v>0</v>
      </c>
      <c r="AI36" s="195" t="s">
        <v>935</v>
      </c>
      <c r="AJ36" s="7" t="s">
        <v>741</v>
      </c>
      <c r="AK36" s="7" t="b">
        <v>1</v>
      </c>
      <c r="AM36" s="7"/>
      <c r="AN36" s="7"/>
      <c r="AO36" s="7"/>
      <c r="AP36" s="76"/>
    </row>
    <row r="37" spans="1:42" x14ac:dyDescent="0.35">
      <c r="A37" s="1">
        <v>46</v>
      </c>
      <c r="B37" s="76">
        <v>45379</v>
      </c>
      <c r="C37" s="1" t="s">
        <v>310</v>
      </c>
      <c r="D37" s="1" t="s">
        <v>246</v>
      </c>
      <c r="E37" s="186"/>
      <c r="F37" s="1">
        <v>1906</v>
      </c>
      <c r="G37" s="1" t="s">
        <v>350</v>
      </c>
      <c r="H37" s="7" t="s">
        <v>635</v>
      </c>
      <c r="I37" s="113">
        <v>0</v>
      </c>
      <c r="J37" s="121"/>
      <c r="K37" s="121"/>
      <c r="L37" s="121">
        <v>0</v>
      </c>
      <c r="M37" s="121">
        <v>0</v>
      </c>
      <c r="N37" s="195"/>
      <c r="P37" s="7">
        <v>0</v>
      </c>
      <c r="Q37" s="7" t="b">
        <v>0</v>
      </c>
      <c r="R37" s="7" t="s">
        <v>1023</v>
      </c>
      <c r="S37" s="7"/>
      <c r="T37" s="113" t="s">
        <v>1184</v>
      </c>
      <c r="U37" s="76">
        <v>45379</v>
      </c>
      <c r="V37" s="76" t="s">
        <v>843</v>
      </c>
      <c r="W37" s="1" t="s">
        <v>309</v>
      </c>
      <c r="X37" s="76"/>
      <c r="Y37" s="76" t="b">
        <v>1</v>
      </c>
      <c r="Z37" s="7">
        <v>0</v>
      </c>
      <c r="AA37" s="7">
        <v>84994.559999999998</v>
      </c>
      <c r="AB37" s="7">
        <v>0</v>
      </c>
      <c r="AC37" s="113">
        <v>0</v>
      </c>
      <c r="AD37" s="7">
        <v>0</v>
      </c>
      <c r="AE37" s="7"/>
      <c r="AF37" s="7">
        <v>0</v>
      </c>
      <c r="AG37" s="7">
        <v>0</v>
      </c>
      <c r="AI37" s="195" t="s">
        <v>976</v>
      </c>
      <c r="AJ37" s="7" t="s">
        <v>741</v>
      </c>
      <c r="AK37" s="7" t="b">
        <v>1</v>
      </c>
      <c r="AM37" s="7"/>
      <c r="AN37" s="7"/>
      <c r="AO37" s="7"/>
      <c r="AP37" s="76">
        <v>0</v>
      </c>
    </row>
    <row r="38" spans="1:42" x14ac:dyDescent="0.35">
      <c r="A38" s="1">
        <v>27</v>
      </c>
      <c r="B38" s="76">
        <v>45379</v>
      </c>
      <c r="C38" s="1" t="s">
        <v>235</v>
      </c>
      <c r="D38" s="1" t="s">
        <v>246</v>
      </c>
      <c r="E38" s="186"/>
      <c r="F38" s="1">
        <v>1906</v>
      </c>
      <c r="G38" s="1" t="s">
        <v>245</v>
      </c>
      <c r="H38" s="7" t="s">
        <v>635</v>
      </c>
      <c r="I38" s="113"/>
      <c r="J38" s="121"/>
      <c r="K38" s="121"/>
      <c r="L38" s="121">
        <v>0</v>
      </c>
      <c r="M38" s="121">
        <v>0</v>
      </c>
      <c r="N38" s="195">
        <v>0</v>
      </c>
      <c r="P38" s="7">
        <v>0</v>
      </c>
      <c r="Q38" s="7" t="b">
        <v>0</v>
      </c>
      <c r="R38" s="7" t="s">
        <v>1023</v>
      </c>
      <c r="S38" s="7"/>
      <c r="T38" s="113">
        <v>100</v>
      </c>
      <c r="U38" s="76">
        <v>45379</v>
      </c>
      <c r="V38" s="76" t="s">
        <v>725</v>
      </c>
      <c r="W38" s="1" t="s">
        <v>1128</v>
      </c>
      <c r="X38" s="76"/>
      <c r="Y38" s="76" t="b">
        <v>1</v>
      </c>
      <c r="Z38" s="7">
        <v>84994.559999999998</v>
      </c>
      <c r="AA38" s="7">
        <v>91392</v>
      </c>
      <c r="AB38" s="7">
        <v>6397.44</v>
      </c>
      <c r="AC38" s="113">
        <v>0</v>
      </c>
      <c r="AD38" s="7">
        <v>0</v>
      </c>
      <c r="AE38" s="7"/>
      <c r="AF38" s="7">
        <v>0</v>
      </c>
      <c r="AG38" s="7">
        <v>0</v>
      </c>
      <c r="AI38" s="195" t="s">
        <v>929</v>
      </c>
      <c r="AJ38" s="7" t="s">
        <v>741</v>
      </c>
      <c r="AK38" s="7" t="b">
        <v>1</v>
      </c>
      <c r="AM38" s="7"/>
      <c r="AN38" s="7"/>
      <c r="AO38" s="7"/>
      <c r="AP38" s="76"/>
    </row>
    <row r="39" spans="1:42" x14ac:dyDescent="0.35">
      <c r="A39" s="1">
        <v>28</v>
      </c>
      <c r="B39" s="76">
        <v>45376</v>
      </c>
      <c r="C39" s="1" t="s">
        <v>786</v>
      </c>
      <c r="D39" s="1" t="s">
        <v>246</v>
      </c>
      <c r="E39" s="186"/>
      <c r="F39" s="1">
        <v>342</v>
      </c>
      <c r="G39" s="1"/>
      <c r="H39" s="7" t="s">
        <v>761</v>
      </c>
      <c r="I39" s="113">
        <v>8</v>
      </c>
      <c r="J39" s="121"/>
      <c r="K39" s="121"/>
      <c r="L39" s="121">
        <v>3191</v>
      </c>
      <c r="M39" s="121">
        <v>3336</v>
      </c>
      <c r="N39" s="195"/>
      <c r="P39" s="7">
        <v>0</v>
      </c>
      <c r="Q39" s="7" t="b">
        <v>0</v>
      </c>
      <c r="R39" s="7" t="s">
        <v>1023</v>
      </c>
      <c r="S39" s="7"/>
      <c r="T39" s="113" t="s">
        <v>1174</v>
      </c>
      <c r="U39" s="76">
        <v>45373</v>
      </c>
      <c r="V39" s="76" t="s">
        <v>843</v>
      </c>
      <c r="X39" s="76"/>
      <c r="Y39" s="76" t="b">
        <v>1</v>
      </c>
      <c r="Z39" s="7">
        <v>0</v>
      </c>
      <c r="AA39" s="7">
        <v>60404.32</v>
      </c>
      <c r="AB39" s="7">
        <v>0</v>
      </c>
      <c r="AC39" s="113">
        <v>0</v>
      </c>
      <c r="AD39" s="7">
        <v>0</v>
      </c>
      <c r="AE39" s="7"/>
      <c r="AF39" s="7">
        <v>0</v>
      </c>
      <c r="AG39" s="7">
        <v>0</v>
      </c>
      <c r="AI39" s="195"/>
      <c r="AJ39" s="7" t="s">
        <v>741</v>
      </c>
      <c r="AK39" s="7" t="b">
        <v>1</v>
      </c>
      <c r="AM39" s="7"/>
      <c r="AN39" s="7"/>
      <c r="AO39" s="7"/>
      <c r="AP39" s="76"/>
    </row>
    <row r="40" spans="1:42" x14ac:dyDescent="0.35">
      <c r="A40" s="1">
        <v>26</v>
      </c>
      <c r="B40" s="76">
        <v>45373</v>
      </c>
      <c r="C40" s="1" t="s">
        <v>235</v>
      </c>
      <c r="D40" s="1" t="s">
        <v>246</v>
      </c>
      <c r="E40" s="186"/>
      <c r="F40" s="1">
        <v>944</v>
      </c>
      <c r="G40" s="1" t="s">
        <v>245</v>
      </c>
      <c r="H40" s="7" t="s">
        <v>635</v>
      </c>
      <c r="I40" s="113"/>
      <c r="J40" s="121"/>
      <c r="K40" s="121"/>
      <c r="L40" s="121">
        <v>6966</v>
      </c>
      <c r="M40" s="121">
        <v>7216</v>
      </c>
      <c r="N40" s="195">
        <v>31.515808</v>
      </c>
      <c r="P40" s="7">
        <v>0</v>
      </c>
      <c r="Q40" s="7" t="b">
        <v>0</v>
      </c>
      <c r="R40" s="7" t="s">
        <v>1023</v>
      </c>
      <c r="S40" s="7"/>
      <c r="T40" s="113">
        <v>98</v>
      </c>
      <c r="U40" s="76">
        <v>45373</v>
      </c>
      <c r="V40" s="76" t="s">
        <v>725</v>
      </c>
      <c r="W40" s="1" t="s">
        <v>1128</v>
      </c>
      <c r="X40" s="76"/>
      <c r="Y40" s="76" t="b">
        <v>1</v>
      </c>
      <c r="Z40" s="7">
        <v>51240.959999999999</v>
      </c>
      <c r="AA40" s="7">
        <v>47915.519999999997</v>
      </c>
      <c r="AB40" s="7">
        <v>-3325.44</v>
      </c>
      <c r="AC40" s="113">
        <v>0</v>
      </c>
      <c r="AD40" s="7">
        <v>0</v>
      </c>
      <c r="AE40" s="7"/>
      <c r="AF40" s="7">
        <v>0</v>
      </c>
      <c r="AG40" s="7">
        <v>0</v>
      </c>
      <c r="AI40" s="195" t="s">
        <v>929</v>
      </c>
      <c r="AJ40" s="7" t="s">
        <v>741</v>
      </c>
      <c r="AK40" s="7" t="b">
        <v>1</v>
      </c>
      <c r="AM40" s="7"/>
      <c r="AN40" s="7"/>
      <c r="AO40" s="7"/>
      <c r="AP40" s="255"/>
    </row>
    <row r="41" spans="1:42" x14ac:dyDescent="0.35">
      <c r="A41" s="1">
        <v>23</v>
      </c>
      <c r="B41" s="76">
        <v>45371</v>
      </c>
      <c r="C41" s="1" t="s">
        <v>277</v>
      </c>
      <c r="D41" s="1" t="s">
        <v>246</v>
      </c>
      <c r="E41" s="186"/>
      <c r="F41" s="1">
        <v>3</v>
      </c>
      <c r="G41" s="1" t="s">
        <v>350</v>
      </c>
      <c r="H41" s="7" t="s">
        <v>761</v>
      </c>
      <c r="I41" s="113">
        <v>3</v>
      </c>
      <c r="J41" s="121"/>
      <c r="K41" s="121"/>
      <c r="L41" s="121">
        <v>0</v>
      </c>
      <c r="M41" s="121">
        <v>0</v>
      </c>
      <c r="N41" s="195"/>
      <c r="P41" s="7">
        <v>0</v>
      </c>
      <c r="Q41" s="7" t="b">
        <v>0</v>
      </c>
      <c r="R41" s="7" t="s">
        <v>410</v>
      </c>
      <c r="S41" s="7"/>
      <c r="T41" s="113">
        <v>0</v>
      </c>
      <c r="U41" s="76">
        <v>0</v>
      </c>
      <c r="V41" s="76" t="s">
        <v>725</v>
      </c>
      <c r="W41" s="1" t="s">
        <v>244</v>
      </c>
      <c r="X41" s="76"/>
      <c r="Y41" s="76" t="b">
        <v>0</v>
      </c>
      <c r="Z41" s="7">
        <v>0</v>
      </c>
      <c r="AA41" s="7">
        <v>44675</v>
      </c>
      <c r="AB41" s="7">
        <v>44675</v>
      </c>
      <c r="AC41" s="113">
        <v>0</v>
      </c>
      <c r="AD41" s="7">
        <v>0</v>
      </c>
      <c r="AE41" s="7"/>
      <c r="AF41" s="7">
        <v>0</v>
      </c>
      <c r="AG41" s="7">
        <v>0</v>
      </c>
      <c r="AI41" s="195" t="s">
        <v>925</v>
      </c>
      <c r="AJ41" s="7" t="s">
        <v>741</v>
      </c>
      <c r="AK41" s="7" t="b">
        <v>1</v>
      </c>
      <c r="AM41" s="7"/>
      <c r="AN41" s="7"/>
      <c r="AO41" s="7"/>
      <c r="AP41" s="76"/>
    </row>
    <row r="42" spans="1:42" x14ac:dyDescent="0.35">
      <c r="A42" s="1">
        <v>22</v>
      </c>
      <c r="B42" s="76">
        <v>45369</v>
      </c>
      <c r="C42" s="1" t="s">
        <v>364</v>
      </c>
      <c r="D42" s="1"/>
      <c r="E42" s="186"/>
      <c r="F42" s="1">
        <v>1</v>
      </c>
      <c r="G42" s="1"/>
      <c r="H42" s="7" t="s">
        <v>847</v>
      </c>
      <c r="I42" s="113">
        <v>0</v>
      </c>
      <c r="J42" s="121"/>
      <c r="K42" s="121"/>
      <c r="L42" s="121">
        <v>12</v>
      </c>
      <c r="M42" s="121">
        <v>12</v>
      </c>
      <c r="N42" s="195"/>
      <c r="O42" s="1" t="s">
        <v>846</v>
      </c>
      <c r="P42" s="7">
        <v>160</v>
      </c>
      <c r="Q42" s="7" t="b">
        <v>1</v>
      </c>
      <c r="R42" s="7" t="s">
        <v>1023</v>
      </c>
      <c r="S42" s="7"/>
      <c r="T42" s="113">
        <v>0</v>
      </c>
      <c r="U42" s="76">
        <v>0</v>
      </c>
      <c r="V42" s="76" t="s">
        <v>845</v>
      </c>
      <c r="X42" s="76"/>
      <c r="Y42" s="76" t="b">
        <v>1</v>
      </c>
      <c r="Z42" s="7">
        <v>350.4</v>
      </c>
      <c r="AA42" s="7">
        <v>0</v>
      </c>
      <c r="AB42" s="7">
        <v>-350.4</v>
      </c>
      <c r="AC42" s="113">
        <v>0</v>
      </c>
      <c r="AD42" s="7">
        <v>0</v>
      </c>
      <c r="AE42" s="7"/>
      <c r="AF42" s="7">
        <v>0</v>
      </c>
      <c r="AG42" s="7">
        <v>0</v>
      </c>
      <c r="AI42" s="195" t="s">
        <v>927</v>
      </c>
      <c r="AJ42" s="7" t="s">
        <v>741</v>
      </c>
      <c r="AK42" s="7" t="b">
        <v>1</v>
      </c>
      <c r="AM42" s="7"/>
      <c r="AN42" s="7"/>
      <c r="AO42" s="7"/>
      <c r="AP42" s="76"/>
    </row>
    <row r="43" spans="1:42" x14ac:dyDescent="0.35">
      <c r="A43" s="1">
        <v>21</v>
      </c>
      <c r="B43" s="76">
        <v>45369</v>
      </c>
      <c r="C43" s="1" t="s">
        <v>291</v>
      </c>
      <c r="D43" s="1" t="s">
        <v>246</v>
      </c>
      <c r="E43" s="186"/>
      <c r="F43" s="1">
        <v>1</v>
      </c>
      <c r="G43" s="1" t="s">
        <v>245</v>
      </c>
      <c r="H43" s="7" t="s">
        <v>847</v>
      </c>
      <c r="I43" s="113">
        <v>0</v>
      </c>
      <c r="J43" s="121"/>
      <c r="K43" s="121"/>
      <c r="L43" s="121"/>
      <c r="M43" s="121"/>
      <c r="N43" s="195"/>
      <c r="O43" s="1" t="s">
        <v>846</v>
      </c>
      <c r="P43" s="7">
        <v>36.89</v>
      </c>
      <c r="Q43" s="7" t="b">
        <v>1</v>
      </c>
      <c r="R43" s="7" t="s">
        <v>1023</v>
      </c>
      <c r="S43" s="7"/>
      <c r="T43" s="113">
        <v>0</v>
      </c>
      <c r="U43" s="76">
        <v>0</v>
      </c>
      <c r="V43" s="76" t="s">
        <v>845</v>
      </c>
      <c r="X43" s="76"/>
      <c r="Y43" s="76" t="b">
        <v>1</v>
      </c>
      <c r="Z43" s="7"/>
      <c r="AA43" s="7"/>
      <c r="AC43" s="113">
        <v>0</v>
      </c>
      <c r="AD43" s="7">
        <v>0</v>
      </c>
      <c r="AE43" s="7"/>
      <c r="AF43" s="7">
        <v>0</v>
      </c>
      <c r="AG43" s="7">
        <v>0</v>
      </c>
      <c r="AI43" s="195" t="s">
        <v>924</v>
      </c>
      <c r="AJ43" s="7" t="s">
        <v>741</v>
      </c>
      <c r="AK43" s="7" t="b">
        <v>1</v>
      </c>
      <c r="AM43" s="7"/>
      <c r="AN43" s="7"/>
      <c r="AO43" s="7"/>
      <c r="AP43" s="76"/>
    </row>
    <row r="44" spans="1:42" x14ac:dyDescent="0.35">
      <c r="A44" s="1">
        <v>17</v>
      </c>
      <c r="B44" s="76">
        <v>45364</v>
      </c>
      <c r="C44" s="1" t="s">
        <v>791</v>
      </c>
      <c r="D44" s="1"/>
      <c r="E44" s="186"/>
      <c r="F44" s="1">
        <v>560</v>
      </c>
      <c r="G44" s="1"/>
      <c r="H44" s="7" t="s">
        <v>761</v>
      </c>
      <c r="I44" s="113"/>
      <c r="J44" s="121"/>
      <c r="K44" s="121"/>
      <c r="L44" s="121">
        <v>3986</v>
      </c>
      <c r="M44" s="121">
        <v>4374</v>
      </c>
      <c r="N44" s="195">
        <v>13.185476999999999</v>
      </c>
      <c r="P44" s="7">
        <v>0</v>
      </c>
      <c r="Q44" s="7" t="b">
        <v>0</v>
      </c>
      <c r="R44" s="7" t="s">
        <v>1023</v>
      </c>
      <c r="S44" s="7"/>
      <c r="T44" s="113">
        <v>111</v>
      </c>
      <c r="U44" s="76">
        <v>45386</v>
      </c>
      <c r="V44" s="76" t="s">
        <v>725</v>
      </c>
      <c r="X44" s="76"/>
      <c r="Y44" s="76" t="b">
        <v>0</v>
      </c>
      <c r="Z44" s="7">
        <v>66480</v>
      </c>
      <c r="AA44" s="7">
        <v>72576</v>
      </c>
      <c r="AB44" s="7">
        <v>6096</v>
      </c>
      <c r="AC44" s="113">
        <v>0</v>
      </c>
      <c r="AD44" s="7">
        <v>0</v>
      </c>
      <c r="AE44" s="7"/>
      <c r="AF44" s="7">
        <v>0</v>
      </c>
      <c r="AG44" s="7">
        <v>0</v>
      </c>
      <c r="AI44" s="195" t="s">
        <v>1155</v>
      </c>
      <c r="AJ44" s="7" t="s">
        <v>726</v>
      </c>
      <c r="AK44" s="7" t="b">
        <v>1</v>
      </c>
      <c r="AM44" s="7"/>
      <c r="AN44" s="7"/>
      <c r="AO44" s="7"/>
      <c r="AP44" s="76"/>
    </row>
    <row r="45" spans="1:42" x14ac:dyDescent="0.35">
      <c r="A45" s="1">
        <v>13</v>
      </c>
      <c r="B45" s="76">
        <v>45358</v>
      </c>
      <c r="C45" s="1" t="s">
        <v>714</v>
      </c>
      <c r="D45" s="1" t="s">
        <v>246</v>
      </c>
      <c r="E45" s="186">
        <v>1.0842000000000001</v>
      </c>
      <c r="F45" s="1">
        <v>377</v>
      </c>
      <c r="G45" s="1" t="s">
        <v>350</v>
      </c>
      <c r="H45" s="7" t="s">
        <v>761</v>
      </c>
      <c r="I45" s="113"/>
      <c r="J45" s="121"/>
      <c r="K45" s="121"/>
      <c r="L45" s="121">
        <v>2256</v>
      </c>
      <c r="M45" s="121">
        <v>2523</v>
      </c>
      <c r="N45" s="195">
        <v>9.6289463749999982</v>
      </c>
      <c r="O45" s="1" t="s">
        <v>1069</v>
      </c>
      <c r="P45" s="7">
        <v>0</v>
      </c>
      <c r="Q45" s="7" t="b">
        <v>0</v>
      </c>
      <c r="R45" s="7" t="s">
        <v>1023</v>
      </c>
      <c r="S45" s="7"/>
      <c r="T45" s="113">
        <v>188</v>
      </c>
      <c r="U45" s="76">
        <v>45446</v>
      </c>
      <c r="V45" s="76" t="s">
        <v>725</v>
      </c>
      <c r="W45" s="1" t="s">
        <v>1156</v>
      </c>
      <c r="X45" s="76"/>
      <c r="Y45" s="76" t="b">
        <v>0</v>
      </c>
      <c r="Z45" s="7">
        <v>35160.559999999998</v>
      </c>
      <c r="AA45" s="7">
        <v>32039.07</v>
      </c>
      <c r="AB45" s="7">
        <v>-3121.49</v>
      </c>
      <c r="AC45" s="113">
        <v>0</v>
      </c>
      <c r="AD45" s="7">
        <v>0</v>
      </c>
      <c r="AE45" s="7"/>
      <c r="AF45" s="7">
        <v>0</v>
      </c>
      <c r="AG45" s="7">
        <v>0</v>
      </c>
      <c r="AI45" s="195" t="s">
        <v>1075</v>
      </c>
      <c r="AJ45" s="7" t="s">
        <v>726</v>
      </c>
      <c r="AK45" s="7" t="b">
        <v>1</v>
      </c>
      <c r="AM45" s="7"/>
      <c r="AN45" s="7"/>
      <c r="AO45" s="7"/>
      <c r="AP45" s="76">
        <v>45446</v>
      </c>
    </row>
    <row r="46" spans="1:42" x14ac:dyDescent="0.35">
      <c r="A46" s="1">
        <v>15</v>
      </c>
      <c r="B46" s="76">
        <v>45358</v>
      </c>
      <c r="C46" s="1" t="s">
        <v>787</v>
      </c>
      <c r="D46" s="1" t="s">
        <v>657</v>
      </c>
      <c r="E46" s="186"/>
      <c r="F46" s="1">
        <v>1</v>
      </c>
      <c r="G46" s="1"/>
      <c r="H46" s="7" t="s">
        <v>635</v>
      </c>
      <c r="I46" s="113">
        <v>2</v>
      </c>
      <c r="J46" s="121"/>
      <c r="K46" s="121"/>
      <c r="L46" s="121">
        <v>592</v>
      </c>
      <c r="M46" s="121">
        <v>619</v>
      </c>
      <c r="N46" s="195"/>
      <c r="P46" s="7">
        <v>0</v>
      </c>
      <c r="Q46" s="7" t="b">
        <v>0</v>
      </c>
      <c r="R46" s="7" t="s">
        <v>410</v>
      </c>
      <c r="S46" s="7"/>
      <c r="T46" s="113"/>
      <c r="U46" s="255">
        <v>0</v>
      </c>
      <c r="V46" s="76" t="s">
        <v>725</v>
      </c>
      <c r="X46" s="76"/>
      <c r="Y46" s="76" t="b">
        <v>0</v>
      </c>
      <c r="Z46" s="7">
        <v>17520</v>
      </c>
      <c r="AA46" s="7">
        <v>20250</v>
      </c>
      <c r="AB46" s="7">
        <v>2730</v>
      </c>
      <c r="AC46" s="113">
        <v>0</v>
      </c>
      <c r="AD46" s="7">
        <v>0</v>
      </c>
      <c r="AE46" s="7"/>
      <c r="AF46" s="7">
        <v>0</v>
      </c>
      <c r="AG46" s="7">
        <v>0</v>
      </c>
      <c r="AI46" s="195" t="s">
        <v>1065</v>
      </c>
      <c r="AJ46" s="7" t="s">
        <v>741</v>
      </c>
      <c r="AK46" s="7" t="b">
        <v>1</v>
      </c>
      <c r="AM46" s="7"/>
      <c r="AN46" s="7"/>
      <c r="AO46" s="7"/>
      <c r="AP46" s="76">
        <v>0</v>
      </c>
    </row>
    <row r="47" spans="1:42" x14ac:dyDescent="0.35">
      <c r="A47" s="1">
        <v>14</v>
      </c>
      <c r="B47" s="76">
        <v>45358</v>
      </c>
      <c r="C47" s="1" t="s">
        <v>787</v>
      </c>
      <c r="D47" s="1" t="s">
        <v>657</v>
      </c>
      <c r="E47" s="186"/>
      <c r="F47" s="1">
        <v>150</v>
      </c>
      <c r="G47" s="1"/>
      <c r="H47" s="7" t="s">
        <v>635</v>
      </c>
      <c r="I47" s="113">
        <v>7</v>
      </c>
      <c r="J47" s="121"/>
      <c r="K47" s="121"/>
      <c r="L47" s="121">
        <v>592</v>
      </c>
      <c r="M47" s="121">
        <v>619</v>
      </c>
      <c r="N47" s="195"/>
      <c r="P47" s="7">
        <v>0</v>
      </c>
      <c r="Q47" s="7" t="b">
        <v>0</v>
      </c>
      <c r="R47" s="7" t="s">
        <v>410</v>
      </c>
      <c r="S47" s="7"/>
      <c r="T47" s="113"/>
      <c r="U47" s="76">
        <v>0</v>
      </c>
      <c r="V47" s="76" t="s">
        <v>725</v>
      </c>
      <c r="X47" s="76"/>
      <c r="Y47" s="76" t="b">
        <v>0</v>
      </c>
      <c r="Z47" s="7">
        <v>17520</v>
      </c>
      <c r="AA47" s="7">
        <v>20250</v>
      </c>
      <c r="AB47" s="7">
        <v>2730</v>
      </c>
      <c r="AC47" s="113">
        <v>0</v>
      </c>
      <c r="AD47" s="7">
        <v>0</v>
      </c>
      <c r="AE47" s="7"/>
      <c r="AF47" s="7">
        <v>0</v>
      </c>
      <c r="AG47" s="7">
        <v>0</v>
      </c>
      <c r="AI47" s="195" t="s">
        <v>1066</v>
      </c>
      <c r="AJ47" s="7" t="s">
        <v>741</v>
      </c>
      <c r="AK47" s="7" t="b">
        <v>1</v>
      </c>
      <c r="AM47" s="7"/>
      <c r="AN47" s="7"/>
      <c r="AO47" s="7"/>
      <c r="AP47" s="76">
        <v>0</v>
      </c>
    </row>
    <row r="48" spans="1:42" x14ac:dyDescent="0.35">
      <c r="A48" s="1">
        <v>12</v>
      </c>
      <c r="B48" s="76">
        <v>45355</v>
      </c>
      <c r="C48" s="1" t="s">
        <v>335</v>
      </c>
      <c r="D48" s="1" t="s">
        <v>246</v>
      </c>
      <c r="E48" s="186"/>
      <c r="F48" s="1">
        <v>91</v>
      </c>
      <c r="G48" s="1" t="s">
        <v>666</v>
      </c>
      <c r="H48" s="7" t="s">
        <v>949</v>
      </c>
      <c r="I48" s="113"/>
      <c r="J48" s="121"/>
      <c r="K48" s="121"/>
      <c r="L48" s="121">
        <v>806</v>
      </c>
      <c r="M48" s="121">
        <v>842</v>
      </c>
      <c r="N48" s="195">
        <v>1.49541296875</v>
      </c>
      <c r="O48" s="1" t="s">
        <v>780</v>
      </c>
      <c r="P48" s="7">
        <v>480</v>
      </c>
      <c r="Q48" s="7" t="b">
        <v>1</v>
      </c>
      <c r="R48" s="7" t="s">
        <v>1023</v>
      </c>
      <c r="S48" s="7"/>
      <c r="T48" s="113">
        <v>74</v>
      </c>
      <c r="U48" s="76">
        <v>45359</v>
      </c>
      <c r="V48" s="76" t="s">
        <v>725</v>
      </c>
      <c r="W48" s="1" t="s">
        <v>1017</v>
      </c>
      <c r="X48" s="76"/>
      <c r="Y48" s="76" t="b">
        <v>1</v>
      </c>
      <c r="Z48" s="7">
        <v>23758.07</v>
      </c>
      <c r="AA48" s="7">
        <v>22200</v>
      </c>
      <c r="AB48" s="7">
        <v>-1558.07</v>
      </c>
      <c r="AC48" s="113">
        <v>0</v>
      </c>
      <c r="AD48" s="7">
        <v>0</v>
      </c>
      <c r="AE48" s="7"/>
      <c r="AF48" s="7">
        <v>0</v>
      </c>
      <c r="AG48" s="7">
        <v>0</v>
      </c>
      <c r="AI48" s="195" t="s">
        <v>949</v>
      </c>
      <c r="AJ48" s="7" t="s">
        <v>741</v>
      </c>
      <c r="AK48" s="7" t="b">
        <v>1</v>
      </c>
      <c r="AM48" s="7"/>
      <c r="AN48" s="7"/>
      <c r="AO48" s="7"/>
      <c r="AP48" s="76">
        <v>0</v>
      </c>
    </row>
    <row r="49" spans="1:42" x14ac:dyDescent="0.35">
      <c r="A49" s="1">
        <v>11</v>
      </c>
      <c r="B49" s="76">
        <v>45352</v>
      </c>
      <c r="C49" s="1" t="s">
        <v>235</v>
      </c>
      <c r="D49" s="1" t="s">
        <v>246</v>
      </c>
      <c r="E49" s="186"/>
      <c r="F49" s="1">
        <v>144</v>
      </c>
      <c r="G49" s="1"/>
      <c r="H49" s="7" t="s">
        <v>761</v>
      </c>
      <c r="I49" s="113"/>
      <c r="J49" s="121"/>
      <c r="K49" s="121"/>
      <c r="L49" s="121">
        <v>902</v>
      </c>
      <c r="M49" s="121">
        <v>1010</v>
      </c>
      <c r="N49" s="195">
        <v>3.7654399999999999</v>
      </c>
      <c r="O49" s="1" t="s">
        <v>780</v>
      </c>
      <c r="P49" s="7">
        <v>620</v>
      </c>
      <c r="Q49" s="7" t="b">
        <v>0</v>
      </c>
      <c r="R49" s="7" t="s">
        <v>1023</v>
      </c>
      <c r="S49" s="7"/>
      <c r="T49" s="113">
        <v>90</v>
      </c>
      <c r="U49" s="76">
        <v>45364</v>
      </c>
      <c r="V49" s="76" t="s">
        <v>725</v>
      </c>
      <c r="X49" s="76"/>
      <c r="Y49" s="76" t="b">
        <v>1</v>
      </c>
      <c r="Z49" s="7">
        <v>5620.61</v>
      </c>
      <c r="AA49" s="7">
        <v>7094.64</v>
      </c>
      <c r="AB49" s="7">
        <v>1474.03</v>
      </c>
      <c r="AC49" s="113">
        <v>0</v>
      </c>
      <c r="AD49" s="7">
        <v>0</v>
      </c>
      <c r="AE49" s="7"/>
      <c r="AF49" s="7">
        <v>0</v>
      </c>
      <c r="AG49" s="7">
        <v>0</v>
      </c>
      <c r="AI49" s="195"/>
      <c r="AJ49" s="7" t="s">
        <v>741</v>
      </c>
      <c r="AK49" s="7" t="b">
        <v>1</v>
      </c>
      <c r="AM49" s="7"/>
      <c r="AN49" s="7"/>
      <c r="AO49" s="7"/>
      <c r="AP49" s="76"/>
    </row>
    <row r="50" spans="1:42" x14ac:dyDescent="0.35">
      <c r="A50" s="1">
        <v>20</v>
      </c>
      <c r="B50" s="76">
        <v>45352</v>
      </c>
      <c r="C50" s="1" t="s">
        <v>724</v>
      </c>
      <c r="D50" s="1" t="s">
        <v>246</v>
      </c>
      <c r="E50" s="186"/>
      <c r="F50" s="1">
        <v>1</v>
      </c>
      <c r="G50" s="1"/>
      <c r="H50" s="7" t="s">
        <v>847</v>
      </c>
      <c r="I50" s="113">
        <v>0</v>
      </c>
      <c r="J50" s="121"/>
      <c r="K50" s="121"/>
      <c r="L50" s="121">
        <v>8</v>
      </c>
      <c r="M50" s="121">
        <v>9</v>
      </c>
      <c r="N50" s="195"/>
      <c r="O50" s="1" t="s">
        <v>846</v>
      </c>
      <c r="P50" s="7">
        <v>49</v>
      </c>
      <c r="Q50" s="7" t="b">
        <v>1</v>
      </c>
      <c r="R50" s="7" t="s">
        <v>1023</v>
      </c>
      <c r="S50" s="7"/>
      <c r="T50" s="113">
        <v>0</v>
      </c>
      <c r="U50" s="76">
        <v>0</v>
      </c>
      <c r="V50" s="76" t="s">
        <v>845</v>
      </c>
      <c r="X50" s="76"/>
      <c r="Y50" s="76" t="b">
        <v>1</v>
      </c>
      <c r="Z50" s="7">
        <v>181.2</v>
      </c>
      <c r="AA50" s="7">
        <v>0</v>
      </c>
      <c r="AB50" s="7">
        <v>-181.2</v>
      </c>
      <c r="AC50" s="113">
        <v>0</v>
      </c>
      <c r="AD50" s="7">
        <v>0</v>
      </c>
      <c r="AE50" s="7"/>
      <c r="AF50" s="7">
        <v>0</v>
      </c>
      <c r="AG50" s="7">
        <v>0</v>
      </c>
      <c r="AI50" s="195"/>
      <c r="AJ50" s="7" t="s">
        <v>741</v>
      </c>
      <c r="AK50" s="7" t="b">
        <v>1</v>
      </c>
      <c r="AM50" s="7"/>
      <c r="AN50" s="7"/>
      <c r="AO50" s="7"/>
      <c r="AP50" s="76"/>
    </row>
    <row r="51" spans="1:42" x14ac:dyDescent="0.35">
      <c r="A51" s="1">
        <v>8</v>
      </c>
      <c r="B51" s="76">
        <v>45344</v>
      </c>
      <c r="C51" s="1" t="s">
        <v>325</v>
      </c>
      <c r="D51" s="1" t="s">
        <v>246</v>
      </c>
      <c r="E51" s="186"/>
      <c r="F51" s="1">
        <v>31</v>
      </c>
      <c r="G51" s="1" t="s">
        <v>350</v>
      </c>
      <c r="H51" s="7" t="s">
        <v>761</v>
      </c>
      <c r="I51" s="113"/>
      <c r="J51" s="121"/>
      <c r="K51" s="121"/>
      <c r="L51" s="121">
        <v>159</v>
      </c>
      <c r="M51" s="121">
        <v>174</v>
      </c>
      <c r="N51" s="374">
        <v>0.58448512500000016</v>
      </c>
      <c r="P51" s="7">
        <v>0</v>
      </c>
      <c r="Q51" s="7" t="b">
        <v>0</v>
      </c>
      <c r="R51" s="7" t="s">
        <v>1023</v>
      </c>
      <c r="S51" s="7"/>
      <c r="T51" s="113">
        <v>50</v>
      </c>
      <c r="U51" s="76">
        <v>45344</v>
      </c>
      <c r="V51" s="76" t="s">
        <v>725</v>
      </c>
      <c r="W51" s="1" t="s">
        <v>244</v>
      </c>
      <c r="X51" s="76"/>
      <c r="Y51" s="76" t="b">
        <v>1</v>
      </c>
      <c r="Z51" s="7">
        <v>3074.88</v>
      </c>
      <c r="AA51" s="7">
        <v>3495.96</v>
      </c>
      <c r="AB51" s="7">
        <v>421.08</v>
      </c>
      <c r="AC51" s="113">
        <v>0</v>
      </c>
      <c r="AD51" s="7">
        <v>0</v>
      </c>
      <c r="AE51" s="7"/>
      <c r="AF51" s="7">
        <v>0</v>
      </c>
      <c r="AG51" s="7">
        <v>0</v>
      </c>
      <c r="AI51" s="374"/>
      <c r="AJ51" s="7" t="s">
        <v>741</v>
      </c>
      <c r="AK51" s="7" t="b">
        <v>1</v>
      </c>
      <c r="AM51" s="7"/>
      <c r="AN51" s="7"/>
      <c r="AO51" s="7"/>
      <c r="AP51" s="76"/>
    </row>
    <row r="52" spans="1:42" x14ac:dyDescent="0.35">
      <c r="A52" s="1">
        <v>7</v>
      </c>
      <c r="B52" s="76">
        <v>45343</v>
      </c>
      <c r="C52" s="1" t="s">
        <v>769</v>
      </c>
      <c r="D52" s="1" t="s">
        <v>246</v>
      </c>
      <c r="E52" s="186"/>
      <c r="F52" s="1">
        <v>79</v>
      </c>
      <c r="G52" s="1" t="s">
        <v>360</v>
      </c>
      <c r="H52" s="7" t="s">
        <v>635</v>
      </c>
      <c r="I52" s="113"/>
      <c r="J52" s="121"/>
      <c r="K52" s="121"/>
      <c r="L52" s="121">
        <v>687</v>
      </c>
      <c r="M52" s="121">
        <v>717</v>
      </c>
      <c r="N52" s="194">
        <v>1.2660289583333335</v>
      </c>
      <c r="O52" s="1" t="s">
        <v>1034</v>
      </c>
      <c r="P52" s="7">
        <v>480</v>
      </c>
      <c r="Q52" s="7" t="b">
        <v>1</v>
      </c>
      <c r="R52" s="7" t="s">
        <v>1023</v>
      </c>
      <c r="S52" s="7"/>
      <c r="T52" s="113">
        <v>49</v>
      </c>
      <c r="U52" s="76">
        <v>45343</v>
      </c>
      <c r="V52" s="76" t="s">
        <v>725</v>
      </c>
      <c r="W52" s="1" t="s">
        <v>359</v>
      </c>
      <c r="X52" s="76"/>
      <c r="Y52" s="76" t="b">
        <v>1</v>
      </c>
      <c r="Z52" s="7">
        <v>20358.240000000002</v>
      </c>
      <c r="AA52" s="7">
        <v>13787.5</v>
      </c>
      <c r="AB52" s="7">
        <v>-6570.74</v>
      </c>
      <c r="AC52" s="113">
        <v>0</v>
      </c>
      <c r="AD52" s="7">
        <v>0</v>
      </c>
      <c r="AE52" s="7"/>
      <c r="AF52" s="7">
        <v>0</v>
      </c>
      <c r="AG52" s="7">
        <v>0</v>
      </c>
      <c r="AH52" s="7" t="s">
        <v>926</v>
      </c>
      <c r="AI52" s="194"/>
      <c r="AJ52" s="7" t="s">
        <v>741</v>
      </c>
      <c r="AK52" s="7" t="b">
        <v>1</v>
      </c>
      <c r="AM52" s="7"/>
      <c r="AN52" s="7"/>
      <c r="AO52" s="7"/>
      <c r="AP52" s="76">
        <v>0</v>
      </c>
    </row>
    <row r="53" spans="1:42" x14ac:dyDescent="0.35">
      <c r="A53" s="1">
        <v>6</v>
      </c>
      <c r="B53" s="76">
        <v>45342</v>
      </c>
      <c r="C53" s="1" t="s">
        <v>368</v>
      </c>
      <c r="D53" s="1" t="s">
        <v>657</v>
      </c>
      <c r="E53" s="186">
        <v>0.85660000000000003</v>
      </c>
      <c r="F53" s="1">
        <v>110</v>
      </c>
      <c r="G53" s="1" t="s">
        <v>350</v>
      </c>
      <c r="H53" s="7" t="s">
        <v>761</v>
      </c>
      <c r="I53" s="113"/>
      <c r="J53" s="121"/>
      <c r="K53" s="121"/>
      <c r="L53" s="121">
        <v>756</v>
      </c>
      <c r="M53" s="121">
        <v>832</v>
      </c>
      <c r="N53" s="303">
        <v>2.7670499999999998</v>
      </c>
      <c r="P53" s="7">
        <v>0</v>
      </c>
      <c r="Q53" s="7" t="b">
        <v>0</v>
      </c>
      <c r="R53" s="7" t="s">
        <v>1023</v>
      </c>
      <c r="S53" s="7"/>
      <c r="T53" s="113">
        <v>46</v>
      </c>
      <c r="U53" s="255">
        <v>45342</v>
      </c>
      <c r="V53" s="76" t="s">
        <v>725</v>
      </c>
      <c r="W53" s="1" t="s">
        <v>1152</v>
      </c>
      <c r="X53" s="76"/>
      <c r="Y53" s="76" t="b">
        <v>1</v>
      </c>
      <c r="Z53" s="7">
        <v>13200</v>
      </c>
      <c r="AA53" s="7">
        <v>13868.78</v>
      </c>
      <c r="AB53" s="7">
        <v>668.78</v>
      </c>
      <c r="AC53" s="113">
        <v>0</v>
      </c>
      <c r="AD53" s="7">
        <v>0</v>
      </c>
      <c r="AE53" s="7"/>
      <c r="AF53" s="7">
        <v>0</v>
      </c>
      <c r="AG53" s="7">
        <v>0</v>
      </c>
      <c r="AI53" s="303"/>
      <c r="AJ53" s="7" t="s">
        <v>741</v>
      </c>
      <c r="AK53" s="7" t="b">
        <v>1</v>
      </c>
      <c r="AM53" s="7"/>
      <c r="AN53" s="7"/>
      <c r="AO53" s="7"/>
      <c r="AP53" s="255"/>
    </row>
    <row r="54" spans="1:42" x14ac:dyDescent="0.35">
      <c r="A54" s="1">
        <v>5</v>
      </c>
      <c r="B54" s="76">
        <v>45335</v>
      </c>
      <c r="C54" s="1" t="s">
        <v>764</v>
      </c>
      <c r="D54" s="1" t="s">
        <v>246</v>
      </c>
      <c r="E54" s="186"/>
      <c r="F54" s="1">
        <v>302</v>
      </c>
      <c r="G54" s="1" t="s">
        <v>360</v>
      </c>
      <c r="H54" s="7" t="s">
        <v>635</v>
      </c>
      <c r="I54" s="113"/>
      <c r="J54" s="121"/>
      <c r="K54" s="121"/>
      <c r="L54" s="121">
        <v>2863</v>
      </c>
      <c r="M54" s="121">
        <v>2990</v>
      </c>
      <c r="N54" s="279">
        <v>5.2944374999999999</v>
      </c>
      <c r="O54" s="1" t="s">
        <v>780</v>
      </c>
      <c r="P54" s="7">
        <v>1120</v>
      </c>
      <c r="Q54" s="7" t="b">
        <v>1</v>
      </c>
      <c r="R54" s="7" t="s">
        <v>1023</v>
      </c>
      <c r="S54" s="7"/>
      <c r="T54" s="113">
        <v>41</v>
      </c>
      <c r="U54" s="255">
        <v>45335</v>
      </c>
      <c r="V54" s="76" t="s">
        <v>725</v>
      </c>
      <c r="W54" s="1" t="s">
        <v>359</v>
      </c>
      <c r="X54" s="76"/>
      <c r="Y54" s="76" t="b">
        <v>1</v>
      </c>
      <c r="Z54" s="7">
        <v>84656.639999999999</v>
      </c>
      <c r="AA54" s="7">
        <v>79200</v>
      </c>
      <c r="AB54" s="7">
        <v>-5456.64</v>
      </c>
      <c r="AC54" s="113">
        <v>32</v>
      </c>
      <c r="AD54" s="7">
        <v>22</v>
      </c>
      <c r="AE54" s="7"/>
      <c r="AF54" s="7">
        <v>0</v>
      </c>
      <c r="AG54" s="7">
        <v>0</v>
      </c>
      <c r="AI54" s="279"/>
      <c r="AJ54" s="7" t="s">
        <v>741</v>
      </c>
      <c r="AK54" s="7" t="b">
        <v>1</v>
      </c>
      <c r="AM54" s="7"/>
      <c r="AN54" s="7"/>
      <c r="AO54" s="7"/>
      <c r="AP54" s="76"/>
    </row>
    <row r="55" spans="1:42" x14ac:dyDescent="0.35">
      <c r="A55" s="1">
        <v>9</v>
      </c>
      <c r="B55" s="76">
        <v>45328</v>
      </c>
      <c r="C55" s="1" t="s">
        <v>670</v>
      </c>
      <c r="D55" s="1" t="s">
        <v>246</v>
      </c>
      <c r="E55" s="186"/>
      <c r="F55" s="1">
        <v>206</v>
      </c>
      <c r="G55" s="1" t="s">
        <v>350</v>
      </c>
      <c r="H55" s="7" t="s">
        <v>761</v>
      </c>
      <c r="I55" s="113"/>
      <c r="J55" s="121"/>
      <c r="K55" s="121"/>
      <c r="L55" s="121">
        <v>1198</v>
      </c>
      <c r="M55" s="121">
        <v>1314</v>
      </c>
      <c r="N55" s="279">
        <v>4.8548981875000008</v>
      </c>
      <c r="P55" s="7">
        <v>0</v>
      </c>
      <c r="Q55" s="7" t="b">
        <v>0</v>
      </c>
      <c r="R55" s="7" t="s">
        <v>1023</v>
      </c>
      <c r="S55" s="7"/>
      <c r="T55" s="113">
        <v>55</v>
      </c>
      <c r="U55" s="255">
        <v>45349</v>
      </c>
      <c r="V55" s="76" t="s">
        <v>725</v>
      </c>
      <c r="W55" s="1" t="s">
        <v>244</v>
      </c>
      <c r="X55" s="76"/>
      <c r="Y55" s="76" t="b">
        <v>1</v>
      </c>
      <c r="Z55" s="7">
        <v>19516.560000000001</v>
      </c>
      <c r="AA55" s="7">
        <v>28778.48</v>
      </c>
      <c r="AB55" s="7">
        <v>9261.92</v>
      </c>
      <c r="AC55" s="113">
        <v>0</v>
      </c>
      <c r="AD55" s="7">
        <v>0</v>
      </c>
      <c r="AE55" s="7"/>
      <c r="AF55" s="7">
        <v>0</v>
      </c>
      <c r="AG55" s="7">
        <v>0</v>
      </c>
      <c r="AI55" s="279"/>
      <c r="AJ55" s="7" t="s">
        <v>741</v>
      </c>
      <c r="AK55" s="7" t="b">
        <v>1</v>
      </c>
      <c r="AM55" s="7"/>
      <c r="AN55" s="7"/>
      <c r="AO55" s="7"/>
      <c r="AP55" s="76"/>
    </row>
    <row r="56" spans="1:42" x14ac:dyDescent="0.35">
      <c r="A56" s="1">
        <v>4</v>
      </c>
      <c r="B56" s="76">
        <v>45300</v>
      </c>
      <c r="C56" s="1" t="s">
        <v>335</v>
      </c>
      <c r="D56" s="1" t="s">
        <v>246</v>
      </c>
      <c r="E56" s="186"/>
      <c r="F56" s="1">
        <v>150</v>
      </c>
      <c r="G56" s="1" t="s">
        <v>666</v>
      </c>
      <c r="H56" s="7" t="s">
        <v>635</v>
      </c>
      <c r="I56" s="113"/>
      <c r="J56" s="121"/>
      <c r="K56" s="121"/>
      <c r="L56" s="121">
        <v>2190</v>
      </c>
      <c r="M56" s="121">
        <v>3075</v>
      </c>
      <c r="N56" s="261">
        <v>11.04</v>
      </c>
      <c r="O56" s="1" t="s">
        <v>780</v>
      </c>
      <c r="P56" s="7">
        <v>1060</v>
      </c>
      <c r="Q56" s="7" t="b">
        <v>1</v>
      </c>
      <c r="R56" s="7" t="s">
        <v>1023</v>
      </c>
      <c r="S56" s="7"/>
      <c r="T56" s="113">
        <v>6</v>
      </c>
      <c r="U56" s="255">
        <v>45300</v>
      </c>
      <c r="V56" s="76" t="s">
        <v>725</v>
      </c>
      <c r="W56" s="1" t="s">
        <v>665</v>
      </c>
      <c r="X56" s="76"/>
      <c r="Y56" s="76" t="b">
        <v>1</v>
      </c>
      <c r="Z56" s="7">
        <v>45000</v>
      </c>
      <c r="AA56" s="7">
        <v>51000</v>
      </c>
      <c r="AB56" s="7">
        <v>6000</v>
      </c>
      <c r="AC56" s="113">
        <v>80</v>
      </c>
      <c r="AD56" s="7">
        <v>22</v>
      </c>
      <c r="AE56" s="7"/>
      <c r="AF56" s="7">
        <v>0</v>
      </c>
      <c r="AG56" s="7">
        <v>0</v>
      </c>
      <c r="AI56" s="261"/>
      <c r="AJ56" s="7" t="s">
        <v>741</v>
      </c>
      <c r="AK56" s="7" t="b">
        <v>1</v>
      </c>
      <c r="AM56" s="7"/>
      <c r="AN56" s="7"/>
      <c r="AO56" s="7"/>
      <c r="AP56" s="255"/>
    </row>
    <row r="57" spans="1:42" x14ac:dyDescent="0.35">
      <c r="A57" s="1">
        <v>3</v>
      </c>
      <c r="B57" s="76">
        <v>45300</v>
      </c>
      <c r="C57" s="1" t="s">
        <v>356</v>
      </c>
      <c r="D57" s="1" t="s">
        <v>246</v>
      </c>
      <c r="E57" s="186"/>
      <c r="F57" s="1">
        <v>184</v>
      </c>
      <c r="G57" s="1" t="s">
        <v>350</v>
      </c>
      <c r="H57" s="7" t="s">
        <v>761</v>
      </c>
      <c r="I57" s="113"/>
      <c r="J57" s="121"/>
      <c r="K57" s="121"/>
      <c r="L57" s="121">
        <v>1674</v>
      </c>
      <c r="M57" s="121">
        <v>1746</v>
      </c>
      <c r="N57" s="297">
        <v>3.1345875000000003</v>
      </c>
      <c r="P57" s="7">
        <v>0</v>
      </c>
      <c r="Q57" s="7" t="b">
        <v>0</v>
      </c>
      <c r="R57" s="7" t="s">
        <v>1023</v>
      </c>
      <c r="S57" s="7"/>
      <c r="T57" s="113">
        <v>5</v>
      </c>
      <c r="U57" s="255">
        <v>45300</v>
      </c>
      <c r="V57" s="76" t="s">
        <v>725</v>
      </c>
      <c r="W57" s="1" t="s">
        <v>244</v>
      </c>
      <c r="X57" s="76"/>
      <c r="Y57" s="76" t="b">
        <v>1</v>
      </c>
      <c r="Z57" s="7">
        <v>50457.599999999999</v>
      </c>
      <c r="AA57" s="7">
        <v>53721.599999999999</v>
      </c>
      <c r="AB57" s="7">
        <v>3264</v>
      </c>
      <c r="AC57" s="113">
        <v>0</v>
      </c>
      <c r="AD57" s="7">
        <v>0</v>
      </c>
      <c r="AE57" s="7"/>
      <c r="AF57" s="7">
        <v>0</v>
      </c>
      <c r="AG57" s="7">
        <v>0</v>
      </c>
      <c r="AI57" s="195"/>
      <c r="AJ57" s="7" t="s">
        <v>741</v>
      </c>
      <c r="AK57" s="7" t="b">
        <v>1</v>
      </c>
      <c r="AM57" s="7"/>
      <c r="AN57" s="7"/>
      <c r="AO57" s="7"/>
      <c r="AP57" s="255"/>
    </row>
    <row r="58" spans="1:42" x14ac:dyDescent="0.35">
      <c r="A58" s="1">
        <v>10</v>
      </c>
      <c r="B58" s="76">
        <v>45299</v>
      </c>
      <c r="C58" s="1" t="s">
        <v>369</v>
      </c>
      <c r="D58" s="1" t="s">
        <v>246</v>
      </c>
      <c r="E58" s="186"/>
      <c r="F58" s="1">
        <v>82</v>
      </c>
      <c r="G58" s="1" t="s">
        <v>350</v>
      </c>
      <c r="H58" s="7" t="s">
        <v>635</v>
      </c>
      <c r="I58" s="113"/>
      <c r="J58" s="121"/>
      <c r="K58" s="121"/>
      <c r="L58" s="121">
        <v>438</v>
      </c>
      <c r="M58" s="121">
        <v>491</v>
      </c>
      <c r="N58" s="195">
        <v>2.2234808233333325</v>
      </c>
      <c r="P58" s="7">
        <v>0</v>
      </c>
      <c r="Q58" s="7" t="b">
        <v>0</v>
      </c>
      <c r="R58" s="7" t="s">
        <v>1023</v>
      </c>
      <c r="S58" s="7"/>
      <c r="T58" s="113">
        <v>56</v>
      </c>
      <c r="U58" s="255">
        <v>45349</v>
      </c>
      <c r="V58" s="76" t="s">
        <v>725</v>
      </c>
      <c r="W58" s="1" t="s">
        <v>244</v>
      </c>
      <c r="X58" s="76"/>
      <c r="Y58" s="76" t="b">
        <v>1</v>
      </c>
      <c r="Z58" s="7">
        <v>1635</v>
      </c>
      <c r="AA58" s="7">
        <v>5252.8</v>
      </c>
      <c r="AB58" s="7">
        <v>3617.8</v>
      </c>
      <c r="AC58" s="113">
        <v>20</v>
      </c>
      <c r="AD58" s="7">
        <v>23</v>
      </c>
      <c r="AE58" s="7"/>
      <c r="AF58" s="7">
        <v>0</v>
      </c>
      <c r="AG58" s="7">
        <v>0</v>
      </c>
      <c r="AI58" s="195"/>
      <c r="AJ58" s="7" t="s">
        <v>741</v>
      </c>
      <c r="AK58" s="7" t="b">
        <v>1</v>
      </c>
      <c r="AM58" s="7"/>
      <c r="AN58" s="7"/>
      <c r="AO58" s="7"/>
      <c r="AP58" s="255"/>
    </row>
    <row r="59" spans="1:42" x14ac:dyDescent="0.35">
      <c r="A59" s="1">
        <v>2</v>
      </c>
      <c r="B59" s="76">
        <v>45299</v>
      </c>
      <c r="C59" s="1" t="s">
        <v>235</v>
      </c>
      <c r="D59" s="1" t="s">
        <v>246</v>
      </c>
      <c r="E59" s="186"/>
      <c r="F59" s="1">
        <v>280</v>
      </c>
      <c r="G59" s="1" t="s">
        <v>245</v>
      </c>
      <c r="H59" s="7" t="s">
        <v>635</v>
      </c>
      <c r="I59" s="113"/>
      <c r="J59" s="121"/>
      <c r="K59" s="121"/>
      <c r="L59" s="121">
        <v>2542</v>
      </c>
      <c r="M59" s="121">
        <v>2651</v>
      </c>
      <c r="N59" s="374">
        <v>4.7599291666666668</v>
      </c>
      <c r="P59" s="7">
        <v>0</v>
      </c>
      <c r="Q59" s="7" t="b">
        <v>0</v>
      </c>
      <c r="R59" s="7" t="s">
        <v>1023</v>
      </c>
      <c r="S59" s="7"/>
      <c r="T59" s="113">
        <v>3</v>
      </c>
      <c r="U59" s="76">
        <v>45299</v>
      </c>
      <c r="V59" s="76" t="s">
        <v>725</v>
      </c>
      <c r="W59" s="1" t="s">
        <v>244</v>
      </c>
      <c r="X59" s="76"/>
      <c r="Y59" s="76" t="b">
        <v>1</v>
      </c>
      <c r="Z59" s="7">
        <v>76620.800000000003</v>
      </c>
      <c r="AA59" s="7">
        <v>83692.800000000003</v>
      </c>
      <c r="AB59" s="7">
        <v>7072</v>
      </c>
      <c r="AC59" s="113">
        <v>0</v>
      </c>
      <c r="AD59" s="7">
        <v>0</v>
      </c>
      <c r="AE59" s="7"/>
      <c r="AF59" s="7">
        <v>0</v>
      </c>
      <c r="AG59" s="7">
        <v>0</v>
      </c>
      <c r="AI59" s="374"/>
      <c r="AJ59" s="7" t="s">
        <v>741</v>
      </c>
      <c r="AK59" s="7" t="b">
        <v>1</v>
      </c>
      <c r="AM59" s="7"/>
      <c r="AN59" s="7"/>
      <c r="AO59" s="7"/>
      <c r="AP59" s="76"/>
    </row>
    <row r="60" spans="1:42" x14ac:dyDescent="0.35">
      <c r="A60" s="1">
        <v>39</v>
      </c>
      <c r="B60" s="76">
        <v>45287</v>
      </c>
      <c r="C60" s="1" t="s">
        <v>349</v>
      </c>
      <c r="D60" s="1" t="s">
        <v>246</v>
      </c>
      <c r="E60" s="186"/>
      <c r="F60" s="1">
        <v>120</v>
      </c>
      <c r="G60" s="1" t="s">
        <v>350</v>
      </c>
      <c r="H60" s="7" t="s">
        <v>761</v>
      </c>
      <c r="I60" s="113"/>
      <c r="J60" s="121" t="s">
        <v>1199</v>
      </c>
      <c r="K60" s="121"/>
      <c r="L60" s="121">
        <v>773</v>
      </c>
      <c r="M60" s="121">
        <v>839</v>
      </c>
      <c r="N60" s="374">
        <v>2.58905575</v>
      </c>
      <c r="O60" s="1" t="s">
        <v>1076</v>
      </c>
      <c r="P60" s="7">
        <v>0</v>
      </c>
      <c r="Q60" s="7" t="b">
        <v>0</v>
      </c>
      <c r="R60" s="7" t="s">
        <v>1023</v>
      </c>
      <c r="S60" s="7"/>
      <c r="T60" s="113">
        <v>186</v>
      </c>
      <c r="U60" s="76">
        <v>45446</v>
      </c>
      <c r="V60" s="76" t="s">
        <v>725</v>
      </c>
      <c r="W60" s="1" t="s">
        <v>1019</v>
      </c>
      <c r="X60" s="76"/>
      <c r="Y60" s="76" t="b">
        <v>0</v>
      </c>
      <c r="Z60" s="7">
        <v>15536.64</v>
      </c>
      <c r="AA60" s="7">
        <v>20476.8</v>
      </c>
      <c r="AB60" s="7">
        <v>4940.16</v>
      </c>
      <c r="AC60" s="113">
        <v>0</v>
      </c>
      <c r="AD60" s="7">
        <v>0</v>
      </c>
      <c r="AE60" s="7"/>
      <c r="AF60" s="7">
        <v>0</v>
      </c>
      <c r="AG60" s="7">
        <v>0</v>
      </c>
      <c r="AI60" s="374" t="s">
        <v>1157</v>
      </c>
      <c r="AJ60" s="7" t="s">
        <v>741</v>
      </c>
      <c r="AK60" s="7" t="b">
        <v>1</v>
      </c>
      <c r="AM60" s="7"/>
      <c r="AN60" s="7"/>
      <c r="AO60" s="7"/>
      <c r="AP60" s="76">
        <v>45442</v>
      </c>
    </row>
    <row r="61" spans="1:42" x14ac:dyDescent="0.35">
      <c r="A61" s="1">
        <v>47</v>
      </c>
      <c r="B61" s="76">
        <v>0</v>
      </c>
      <c r="C61" s="1" t="s">
        <v>310</v>
      </c>
      <c r="D61" s="1" t="s">
        <v>246</v>
      </c>
      <c r="E61" s="186"/>
      <c r="F61" s="1">
        <v>1160</v>
      </c>
      <c r="G61" s="1" t="s">
        <v>350</v>
      </c>
      <c r="H61" s="7" t="s">
        <v>635</v>
      </c>
      <c r="I61" s="113">
        <v>21</v>
      </c>
      <c r="J61" s="121"/>
      <c r="K61" s="121"/>
      <c r="L61" s="121">
        <v>8599</v>
      </c>
      <c r="M61" s="121">
        <v>9108</v>
      </c>
      <c r="N61" s="374"/>
      <c r="P61" s="7">
        <v>0</v>
      </c>
      <c r="Q61" s="7" t="b">
        <v>0</v>
      </c>
      <c r="R61" s="7" t="s">
        <v>1023</v>
      </c>
      <c r="S61" s="7"/>
      <c r="T61" s="113" t="s">
        <v>1182</v>
      </c>
      <c r="U61" s="76">
        <v>45373</v>
      </c>
      <c r="V61" s="76" t="s">
        <v>843</v>
      </c>
      <c r="W61" s="1" t="s">
        <v>309</v>
      </c>
      <c r="X61" s="76"/>
      <c r="Y61" s="76" t="b">
        <v>1</v>
      </c>
      <c r="Z61" s="7">
        <v>0</v>
      </c>
      <c r="AA61" s="7">
        <v>36974.589999999997</v>
      </c>
      <c r="AB61" s="7">
        <v>0</v>
      </c>
      <c r="AC61" s="113">
        <v>0</v>
      </c>
      <c r="AD61" s="7">
        <v>0</v>
      </c>
      <c r="AE61" s="7"/>
      <c r="AF61" s="7">
        <v>0</v>
      </c>
      <c r="AG61" s="7">
        <v>0</v>
      </c>
      <c r="AI61" s="374" t="s">
        <v>977</v>
      </c>
      <c r="AJ61" s="7" t="s">
        <v>741</v>
      </c>
      <c r="AK61" s="7" t="b">
        <v>1</v>
      </c>
      <c r="AM61" s="7"/>
      <c r="AN61" s="7"/>
      <c r="AO61" s="7"/>
      <c r="AP61" s="76"/>
    </row>
  </sheetData>
  <sortState xmlns:xlrd2="http://schemas.microsoft.com/office/spreadsheetml/2017/richdata2" ref="A2:AP44">
    <sortCondition descending="1" ref="R1:R44" customList="ON GOING,ON WAITING,SHIPPED,DELIVERED"/>
    <sortCondition descending="1" ref="B1:B44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5"/>
  <dimension ref="A1:E112"/>
  <sheetViews>
    <sheetView zoomScale="90" zoomScaleNormal="90" workbookViewId="0">
      <selection activeCell="B32" sqref="B32"/>
    </sheetView>
  </sheetViews>
  <sheetFormatPr defaultRowHeight="14.5" x14ac:dyDescent="0.35"/>
  <cols>
    <col min="1" max="1" width="12" style="1" customWidth="1"/>
    <col min="2" max="2" width="68.1796875" bestFit="1" customWidth="1"/>
    <col min="3" max="3" width="8.7265625" style="1" bestFit="1" customWidth="1"/>
    <col min="4" max="4" width="12.453125" style="1" customWidth="1"/>
    <col min="5" max="5" width="18.26953125" style="559" customWidth="1"/>
  </cols>
  <sheetData>
    <row r="1" spans="1:5" s="1" customFormat="1" x14ac:dyDescent="0.35">
      <c r="A1" s="1" t="s">
        <v>413</v>
      </c>
      <c r="B1" s="1" t="s">
        <v>414</v>
      </c>
      <c r="C1" s="1" t="s">
        <v>415</v>
      </c>
      <c r="D1" s="113" t="s">
        <v>416</v>
      </c>
      <c r="E1" s="560" t="s">
        <v>417</v>
      </c>
    </row>
    <row r="2" spans="1:5" x14ac:dyDescent="0.35">
      <c r="A2" s="1" t="s">
        <v>450</v>
      </c>
      <c r="B2" t="s">
        <v>451</v>
      </c>
      <c r="C2" s="1" t="s">
        <v>418</v>
      </c>
      <c r="D2" s="113">
        <v>398</v>
      </c>
      <c r="E2" s="559">
        <v>0</v>
      </c>
    </row>
    <row r="3" spans="1:5" x14ac:dyDescent="0.35">
      <c r="A3" s="1" t="s">
        <v>452</v>
      </c>
      <c r="B3" t="s">
        <v>453</v>
      </c>
      <c r="C3" s="1" t="s">
        <v>418</v>
      </c>
      <c r="D3" s="113">
        <v>0</v>
      </c>
      <c r="E3" s="559">
        <v>3.72</v>
      </c>
    </row>
    <row r="4" spans="1:5" x14ac:dyDescent="0.35">
      <c r="A4" s="1" t="s">
        <v>168</v>
      </c>
      <c r="B4" t="s">
        <v>169</v>
      </c>
      <c r="C4" s="1" t="s">
        <v>418</v>
      </c>
      <c r="D4" s="113">
        <v>9572</v>
      </c>
      <c r="E4" s="559">
        <v>0.81599999999999995</v>
      </c>
    </row>
    <row r="5" spans="1:5" x14ac:dyDescent="0.35">
      <c r="A5" s="1" t="s">
        <v>170</v>
      </c>
      <c r="B5" t="s">
        <v>171</v>
      </c>
      <c r="C5" s="1" t="s">
        <v>418</v>
      </c>
      <c r="D5" s="113">
        <v>9823</v>
      </c>
      <c r="E5" s="559">
        <v>0.81599999999999995</v>
      </c>
    </row>
    <row r="6" spans="1:5" x14ac:dyDescent="0.35">
      <c r="A6" s="1" t="s">
        <v>172</v>
      </c>
      <c r="B6" t="s">
        <v>173</v>
      </c>
      <c r="C6" s="1" t="s">
        <v>418</v>
      </c>
      <c r="D6" s="113">
        <v>9828</v>
      </c>
      <c r="E6" s="559">
        <v>0.81599999999999995</v>
      </c>
    </row>
    <row r="7" spans="1:5" x14ac:dyDescent="0.35">
      <c r="A7" s="1" t="s">
        <v>174</v>
      </c>
      <c r="B7" t="s">
        <v>175</v>
      </c>
      <c r="C7" s="1" t="s">
        <v>418</v>
      </c>
      <c r="D7" s="113">
        <v>9401</v>
      </c>
      <c r="E7" s="559">
        <v>0.81599999999999995</v>
      </c>
    </row>
    <row r="8" spans="1:5" x14ac:dyDescent="0.35">
      <c r="A8" s="1" t="s">
        <v>99</v>
      </c>
      <c r="B8" t="s">
        <v>100</v>
      </c>
      <c r="C8" s="1" t="s">
        <v>418</v>
      </c>
      <c r="D8" s="113">
        <v>13057</v>
      </c>
      <c r="E8" s="559">
        <v>5</v>
      </c>
    </row>
    <row r="9" spans="1:5" x14ac:dyDescent="0.35">
      <c r="A9" s="1" t="s">
        <v>101</v>
      </c>
      <c r="B9" t="s">
        <v>102</v>
      </c>
      <c r="C9" s="1" t="s">
        <v>418</v>
      </c>
      <c r="D9" s="113">
        <v>12936</v>
      </c>
      <c r="E9" s="559">
        <v>5</v>
      </c>
    </row>
    <row r="10" spans="1:5" x14ac:dyDescent="0.35">
      <c r="A10" s="1" t="s">
        <v>103</v>
      </c>
      <c r="B10" t="s">
        <v>104</v>
      </c>
      <c r="C10" s="1" t="s">
        <v>418</v>
      </c>
      <c r="D10" s="113">
        <v>12592</v>
      </c>
      <c r="E10" s="559">
        <v>5</v>
      </c>
    </row>
    <row r="11" spans="1:5" x14ac:dyDescent="0.35">
      <c r="A11" s="1" t="s">
        <v>105</v>
      </c>
      <c r="B11" t="s">
        <v>106</v>
      </c>
      <c r="C11" s="1" t="s">
        <v>418</v>
      </c>
      <c r="D11" s="113">
        <v>9822</v>
      </c>
      <c r="E11" s="559">
        <v>5</v>
      </c>
    </row>
    <row r="12" spans="1:5" x14ac:dyDescent="0.35">
      <c r="A12" s="1" t="s">
        <v>61</v>
      </c>
      <c r="B12" t="s">
        <v>64</v>
      </c>
      <c r="C12" s="1" t="s">
        <v>418</v>
      </c>
      <c r="D12" s="113">
        <v>24</v>
      </c>
      <c r="E12" s="559">
        <v>4.4139999999999997</v>
      </c>
    </row>
    <row r="13" spans="1:5" x14ac:dyDescent="0.35">
      <c r="A13" s="1" t="s">
        <v>66</v>
      </c>
      <c r="B13" t="s">
        <v>67</v>
      </c>
      <c r="C13" s="1" t="s">
        <v>418</v>
      </c>
      <c r="D13" s="113">
        <v>0</v>
      </c>
      <c r="E13" s="559">
        <v>4.4139999999999997</v>
      </c>
    </row>
    <row r="14" spans="1:5" x14ac:dyDescent="0.35">
      <c r="A14" s="1" t="s">
        <v>68</v>
      </c>
      <c r="B14" t="s">
        <v>69</v>
      </c>
      <c r="C14" s="1" t="s">
        <v>418</v>
      </c>
      <c r="D14" s="113">
        <v>0</v>
      </c>
      <c r="E14" s="559">
        <v>4.4139999999999997</v>
      </c>
    </row>
    <row r="15" spans="1:5" x14ac:dyDescent="0.35">
      <c r="A15" s="1" t="s">
        <v>70</v>
      </c>
      <c r="B15" t="s">
        <v>71</v>
      </c>
      <c r="C15" s="1" t="s">
        <v>418</v>
      </c>
      <c r="D15" s="113">
        <v>301</v>
      </c>
      <c r="E15" s="559">
        <v>4.4139999999999997</v>
      </c>
    </row>
    <row r="16" spans="1:5" x14ac:dyDescent="0.35">
      <c r="A16" s="1" t="s">
        <v>157</v>
      </c>
      <c r="B16" t="s">
        <v>160</v>
      </c>
      <c r="C16" s="1" t="s">
        <v>418</v>
      </c>
      <c r="D16" s="113">
        <v>19498</v>
      </c>
      <c r="E16" s="559">
        <v>0.81599999999999995</v>
      </c>
    </row>
    <row r="17" spans="1:5" x14ac:dyDescent="0.35">
      <c r="A17" s="1" t="s">
        <v>162</v>
      </c>
      <c r="B17" t="s">
        <v>163</v>
      </c>
      <c r="C17" s="1" t="s">
        <v>418</v>
      </c>
      <c r="D17" s="113">
        <v>25051</v>
      </c>
      <c r="E17" s="559">
        <v>0.81599999999999995</v>
      </c>
    </row>
    <row r="18" spans="1:5" x14ac:dyDescent="0.35">
      <c r="A18" s="1" t="s">
        <v>164</v>
      </c>
      <c r="B18" t="s">
        <v>165</v>
      </c>
      <c r="C18" s="1" t="s">
        <v>418</v>
      </c>
      <c r="D18" s="113">
        <v>20448</v>
      </c>
      <c r="E18" s="559">
        <v>0.81599999999999995</v>
      </c>
    </row>
    <row r="19" spans="1:5" x14ac:dyDescent="0.35">
      <c r="A19" s="1" t="s">
        <v>166</v>
      </c>
      <c r="B19" t="s">
        <v>167</v>
      </c>
      <c r="C19" s="1" t="s">
        <v>418</v>
      </c>
      <c r="D19" s="113">
        <v>23767</v>
      </c>
      <c r="E19" s="559">
        <v>0.81599999999999995</v>
      </c>
    </row>
    <row r="20" spans="1:5" x14ac:dyDescent="0.35">
      <c r="A20" s="1" t="s">
        <v>72</v>
      </c>
      <c r="B20" t="s">
        <v>73</v>
      </c>
      <c r="C20" s="1" t="s">
        <v>418</v>
      </c>
      <c r="D20" s="113">
        <v>0</v>
      </c>
      <c r="E20" s="559">
        <v>4.4139999999999997</v>
      </c>
    </row>
    <row r="21" spans="1:5" x14ac:dyDescent="0.35">
      <c r="A21" s="1" t="s">
        <v>74</v>
      </c>
      <c r="B21" t="s">
        <v>75</v>
      </c>
      <c r="C21" s="1" t="s">
        <v>418</v>
      </c>
      <c r="D21" s="113">
        <v>49</v>
      </c>
      <c r="E21" s="559">
        <v>4.4139999999999997</v>
      </c>
    </row>
    <row r="22" spans="1:5" x14ac:dyDescent="0.35">
      <c r="A22" s="1" t="s">
        <v>76</v>
      </c>
      <c r="B22" t="s">
        <v>77</v>
      </c>
      <c r="C22" s="1" t="s">
        <v>418</v>
      </c>
      <c r="D22" s="113">
        <v>9</v>
      </c>
      <c r="E22" s="559">
        <v>4.4139999999999997</v>
      </c>
    </row>
    <row r="23" spans="1:5" x14ac:dyDescent="0.35">
      <c r="A23" s="1" t="s">
        <v>78</v>
      </c>
      <c r="B23" t="s">
        <v>79</v>
      </c>
      <c r="C23" s="1" t="s">
        <v>418</v>
      </c>
      <c r="D23" s="113">
        <v>0</v>
      </c>
      <c r="E23" s="559">
        <v>4.4139999999999997</v>
      </c>
    </row>
    <row r="24" spans="1:5" x14ac:dyDescent="0.35">
      <c r="A24" s="1" t="s">
        <v>107</v>
      </c>
      <c r="B24" t="s">
        <v>108</v>
      </c>
      <c r="C24" s="1" t="s">
        <v>418</v>
      </c>
      <c r="D24" s="113">
        <v>9142</v>
      </c>
      <c r="E24" s="559">
        <v>5</v>
      </c>
    </row>
    <row r="25" spans="1:5" x14ac:dyDescent="0.35">
      <c r="A25" s="1" t="s">
        <v>109</v>
      </c>
      <c r="B25" t="s">
        <v>110</v>
      </c>
      <c r="C25" s="1" t="s">
        <v>418</v>
      </c>
      <c r="D25" s="113">
        <v>8908</v>
      </c>
      <c r="E25" s="559">
        <v>5</v>
      </c>
    </row>
    <row r="26" spans="1:5" x14ac:dyDescent="0.35">
      <c r="A26" s="1" t="s">
        <v>111</v>
      </c>
      <c r="B26" t="s">
        <v>112</v>
      </c>
      <c r="C26" s="1" t="s">
        <v>418</v>
      </c>
      <c r="D26" s="113">
        <v>6410</v>
      </c>
      <c r="E26" s="559">
        <v>5</v>
      </c>
    </row>
    <row r="27" spans="1:5" x14ac:dyDescent="0.35">
      <c r="A27" s="1" t="s">
        <v>113</v>
      </c>
      <c r="B27" t="s">
        <v>114</v>
      </c>
      <c r="C27" s="1" t="s">
        <v>418</v>
      </c>
      <c r="D27" s="113">
        <v>6478</v>
      </c>
      <c r="E27" s="559">
        <v>5</v>
      </c>
    </row>
    <row r="28" spans="1:5" x14ac:dyDescent="0.35">
      <c r="A28" s="1" t="s">
        <v>115</v>
      </c>
      <c r="B28" t="s">
        <v>117</v>
      </c>
      <c r="C28" s="1" t="s">
        <v>418</v>
      </c>
      <c r="D28" s="113">
        <v>5041</v>
      </c>
      <c r="E28" s="559">
        <v>11.68</v>
      </c>
    </row>
    <row r="29" spans="1:5" x14ac:dyDescent="0.35">
      <c r="A29" s="1" t="s">
        <v>118</v>
      </c>
      <c r="B29" t="s">
        <v>119</v>
      </c>
      <c r="C29" s="1" t="s">
        <v>418</v>
      </c>
      <c r="D29" s="113">
        <v>1535</v>
      </c>
      <c r="E29" s="559">
        <v>11.68</v>
      </c>
    </row>
    <row r="30" spans="1:5" x14ac:dyDescent="0.35">
      <c r="A30" s="1" t="s">
        <v>120</v>
      </c>
      <c r="B30" t="s">
        <v>121</v>
      </c>
      <c r="C30" s="1" t="s">
        <v>418</v>
      </c>
      <c r="D30" s="113">
        <v>1665</v>
      </c>
      <c r="E30" s="559">
        <v>11.68</v>
      </c>
    </row>
    <row r="31" spans="1:5" x14ac:dyDescent="0.35">
      <c r="A31" s="1" t="s">
        <v>122</v>
      </c>
      <c r="B31" t="s">
        <v>123</v>
      </c>
      <c r="C31" s="1" t="s">
        <v>418</v>
      </c>
      <c r="D31" s="113">
        <v>5724</v>
      </c>
      <c r="E31" s="559">
        <v>11.68</v>
      </c>
    </row>
    <row r="32" spans="1:5" x14ac:dyDescent="0.35">
      <c r="A32" s="1" t="s">
        <v>124</v>
      </c>
      <c r="B32" t="s">
        <v>125</v>
      </c>
      <c r="C32" s="1" t="s">
        <v>418</v>
      </c>
      <c r="D32" s="113">
        <v>865</v>
      </c>
      <c r="E32" s="559">
        <v>11.68</v>
      </c>
    </row>
    <row r="33" spans="1:5" x14ac:dyDescent="0.35">
      <c r="A33" s="1" t="s">
        <v>126</v>
      </c>
      <c r="B33" t="s">
        <v>127</v>
      </c>
      <c r="C33" s="1" t="s">
        <v>418</v>
      </c>
      <c r="D33" s="113">
        <v>576</v>
      </c>
      <c r="E33" s="559">
        <v>11.68</v>
      </c>
    </row>
    <row r="34" spans="1:5" x14ac:dyDescent="0.35">
      <c r="A34" s="1" t="s">
        <v>128</v>
      </c>
      <c r="B34" t="s">
        <v>129</v>
      </c>
      <c r="C34" s="1" t="s">
        <v>418</v>
      </c>
      <c r="D34" s="113">
        <v>1979</v>
      </c>
      <c r="E34" s="559">
        <v>11.68</v>
      </c>
    </row>
    <row r="35" spans="1:5" x14ac:dyDescent="0.35">
      <c r="A35" s="1" t="s">
        <v>130</v>
      </c>
      <c r="B35" t="s">
        <v>131</v>
      </c>
      <c r="C35" s="1" t="s">
        <v>418</v>
      </c>
      <c r="D35" s="113">
        <v>2589</v>
      </c>
      <c r="E35" s="559">
        <v>11.68</v>
      </c>
    </row>
    <row r="36" spans="1:5" x14ac:dyDescent="0.35">
      <c r="A36" s="1" t="s">
        <v>742</v>
      </c>
      <c r="B36" t="s">
        <v>743</v>
      </c>
      <c r="C36" s="1" t="s">
        <v>418</v>
      </c>
      <c r="D36" s="113">
        <v>0</v>
      </c>
      <c r="E36" s="559">
        <v>4.21</v>
      </c>
    </row>
    <row r="37" spans="1:5" x14ac:dyDescent="0.35">
      <c r="A37" s="1" t="s">
        <v>744</v>
      </c>
      <c r="B37" t="s">
        <v>745</v>
      </c>
      <c r="C37" s="1" t="s">
        <v>418</v>
      </c>
      <c r="D37" s="113">
        <v>0</v>
      </c>
      <c r="E37" s="559">
        <v>4.21</v>
      </c>
    </row>
    <row r="38" spans="1:5" x14ac:dyDescent="0.35">
      <c r="A38" s="1" t="s">
        <v>746</v>
      </c>
      <c r="B38" t="s">
        <v>747</v>
      </c>
      <c r="C38" s="1" t="s">
        <v>418</v>
      </c>
      <c r="D38" s="113">
        <v>0</v>
      </c>
      <c r="E38" s="559">
        <v>4.21</v>
      </c>
    </row>
    <row r="39" spans="1:5" x14ac:dyDescent="0.35">
      <c r="A39" s="1" t="s">
        <v>748</v>
      </c>
      <c r="B39" t="s">
        <v>749</v>
      </c>
      <c r="C39" s="1" t="s">
        <v>418</v>
      </c>
      <c r="D39" s="113">
        <v>0</v>
      </c>
      <c r="E39" s="559">
        <v>4.21</v>
      </c>
    </row>
    <row r="40" spans="1:5" x14ac:dyDescent="0.35">
      <c r="A40" s="1" t="s">
        <v>750</v>
      </c>
      <c r="B40" t="s">
        <v>751</v>
      </c>
      <c r="C40" s="1" t="s">
        <v>418</v>
      </c>
      <c r="D40" s="113">
        <v>0</v>
      </c>
      <c r="E40" s="559">
        <v>4.21</v>
      </c>
    </row>
    <row r="41" spans="1:5" x14ac:dyDescent="0.35">
      <c r="A41" s="1" t="s">
        <v>752</v>
      </c>
      <c r="B41" t="s">
        <v>753</v>
      </c>
      <c r="C41" s="1" t="s">
        <v>418</v>
      </c>
      <c r="D41" s="113">
        <v>0</v>
      </c>
      <c r="E41" s="559">
        <v>4.21</v>
      </c>
    </row>
    <row r="42" spans="1:5" x14ac:dyDescent="0.35">
      <c r="A42" s="1" t="s">
        <v>754</v>
      </c>
      <c r="B42" t="s">
        <v>755</v>
      </c>
      <c r="C42" s="1" t="s">
        <v>418</v>
      </c>
      <c r="D42" s="113">
        <v>0</v>
      </c>
      <c r="E42" s="559">
        <v>4.21</v>
      </c>
    </row>
    <row r="43" spans="1:5" x14ac:dyDescent="0.35">
      <c r="A43" s="1" t="s">
        <v>756</v>
      </c>
      <c r="B43" t="s">
        <v>757</v>
      </c>
      <c r="C43" s="1" t="s">
        <v>418</v>
      </c>
      <c r="D43" s="113">
        <v>0</v>
      </c>
      <c r="E43" s="559">
        <v>4.21</v>
      </c>
    </row>
    <row r="44" spans="1:5" x14ac:dyDescent="0.35">
      <c r="A44" s="1" t="s">
        <v>149</v>
      </c>
      <c r="B44" t="s">
        <v>150</v>
      </c>
      <c r="C44" s="1" t="s">
        <v>418</v>
      </c>
      <c r="D44" s="113">
        <v>1767</v>
      </c>
      <c r="E44" s="559">
        <v>11.68</v>
      </c>
    </row>
    <row r="45" spans="1:5" x14ac:dyDescent="0.35">
      <c r="A45" s="1" t="s">
        <v>151</v>
      </c>
      <c r="B45" t="s">
        <v>152</v>
      </c>
      <c r="C45" s="1" t="s">
        <v>418</v>
      </c>
      <c r="D45" s="113">
        <v>1474</v>
      </c>
      <c r="E45" s="559">
        <v>11.68</v>
      </c>
    </row>
    <row r="46" spans="1:5" x14ac:dyDescent="0.35">
      <c r="A46" s="1" t="s">
        <v>189</v>
      </c>
      <c r="B46" t="s">
        <v>191</v>
      </c>
      <c r="C46" s="1" t="s">
        <v>418</v>
      </c>
      <c r="D46" s="113">
        <v>0</v>
      </c>
      <c r="E46" s="559">
        <v>0.93</v>
      </c>
    </row>
    <row r="47" spans="1:5" x14ac:dyDescent="0.35">
      <c r="A47" s="1" t="s">
        <v>192</v>
      </c>
      <c r="B47" t="s">
        <v>193</v>
      </c>
      <c r="C47" s="1" t="s">
        <v>418</v>
      </c>
      <c r="D47" s="113">
        <v>0</v>
      </c>
      <c r="E47" s="559">
        <v>0.93</v>
      </c>
    </row>
    <row r="48" spans="1:5" x14ac:dyDescent="0.35">
      <c r="A48" s="1" t="s">
        <v>194</v>
      </c>
      <c r="B48" t="s">
        <v>195</v>
      </c>
      <c r="C48" s="1" t="s">
        <v>418</v>
      </c>
      <c r="D48" s="113">
        <v>0</v>
      </c>
      <c r="E48" s="559">
        <v>0.93</v>
      </c>
    </row>
    <row r="49" spans="1:5" x14ac:dyDescent="0.35">
      <c r="A49" s="1" t="s">
        <v>196</v>
      </c>
      <c r="B49" t="s">
        <v>197</v>
      </c>
      <c r="C49" s="1" t="s">
        <v>418</v>
      </c>
      <c r="D49" s="113">
        <v>0</v>
      </c>
      <c r="E49" s="559">
        <v>0.93</v>
      </c>
    </row>
    <row r="50" spans="1:5" x14ac:dyDescent="0.35">
      <c r="A50" s="1" t="s">
        <v>454</v>
      </c>
      <c r="B50" t="s">
        <v>455</v>
      </c>
      <c r="C50" s="1" t="s">
        <v>418</v>
      </c>
      <c r="D50" s="113">
        <v>0</v>
      </c>
      <c r="E50" s="559">
        <v>0.93</v>
      </c>
    </row>
    <row r="51" spans="1:5" x14ac:dyDescent="0.35">
      <c r="A51" s="1" t="s">
        <v>456</v>
      </c>
      <c r="B51" t="s">
        <v>457</v>
      </c>
      <c r="C51" s="1" t="s">
        <v>418</v>
      </c>
      <c r="D51" s="113">
        <v>0</v>
      </c>
      <c r="E51" s="559">
        <v>0.93</v>
      </c>
    </row>
    <row r="52" spans="1:5" x14ac:dyDescent="0.35">
      <c r="A52" s="1" t="s">
        <v>458</v>
      </c>
      <c r="B52" t="s">
        <v>459</v>
      </c>
      <c r="C52" s="1" t="s">
        <v>418</v>
      </c>
      <c r="D52" s="113">
        <v>0</v>
      </c>
      <c r="E52" s="559">
        <v>0.93</v>
      </c>
    </row>
    <row r="53" spans="1:5" x14ac:dyDescent="0.35">
      <c r="A53" s="1" t="s">
        <v>460</v>
      </c>
      <c r="B53" t="s">
        <v>461</v>
      </c>
      <c r="C53" s="1" t="s">
        <v>418</v>
      </c>
      <c r="D53" s="113">
        <v>0</v>
      </c>
      <c r="E53" s="559">
        <v>0.93</v>
      </c>
    </row>
    <row r="54" spans="1:5" x14ac:dyDescent="0.35">
      <c r="A54" s="1" t="s">
        <v>176</v>
      </c>
      <c r="B54" t="s">
        <v>179</v>
      </c>
      <c r="C54" s="1" t="s">
        <v>418</v>
      </c>
      <c r="D54" s="113">
        <v>2970</v>
      </c>
      <c r="E54" s="559">
        <v>2.0499999999999998</v>
      </c>
    </row>
    <row r="55" spans="1:5" x14ac:dyDescent="0.35">
      <c r="A55" s="1" t="s">
        <v>181</v>
      </c>
      <c r="B55" t="s">
        <v>182</v>
      </c>
      <c r="C55" s="1" t="s">
        <v>418</v>
      </c>
      <c r="D55" s="113">
        <v>666</v>
      </c>
      <c r="E55" s="559">
        <v>2.0499999999999998</v>
      </c>
    </row>
    <row r="56" spans="1:5" x14ac:dyDescent="0.35">
      <c r="A56" s="1" t="s">
        <v>183</v>
      </c>
      <c r="B56" t="s">
        <v>184</v>
      </c>
      <c r="C56" s="1" t="s">
        <v>418</v>
      </c>
      <c r="D56" s="113">
        <v>422</v>
      </c>
      <c r="E56" s="559">
        <v>2.0499999999999998</v>
      </c>
    </row>
    <row r="57" spans="1:5" x14ac:dyDescent="0.35">
      <c r="A57" s="1" t="s">
        <v>185</v>
      </c>
      <c r="B57" t="s">
        <v>186</v>
      </c>
      <c r="C57" s="1" t="s">
        <v>418</v>
      </c>
      <c r="D57" s="113">
        <v>618</v>
      </c>
      <c r="E57" s="559">
        <v>2.0499999999999998</v>
      </c>
    </row>
    <row r="58" spans="1:5" x14ac:dyDescent="0.35">
      <c r="A58" s="1" t="s">
        <v>132</v>
      </c>
      <c r="B58" t="s">
        <v>134</v>
      </c>
      <c r="C58" s="1" t="s">
        <v>418</v>
      </c>
      <c r="D58" s="113">
        <v>0</v>
      </c>
      <c r="E58" s="559">
        <v>0</v>
      </c>
    </row>
    <row r="59" spans="1:5" x14ac:dyDescent="0.35">
      <c r="A59" s="1" t="s">
        <v>135</v>
      </c>
      <c r="B59" t="s">
        <v>136</v>
      </c>
      <c r="C59" s="1" t="s">
        <v>418</v>
      </c>
      <c r="D59" s="113">
        <v>9</v>
      </c>
      <c r="E59" s="559">
        <v>0</v>
      </c>
    </row>
    <row r="60" spans="1:5" x14ac:dyDescent="0.35">
      <c r="A60" s="1" t="s">
        <v>137</v>
      </c>
      <c r="B60" t="s">
        <v>138</v>
      </c>
      <c r="C60" s="1" t="s">
        <v>418</v>
      </c>
      <c r="D60" s="113">
        <v>0</v>
      </c>
      <c r="E60" s="559">
        <v>0</v>
      </c>
    </row>
    <row r="61" spans="1:5" x14ac:dyDescent="0.35">
      <c r="A61" s="1" t="s">
        <v>139</v>
      </c>
      <c r="B61" t="s">
        <v>140</v>
      </c>
      <c r="C61" s="1" t="s">
        <v>418</v>
      </c>
      <c r="D61" s="113">
        <v>41</v>
      </c>
      <c r="E61" s="559">
        <v>0</v>
      </c>
    </row>
    <row r="62" spans="1:5" x14ac:dyDescent="0.35">
      <c r="A62" s="1" t="s">
        <v>141</v>
      </c>
      <c r="B62" t="s">
        <v>142</v>
      </c>
      <c r="C62" s="1" t="s">
        <v>418</v>
      </c>
      <c r="D62" s="113">
        <v>0</v>
      </c>
      <c r="E62" s="559">
        <v>0</v>
      </c>
    </row>
    <row r="63" spans="1:5" x14ac:dyDescent="0.35">
      <c r="A63" s="1" t="s">
        <v>143</v>
      </c>
      <c r="B63" t="s">
        <v>144</v>
      </c>
      <c r="C63" s="1" t="s">
        <v>418</v>
      </c>
      <c r="D63" s="113">
        <v>0</v>
      </c>
      <c r="E63" s="559">
        <v>0</v>
      </c>
    </row>
    <row r="64" spans="1:5" x14ac:dyDescent="0.35">
      <c r="A64" s="1" t="s">
        <v>145</v>
      </c>
      <c r="B64" t="s">
        <v>146</v>
      </c>
      <c r="C64" s="1" t="s">
        <v>418</v>
      </c>
      <c r="D64" s="113">
        <v>0</v>
      </c>
      <c r="E64" s="559">
        <v>0</v>
      </c>
    </row>
    <row r="65" spans="1:5" x14ac:dyDescent="0.35">
      <c r="A65" s="1" t="s">
        <v>147</v>
      </c>
      <c r="B65" t="s">
        <v>148</v>
      </c>
      <c r="C65" s="1" t="s">
        <v>418</v>
      </c>
      <c r="D65" s="113">
        <v>0</v>
      </c>
      <c r="E65" s="559">
        <v>0</v>
      </c>
    </row>
    <row r="66" spans="1:5" x14ac:dyDescent="0.35">
      <c r="A66" s="1" t="s">
        <v>153</v>
      </c>
      <c r="B66" t="s">
        <v>154</v>
      </c>
      <c r="C66" s="1" t="s">
        <v>418</v>
      </c>
      <c r="D66" s="113">
        <v>912</v>
      </c>
      <c r="E66" s="559">
        <v>0</v>
      </c>
    </row>
    <row r="67" spans="1:5" x14ac:dyDescent="0.35">
      <c r="A67" s="1" t="s">
        <v>155</v>
      </c>
      <c r="B67" t="s">
        <v>758</v>
      </c>
      <c r="C67" s="1" t="s">
        <v>418</v>
      </c>
      <c r="D67" s="113">
        <v>912</v>
      </c>
      <c r="E67" s="559">
        <v>0</v>
      </c>
    </row>
    <row r="68" spans="1:5" x14ac:dyDescent="0.35">
      <c r="A68" s="1" t="s">
        <v>462</v>
      </c>
      <c r="B68" t="s">
        <v>463</v>
      </c>
      <c r="C68" s="1" t="s">
        <v>418</v>
      </c>
      <c r="D68" s="113">
        <v>0</v>
      </c>
      <c r="E68" s="559">
        <v>0</v>
      </c>
    </row>
    <row r="69" spans="1:5" x14ac:dyDescent="0.35">
      <c r="A69" s="1" t="s">
        <v>464</v>
      </c>
      <c r="B69" t="s">
        <v>465</v>
      </c>
      <c r="C69" s="1" t="s">
        <v>418</v>
      </c>
      <c r="D69" s="113">
        <v>0</v>
      </c>
      <c r="E69" s="559">
        <v>0</v>
      </c>
    </row>
    <row r="70" spans="1:5" x14ac:dyDescent="0.35">
      <c r="A70" s="1" t="s">
        <v>466</v>
      </c>
      <c r="B70" t="s">
        <v>467</v>
      </c>
      <c r="C70" s="1" t="s">
        <v>418</v>
      </c>
      <c r="D70" s="113">
        <v>0</v>
      </c>
      <c r="E70" s="559">
        <v>0</v>
      </c>
    </row>
    <row r="71" spans="1:5" x14ac:dyDescent="0.35">
      <c r="A71" s="1" t="s">
        <v>468</v>
      </c>
      <c r="B71" t="s">
        <v>469</v>
      </c>
      <c r="C71" s="1" t="s">
        <v>418</v>
      </c>
      <c r="D71" s="113">
        <v>0</v>
      </c>
      <c r="E71" s="559">
        <v>0</v>
      </c>
    </row>
    <row r="72" spans="1:5" x14ac:dyDescent="0.35">
      <c r="A72" s="1" t="s">
        <v>80</v>
      </c>
      <c r="B72" t="s">
        <v>81</v>
      </c>
      <c r="C72" s="1" t="s">
        <v>418</v>
      </c>
      <c r="D72" s="113">
        <v>100</v>
      </c>
      <c r="E72" s="559">
        <v>6.16</v>
      </c>
    </row>
    <row r="73" spans="1:5" x14ac:dyDescent="0.35">
      <c r="A73" s="1" t="s">
        <v>82</v>
      </c>
      <c r="B73" t="s">
        <v>83</v>
      </c>
      <c r="C73" s="1" t="s">
        <v>418</v>
      </c>
      <c r="D73" s="113">
        <v>250</v>
      </c>
      <c r="E73" s="559">
        <v>6.16</v>
      </c>
    </row>
    <row r="74" spans="1:5" x14ac:dyDescent="0.35">
      <c r="A74" s="1" t="s">
        <v>84</v>
      </c>
      <c r="B74" t="s">
        <v>85</v>
      </c>
      <c r="C74" s="1" t="s">
        <v>418</v>
      </c>
      <c r="D74" s="113">
        <v>60</v>
      </c>
      <c r="E74" s="559">
        <v>6.16</v>
      </c>
    </row>
    <row r="75" spans="1:5" x14ac:dyDescent="0.35">
      <c r="A75" s="1" t="s">
        <v>86</v>
      </c>
      <c r="B75" t="s">
        <v>87</v>
      </c>
      <c r="C75" s="1" t="s">
        <v>418</v>
      </c>
      <c r="D75" s="113">
        <v>250</v>
      </c>
      <c r="E75" s="559">
        <v>6.16</v>
      </c>
    </row>
    <row r="76" spans="1:5" x14ac:dyDescent="0.35">
      <c r="A76" s="1" t="s">
        <v>24</v>
      </c>
      <c r="B76" t="s">
        <v>27</v>
      </c>
      <c r="C76" s="1" t="s">
        <v>418</v>
      </c>
      <c r="D76" s="113">
        <v>398</v>
      </c>
      <c r="E76" s="559">
        <v>5.23</v>
      </c>
    </row>
    <row r="77" spans="1:5" x14ac:dyDescent="0.35">
      <c r="A77" s="1" t="s">
        <v>30</v>
      </c>
      <c r="B77" t="s">
        <v>31</v>
      </c>
      <c r="C77" s="1" t="s">
        <v>418</v>
      </c>
      <c r="D77" s="113">
        <v>243</v>
      </c>
      <c r="E77" s="559">
        <v>5.23</v>
      </c>
    </row>
    <row r="78" spans="1:5" x14ac:dyDescent="0.35">
      <c r="A78" s="1" t="s">
        <v>32</v>
      </c>
      <c r="B78" t="s">
        <v>33</v>
      </c>
      <c r="C78" s="1" t="s">
        <v>418</v>
      </c>
      <c r="D78" s="113">
        <v>437</v>
      </c>
      <c r="E78" s="559">
        <v>5.23</v>
      </c>
    </row>
    <row r="79" spans="1:5" x14ac:dyDescent="0.35">
      <c r="A79" s="1" t="s">
        <v>34</v>
      </c>
      <c r="B79" t="s">
        <v>35</v>
      </c>
      <c r="C79" s="1" t="s">
        <v>418</v>
      </c>
      <c r="D79" s="113">
        <v>437</v>
      </c>
      <c r="E79" s="559">
        <v>5.23</v>
      </c>
    </row>
    <row r="80" spans="1:5" x14ac:dyDescent="0.35">
      <c r="A80" s="1" t="s">
        <v>36</v>
      </c>
      <c r="B80" t="s">
        <v>38</v>
      </c>
      <c r="C80" s="1" t="s">
        <v>418</v>
      </c>
      <c r="D80" s="113">
        <v>471</v>
      </c>
      <c r="E80" s="559">
        <v>5.23</v>
      </c>
    </row>
    <row r="81" spans="1:5" x14ac:dyDescent="0.35">
      <c r="A81" s="1" t="s">
        <v>39</v>
      </c>
      <c r="B81" t="s">
        <v>40</v>
      </c>
      <c r="C81" s="1" t="s">
        <v>418</v>
      </c>
      <c r="D81" s="113">
        <v>303</v>
      </c>
      <c r="E81" s="559">
        <v>5.23</v>
      </c>
    </row>
    <row r="82" spans="1:5" x14ac:dyDescent="0.35">
      <c r="A82" s="1" t="s">
        <v>41</v>
      </c>
      <c r="B82" t="s">
        <v>42</v>
      </c>
      <c r="C82" s="1" t="s">
        <v>418</v>
      </c>
      <c r="D82" s="113">
        <v>497</v>
      </c>
      <c r="E82" s="559">
        <v>5.23</v>
      </c>
    </row>
    <row r="83" spans="1:5" x14ac:dyDescent="0.35">
      <c r="A83" s="1" t="s">
        <v>43</v>
      </c>
      <c r="B83" t="s">
        <v>44</v>
      </c>
      <c r="C83" s="1" t="s">
        <v>418</v>
      </c>
      <c r="D83" s="113">
        <v>520</v>
      </c>
      <c r="E83" s="559">
        <v>5.23</v>
      </c>
    </row>
    <row r="84" spans="1:5" x14ac:dyDescent="0.35">
      <c r="A84" s="1" t="s">
        <v>88</v>
      </c>
      <c r="B84" t="s">
        <v>89</v>
      </c>
      <c r="C84" s="1" t="s">
        <v>418</v>
      </c>
      <c r="D84" s="113">
        <v>40</v>
      </c>
      <c r="E84" s="559">
        <v>6.16</v>
      </c>
    </row>
    <row r="85" spans="1:5" x14ac:dyDescent="0.35">
      <c r="A85" s="1" t="s">
        <v>90</v>
      </c>
      <c r="B85" t="s">
        <v>91</v>
      </c>
      <c r="C85" s="1" t="s">
        <v>418</v>
      </c>
      <c r="D85" s="113">
        <v>0</v>
      </c>
      <c r="E85" s="559">
        <v>6.16</v>
      </c>
    </row>
    <row r="86" spans="1:5" x14ac:dyDescent="0.35">
      <c r="A86" s="1" t="s">
        <v>92</v>
      </c>
      <c r="B86" t="s">
        <v>93</v>
      </c>
      <c r="C86" s="1" t="s">
        <v>418</v>
      </c>
      <c r="D86" s="113">
        <v>0</v>
      </c>
      <c r="E86" s="559">
        <v>6.16</v>
      </c>
    </row>
    <row r="87" spans="1:5" x14ac:dyDescent="0.35">
      <c r="A87" s="1" t="s">
        <v>94</v>
      </c>
      <c r="B87" t="s">
        <v>95</v>
      </c>
      <c r="C87" s="1" t="s">
        <v>418</v>
      </c>
      <c r="D87" s="113">
        <v>0</v>
      </c>
      <c r="E87" s="559">
        <v>6.16</v>
      </c>
    </row>
    <row r="88" spans="1:5" x14ac:dyDescent="0.35">
      <c r="A88" s="1" t="s">
        <v>419</v>
      </c>
      <c r="B88" t="s">
        <v>420</v>
      </c>
      <c r="C88" s="1" t="s">
        <v>418</v>
      </c>
      <c r="D88" s="113">
        <v>0</v>
      </c>
      <c r="E88" s="559">
        <v>4.0999999999999996</v>
      </c>
    </row>
    <row r="89" spans="1:5" x14ac:dyDescent="0.35">
      <c r="A89" s="1" t="s">
        <v>421</v>
      </c>
      <c r="B89" t="s">
        <v>422</v>
      </c>
      <c r="C89" s="1" t="s">
        <v>418</v>
      </c>
      <c r="D89" s="113">
        <v>0</v>
      </c>
      <c r="E89" s="559">
        <v>4.0999999999999996</v>
      </c>
    </row>
    <row r="90" spans="1:5" x14ac:dyDescent="0.35">
      <c r="A90" s="1" t="s">
        <v>45</v>
      </c>
      <c r="B90" t="s">
        <v>423</v>
      </c>
      <c r="C90" s="1" t="s">
        <v>418</v>
      </c>
      <c r="D90" s="113">
        <v>309</v>
      </c>
      <c r="E90" s="559">
        <v>6.16</v>
      </c>
    </row>
    <row r="91" spans="1:5" x14ac:dyDescent="0.35">
      <c r="A91" s="1" t="s">
        <v>47</v>
      </c>
      <c r="B91" t="s">
        <v>424</v>
      </c>
      <c r="C91" s="1" t="s">
        <v>418</v>
      </c>
      <c r="D91" s="113">
        <v>298</v>
      </c>
      <c r="E91" s="559">
        <v>6.16</v>
      </c>
    </row>
    <row r="92" spans="1:5" x14ac:dyDescent="0.35">
      <c r="A92" s="1" t="s">
        <v>49</v>
      </c>
      <c r="B92" t="s">
        <v>425</v>
      </c>
      <c r="C92" s="1" t="s">
        <v>418</v>
      </c>
      <c r="D92" s="113">
        <v>310</v>
      </c>
      <c r="E92" s="559">
        <v>6.16</v>
      </c>
    </row>
    <row r="93" spans="1:5" x14ac:dyDescent="0.35">
      <c r="A93" s="1" t="s">
        <v>51</v>
      </c>
      <c r="B93" t="s">
        <v>426</v>
      </c>
      <c r="C93" s="1" t="s">
        <v>418</v>
      </c>
      <c r="D93" s="113">
        <v>12</v>
      </c>
      <c r="E93" s="559">
        <v>6.16</v>
      </c>
    </row>
    <row r="94" spans="1:5" x14ac:dyDescent="0.35">
      <c r="A94" s="1" t="s">
        <v>53</v>
      </c>
      <c r="B94" t="s">
        <v>759</v>
      </c>
      <c r="C94" s="1" t="s">
        <v>418</v>
      </c>
      <c r="D94" s="113">
        <v>11</v>
      </c>
      <c r="E94" s="559">
        <v>6.16</v>
      </c>
    </row>
    <row r="95" spans="1:5" x14ac:dyDescent="0.35">
      <c r="A95" s="1" t="s">
        <v>55</v>
      </c>
      <c r="B95" t="s">
        <v>427</v>
      </c>
      <c r="C95" s="1" t="s">
        <v>418</v>
      </c>
      <c r="D95" s="113">
        <v>286</v>
      </c>
      <c r="E95" s="559">
        <v>6.16</v>
      </c>
    </row>
    <row r="96" spans="1:5" x14ac:dyDescent="0.35">
      <c r="A96" s="1" t="s">
        <v>57</v>
      </c>
      <c r="B96" t="s">
        <v>428</v>
      </c>
      <c r="C96" s="1" t="s">
        <v>418</v>
      </c>
      <c r="D96" s="113">
        <v>286</v>
      </c>
      <c r="E96" s="559">
        <v>6.16</v>
      </c>
    </row>
    <row r="97" spans="1:5" x14ac:dyDescent="0.35">
      <c r="A97" s="1" t="s">
        <v>59</v>
      </c>
      <c r="B97" t="s">
        <v>429</v>
      </c>
      <c r="C97" s="1" t="s">
        <v>418</v>
      </c>
      <c r="D97" s="113">
        <v>334</v>
      </c>
      <c r="E97" s="559">
        <v>6.16</v>
      </c>
    </row>
    <row r="98" spans="1:5" x14ac:dyDescent="0.35">
      <c r="A98" s="1" t="s">
        <v>430</v>
      </c>
      <c r="B98" t="s">
        <v>431</v>
      </c>
      <c r="C98" s="1" t="s">
        <v>418</v>
      </c>
      <c r="D98" s="113">
        <v>0</v>
      </c>
      <c r="E98" s="559">
        <v>0</v>
      </c>
    </row>
    <row r="99" spans="1:5" x14ac:dyDescent="0.35">
      <c r="A99" s="1" t="s">
        <v>432</v>
      </c>
      <c r="B99" t="s">
        <v>433</v>
      </c>
      <c r="C99" s="1" t="s">
        <v>418</v>
      </c>
      <c r="D99" s="113">
        <v>0</v>
      </c>
      <c r="E99" s="559">
        <v>0</v>
      </c>
    </row>
    <row r="100" spans="1:5" x14ac:dyDescent="0.35">
      <c r="A100" s="1" t="s">
        <v>198</v>
      </c>
      <c r="B100" t="s">
        <v>434</v>
      </c>
      <c r="C100" s="1" t="s">
        <v>418</v>
      </c>
      <c r="D100" s="113">
        <v>0</v>
      </c>
      <c r="E100" s="559">
        <v>0</v>
      </c>
    </row>
    <row r="101" spans="1:5" x14ac:dyDescent="0.35">
      <c r="A101" s="1" t="s">
        <v>200</v>
      </c>
      <c r="B101" t="s">
        <v>435</v>
      </c>
      <c r="C101" s="1" t="s">
        <v>418</v>
      </c>
      <c r="D101" s="113">
        <v>0</v>
      </c>
      <c r="E101" s="559">
        <v>0</v>
      </c>
    </row>
    <row r="102" spans="1:5" x14ac:dyDescent="0.35">
      <c r="A102" s="1" t="s">
        <v>202</v>
      </c>
      <c r="B102" t="s">
        <v>436</v>
      </c>
      <c r="C102" s="1" t="s">
        <v>418</v>
      </c>
      <c r="D102" s="113">
        <v>0</v>
      </c>
      <c r="E102" s="559">
        <v>0</v>
      </c>
    </row>
    <row r="103" spans="1:5" x14ac:dyDescent="0.35">
      <c r="A103" s="1" t="s">
        <v>204</v>
      </c>
      <c r="B103" t="s">
        <v>437</v>
      </c>
      <c r="C103" s="1" t="s">
        <v>418</v>
      </c>
      <c r="D103" s="113">
        <v>0</v>
      </c>
      <c r="E103" s="559">
        <v>0</v>
      </c>
    </row>
    <row r="104" spans="1:5" x14ac:dyDescent="0.35">
      <c r="A104" s="1" t="s">
        <v>206</v>
      </c>
      <c r="B104" t="s">
        <v>438</v>
      </c>
      <c r="C104" s="1" t="s">
        <v>418</v>
      </c>
      <c r="D104" s="113">
        <v>0</v>
      </c>
      <c r="E104" s="559">
        <v>0</v>
      </c>
    </row>
    <row r="105" spans="1:5" x14ac:dyDescent="0.35">
      <c r="A105" s="1" t="s">
        <v>208</v>
      </c>
      <c r="B105" t="s">
        <v>439</v>
      </c>
      <c r="C105" s="1" t="s">
        <v>418</v>
      </c>
      <c r="D105" s="113">
        <v>0</v>
      </c>
      <c r="E105" s="559">
        <v>0</v>
      </c>
    </row>
    <row r="106" spans="1:5" x14ac:dyDescent="0.35">
      <c r="A106" s="1" t="s">
        <v>96</v>
      </c>
      <c r="B106" t="s">
        <v>440</v>
      </c>
      <c r="C106" s="1" t="s">
        <v>418</v>
      </c>
      <c r="D106" s="113">
        <v>0</v>
      </c>
      <c r="E106" s="559">
        <v>15.89</v>
      </c>
    </row>
    <row r="107" spans="1:5" x14ac:dyDescent="0.35">
      <c r="A107" s="1" t="s">
        <v>441</v>
      </c>
      <c r="B107" t="s">
        <v>442</v>
      </c>
      <c r="C107" s="1" t="s">
        <v>418</v>
      </c>
      <c r="D107" s="113">
        <v>0</v>
      </c>
      <c r="E107" s="559">
        <v>0</v>
      </c>
    </row>
    <row r="108" spans="1:5" x14ac:dyDescent="0.35">
      <c r="A108" s="1" t="s">
        <v>210</v>
      </c>
      <c r="B108" t="s">
        <v>443</v>
      </c>
      <c r="C108" s="1" t="s">
        <v>418</v>
      </c>
      <c r="D108" s="113">
        <v>0</v>
      </c>
      <c r="E108" s="559">
        <v>0</v>
      </c>
    </row>
    <row r="109" spans="1:5" x14ac:dyDescent="0.35">
      <c r="A109" s="1" t="s">
        <v>212</v>
      </c>
      <c r="B109" t="s">
        <v>444</v>
      </c>
      <c r="C109" s="1" t="s">
        <v>418</v>
      </c>
      <c r="D109" s="113">
        <v>0</v>
      </c>
      <c r="E109" s="559">
        <v>0</v>
      </c>
    </row>
    <row r="110" spans="1:5" x14ac:dyDescent="0.35">
      <c r="A110" s="1" t="s">
        <v>445</v>
      </c>
      <c r="B110" t="s">
        <v>446</v>
      </c>
      <c r="C110" s="1" t="s">
        <v>418</v>
      </c>
      <c r="D110" s="113">
        <v>0</v>
      </c>
      <c r="E110" s="559">
        <v>0</v>
      </c>
    </row>
    <row r="111" spans="1:5" x14ac:dyDescent="0.35">
      <c r="A111" s="1" t="s">
        <v>447</v>
      </c>
      <c r="B111" t="s">
        <v>448</v>
      </c>
      <c r="C111" s="1" t="s">
        <v>418</v>
      </c>
      <c r="D111" s="113">
        <v>0</v>
      </c>
      <c r="E111" s="559">
        <v>0</v>
      </c>
    </row>
    <row r="112" spans="1:5" x14ac:dyDescent="0.35">
      <c r="A112" s="1" t="s">
        <v>214</v>
      </c>
      <c r="B112" t="s">
        <v>449</v>
      </c>
      <c r="C112" s="1" t="s">
        <v>418</v>
      </c>
      <c r="D112" s="113">
        <v>0</v>
      </c>
      <c r="E112" s="55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8"/>
  <dimension ref="A1:Y211"/>
  <sheetViews>
    <sheetView showGridLines="0" tabSelected="1" zoomScaleNormal="100" zoomScaleSheetLayoutView="100" workbookViewId="0">
      <selection activeCell="E26" sqref="E26"/>
    </sheetView>
  </sheetViews>
  <sheetFormatPr defaultColWidth="8.7265625" defaultRowHeight="12.5" x14ac:dyDescent="0.35"/>
  <cols>
    <col min="1" max="1" width="8.453125" style="125" customWidth="1"/>
    <col min="2" max="2" width="17.81640625" style="125" customWidth="1"/>
    <col min="3" max="3" width="12.7265625" style="125" customWidth="1"/>
    <col min="4" max="4" width="6.26953125" style="126" customWidth="1"/>
    <col min="5" max="5" width="15.453125" style="125" customWidth="1"/>
    <col min="6" max="6" width="3.453125" style="127" customWidth="1"/>
    <col min="7" max="7" width="7.81640625" style="125" customWidth="1"/>
    <col min="8" max="8" width="9" style="125" customWidth="1"/>
    <col min="9" max="9" width="7.81640625" style="127" customWidth="1"/>
    <col min="10" max="10" width="14.1796875" style="127" bestFit="1" customWidth="1"/>
    <col min="11" max="11" width="12" style="125" customWidth="1"/>
    <col min="12" max="12" width="4.1796875" style="125" customWidth="1"/>
    <col min="13" max="16384" width="8.7265625" style="125"/>
  </cols>
  <sheetData>
    <row r="1" spans="1:25" ht="14.15" customHeight="1" x14ac:dyDescent="0.35">
      <c r="A1" s="291"/>
      <c r="B1" s="291"/>
      <c r="G1" s="128"/>
      <c r="H1" s="335"/>
      <c r="I1" s="336"/>
      <c r="J1" s="336"/>
      <c r="K1" s="336"/>
      <c r="L1" s="124"/>
    </row>
    <row r="2" spans="1:25" ht="14.15" customHeight="1" x14ac:dyDescent="0.35">
      <c r="G2" s="128"/>
      <c r="H2" s="129" t="s">
        <v>1137</v>
      </c>
      <c r="I2" s="130"/>
      <c r="J2" s="130"/>
      <c r="K2" s="130"/>
      <c r="L2" s="128"/>
      <c r="Q2" s="130"/>
    </row>
    <row r="3" spans="1:25" ht="14.15" customHeight="1" x14ac:dyDescent="0.35">
      <c r="G3" s="128"/>
      <c r="H3" s="131"/>
      <c r="I3" s="125"/>
      <c r="J3" s="125"/>
      <c r="K3" s="130"/>
      <c r="L3" s="128"/>
      <c r="Q3" s="130"/>
    </row>
    <row r="4" spans="1:25" ht="14.15" customHeight="1" x14ac:dyDescent="0.35">
      <c r="G4" s="128"/>
      <c r="H4" s="131"/>
      <c r="I4" s="125"/>
      <c r="J4" s="125"/>
      <c r="K4" s="130"/>
      <c r="L4" s="128"/>
      <c r="Q4" s="130"/>
    </row>
    <row r="5" spans="1:25" ht="14.15" customHeight="1" x14ac:dyDescent="0.35">
      <c r="G5" s="128"/>
      <c r="H5" s="131"/>
      <c r="I5" s="125"/>
      <c r="J5" s="125"/>
      <c r="K5" s="130"/>
      <c r="L5" s="128"/>
      <c r="O5" s="130"/>
    </row>
    <row r="6" spans="1:25" ht="14.15" customHeight="1" x14ac:dyDescent="0.35">
      <c r="C6" s="126"/>
      <c r="D6" s="391"/>
      <c r="G6" s="128"/>
      <c r="H6" s="131"/>
      <c r="K6" s="130"/>
      <c r="L6" s="128"/>
    </row>
    <row r="7" spans="1:25" ht="14.15" customHeight="1" x14ac:dyDescent="0.35">
      <c r="A7" s="133"/>
      <c r="B7" s="133"/>
      <c r="C7" s="134"/>
      <c r="D7" s="392"/>
      <c r="E7" s="133"/>
      <c r="F7" s="135"/>
      <c r="G7" s="136"/>
      <c r="H7" s="137" t="s">
        <v>1204</v>
      </c>
      <c r="I7" s="135"/>
      <c r="J7" s="135"/>
      <c r="K7" s="133"/>
      <c r="L7" s="136"/>
    </row>
    <row r="8" spans="1:25" x14ac:dyDescent="0.35">
      <c r="A8" s="578" t="s">
        <v>470</v>
      </c>
      <c r="B8" s="579"/>
      <c r="C8" s="565" t="s">
        <v>471</v>
      </c>
      <c r="D8" s="580"/>
      <c r="E8" s="578" t="s">
        <v>472</v>
      </c>
      <c r="F8" s="579"/>
      <c r="G8" s="578" t="s">
        <v>473</v>
      </c>
      <c r="H8" s="581"/>
      <c r="I8" s="581"/>
      <c r="J8" s="150"/>
      <c r="K8" s="565" t="s">
        <v>474</v>
      </c>
      <c r="L8" s="568"/>
    </row>
    <row r="9" spans="1:25" ht="14.5" customHeight="1" x14ac:dyDescent="0.35">
      <c r="A9" s="563" t="s">
        <v>475</v>
      </c>
      <c r="B9" s="564"/>
      <c r="C9" s="572">
        <v>45479</v>
      </c>
      <c r="D9" s="573"/>
      <c r="E9" s="574"/>
      <c r="F9" s="574"/>
      <c r="G9" s="575"/>
      <c r="H9" s="576"/>
      <c r="I9" s="576"/>
      <c r="J9" s="577"/>
      <c r="K9" s="563" t="s">
        <v>246</v>
      </c>
      <c r="L9" s="564"/>
    </row>
    <row r="10" spans="1:25" x14ac:dyDescent="0.35">
      <c r="A10" s="565" t="s">
        <v>476</v>
      </c>
      <c r="B10" s="566"/>
      <c r="C10" s="566"/>
      <c r="D10" s="567"/>
      <c r="E10" s="566"/>
      <c r="F10" s="566"/>
      <c r="G10" s="566"/>
      <c r="H10" s="566"/>
      <c r="I10" s="566"/>
      <c r="J10" s="566"/>
      <c r="K10" s="566"/>
      <c r="L10" s="568"/>
    </row>
    <row r="11" spans="1:25" ht="14" x14ac:dyDescent="0.35">
      <c r="A11" s="205" t="s">
        <v>272</v>
      </c>
      <c r="B11" s="133"/>
      <c r="C11" s="133"/>
      <c r="D11" s="133"/>
      <c r="E11" s="133"/>
      <c r="F11" s="133"/>
      <c r="G11" s="133"/>
      <c r="H11" s="133"/>
      <c r="I11" s="133"/>
      <c r="J11" s="133"/>
      <c r="K11" s="133"/>
      <c r="L11" s="136"/>
    </row>
    <row r="12" spans="1:25" ht="31.5" customHeight="1" x14ac:dyDescent="0.35">
      <c r="A12" s="142" t="s">
        <v>477</v>
      </c>
      <c r="B12" s="569" t="s">
        <v>478</v>
      </c>
      <c r="C12" s="570"/>
      <c r="D12" s="570"/>
      <c r="E12" s="571"/>
      <c r="F12" s="143" t="s">
        <v>479</v>
      </c>
      <c r="G12" s="142" t="s">
        <v>480</v>
      </c>
      <c r="H12" s="142" t="s">
        <v>481</v>
      </c>
      <c r="I12" s="142" t="s">
        <v>482</v>
      </c>
      <c r="J12" s="142" t="s">
        <v>1190</v>
      </c>
      <c r="K12" s="142" t="s">
        <v>483</v>
      </c>
      <c r="L12" s="142" t="s">
        <v>484</v>
      </c>
    </row>
    <row r="13" spans="1:25" ht="13" customHeight="1" x14ac:dyDescent="0.35">
      <c r="A13" s="316"/>
      <c r="B13" s="257" t="s">
        <v>502</v>
      </c>
      <c r="C13" s="317"/>
      <c r="D13" s="317"/>
      <c r="E13" s="318"/>
      <c r="F13" s="319"/>
      <c r="G13" s="320"/>
      <c r="H13" s="403"/>
      <c r="I13" s="320"/>
      <c r="J13" s="394"/>
      <c r="K13" s="403"/>
      <c r="L13" s="405"/>
      <c r="O13" s="130"/>
    </row>
    <row r="14" spans="1:25" ht="14.5" x14ac:dyDescent="0.35">
      <c r="A14" s="310" t="str">
        <f t="array" ref="A14:A15">INDEX(salesHistory[sku], SMALL(IF((salesHistory[foc_qty]&lt;&gt;0)*(salesHistory[order_no]=60), ROW(salesHistory[qty])-MIN(ROW(salesHistory[qty]))+1), ROW(A1:A2)))</f>
        <v>P06020</v>
      </c>
      <c r="B14" s="844" t="str">
        <f>INDEX(bhpc_data[description],MATCH($A14,bhpc_data[sku],0))</f>
        <v>BHPC PRESTIGE KNIGHT 100ML EDP MEN</v>
      </c>
      <c r="C14" s="312"/>
      <c r="D14" s="312"/>
      <c r="E14" s="313"/>
      <c r="F14" s="314" t="s">
        <v>960</v>
      </c>
      <c r="G14" s="314">
        <f t="array" ref="G14:G15">INDEX(salesHistory[foc_qty], SMALL(IF((salesHistory[foc_qty]&lt;&gt;0)*(salesHistory[order_no]=60), ROW(salesHistory[qty])-MIN(ROW(salesHistory[qty]))+1), ROW(A1:A2)))</f>
        <v>24</v>
      </c>
      <c r="H14" s="404">
        <v>0</v>
      </c>
      <c r="I14" s="314">
        <f>CEILING(G14/24,1)</f>
        <v>1</v>
      </c>
      <c r="J14" s="395">
        <f>INDEX(bhpc_data[ean],MATCH(A14,bhpc_data[sku],0))</f>
        <v>6291107168852</v>
      </c>
      <c r="K14" s="404">
        <f t="shared" ref="K14:K15" si="0">G14*H14</f>
        <v>0</v>
      </c>
      <c r="L14" s="390" t="s">
        <v>268</v>
      </c>
      <c r="O14" s="127"/>
      <c r="T14" s="61"/>
      <c r="U14" s="61"/>
      <c r="V14" s="146"/>
      <c r="W14" s="61"/>
      <c r="X14" s="146"/>
      <c r="Y14" s="61"/>
    </row>
    <row r="15" spans="1:25" ht="14.5" x14ac:dyDescent="0.35">
      <c r="A15" s="310" t="str">
        <v>P06021</v>
      </c>
      <c r="B15" s="844" t="str">
        <f>INDEX(bhpc_data[description],MATCH($A15,bhpc_data[sku],0))</f>
        <v>BHPC PRESTIGE ROYALE 100ML EDP MEN</v>
      </c>
      <c r="C15" s="312"/>
      <c r="D15" s="312"/>
      <c r="E15" s="313"/>
      <c r="F15" s="314" t="s">
        <v>960</v>
      </c>
      <c r="G15" s="314">
        <v>24</v>
      </c>
      <c r="H15" s="404">
        <v>0</v>
      </c>
      <c r="I15" s="314">
        <f>CEILING(G15/24,1)</f>
        <v>1</v>
      </c>
      <c r="J15" s="395">
        <f>INDEX(bhpc_data[ean],MATCH(A15,bhpc_data[sku],0))</f>
        <v>6291107168869</v>
      </c>
      <c r="K15" s="404">
        <f t="shared" si="0"/>
        <v>0</v>
      </c>
      <c r="L15" s="390" t="s">
        <v>268</v>
      </c>
      <c r="O15" s="130"/>
    </row>
    <row r="16" spans="1:25" ht="14.5" x14ac:dyDescent="0.35">
      <c r="A16" s="310"/>
      <c r="B16" s="844"/>
      <c r="C16" s="312"/>
      <c r="D16" s="312"/>
      <c r="E16" s="313"/>
      <c r="F16" s="314"/>
      <c r="G16" s="314"/>
      <c r="H16" s="404"/>
      <c r="I16" s="314"/>
      <c r="J16" s="395"/>
      <c r="K16" s="404"/>
      <c r="L16" s="390"/>
      <c r="O16" s="127"/>
      <c r="U16" s="61"/>
      <c r="V16" s="146"/>
      <c r="W16" s="61"/>
      <c r="X16" s="146"/>
      <c r="Y16" s="61"/>
    </row>
    <row r="17" spans="1:25" ht="14.5" x14ac:dyDescent="0.35">
      <c r="A17" s="310"/>
      <c r="B17" s="844"/>
      <c r="C17" s="344"/>
      <c r="D17" s="122"/>
      <c r="E17" s="313"/>
      <c r="F17" s="314"/>
      <c r="G17" s="314"/>
      <c r="H17" s="404"/>
      <c r="I17" s="314"/>
      <c r="J17" s="395"/>
      <c r="K17" s="404"/>
      <c r="L17" s="390"/>
      <c r="O17" s="130"/>
    </row>
    <row r="18" spans="1:25" ht="14.5" x14ac:dyDescent="0.35">
      <c r="A18" s="310"/>
      <c r="B18" s="844"/>
      <c r="C18" s="344" t="s">
        <v>1098</v>
      </c>
      <c r="D18" s="122" t="str">
        <f>CONCATENATE(plModel1!$A$60," Kg.")</f>
        <v>157,6 Kg.</v>
      </c>
      <c r="E18" s="313"/>
      <c r="F18" s="314"/>
      <c r="G18" s="314"/>
      <c r="H18" s="404"/>
      <c r="I18" s="314"/>
      <c r="J18" s="395"/>
      <c r="K18" s="404"/>
      <c r="L18" s="390"/>
      <c r="O18" s="127"/>
      <c r="U18" s="61"/>
      <c r="V18" s="146"/>
      <c r="W18" s="61"/>
      <c r="X18" s="146"/>
      <c r="Y18" s="61"/>
    </row>
    <row r="19" spans="1:25" ht="14.5" x14ac:dyDescent="0.35">
      <c r="A19" s="310"/>
      <c r="B19" s="844"/>
      <c r="C19" s="344" t="s">
        <v>1099</v>
      </c>
      <c r="D19" s="347" t="str">
        <f>CONCATENATE(plModel1!$C$60," Kg.")</f>
        <v>174,9 Kg.</v>
      </c>
      <c r="E19" s="313"/>
      <c r="F19" s="314"/>
      <c r="G19" s="314"/>
      <c r="H19" s="404"/>
      <c r="I19" s="314"/>
      <c r="J19" s="395"/>
      <c r="K19" s="404"/>
      <c r="L19" s="390"/>
    </row>
    <row r="20" spans="1:25" ht="14.5" x14ac:dyDescent="0.35">
      <c r="A20" s="310"/>
      <c r="B20" s="844"/>
      <c r="C20" s="344" t="s">
        <v>1100</v>
      </c>
      <c r="D20" s="347">
        <f>plModel1!$C$58</f>
        <v>37</v>
      </c>
      <c r="E20" s="313"/>
      <c r="F20" s="314"/>
      <c r="G20" s="314"/>
      <c r="H20" s="404"/>
      <c r="I20" s="314"/>
      <c r="J20" s="395"/>
      <c r="K20" s="404"/>
      <c r="L20" s="390"/>
    </row>
    <row r="21" spans="1:25" ht="14.5" x14ac:dyDescent="0.35">
      <c r="A21" s="310"/>
      <c r="B21" s="844"/>
      <c r="C21" s="344" t="s">
        <v>1101</v>
      </c>
      <c r="D21" s="393">
        <f>plModel1!$E$58</f>
        <v>1</v>
      </c>
      <c r="E21" s="313"/>
      <c r="F21" s="314"/>
      <c r="G21" s="314"/>
      <c r="H21" s="404"/>
      <c r="I21" s="314"/>
      <c r="J21" s="395"/>
      <c r="K21" s="404"/>
      <c r="L21" s="390"/>
    </row>
    <row r="22" spans="1:25" ht="14.5" x14ac:dyDescent="0.35">
      <c r="A22" s="310"/>
      <c r="B22" s="844"/>
      <c r="C22" s="344" t="s">
        <v>1097</v>
      </c>
      <c r="D22" s="347" t="str">
        <f>plModel1!$G$58</f>
        <v>80x120</v>
      </c>
      <c r="E22" s="313"/>
      <c r="F22" s="314"/>
      <c r="G22" s="314"/>
      <c r="H22" s="404"/>
      <c r="I22" s="314"/>
      <c r="J22" s="395"/>
      <c r="K22" s="404"/>
      <c r="L22" s="390"/>
    </row>
    <row r="23" spans="1:25" ht="14.5" x14ac:dyDescent="0.35">
      <c r="A23" s="310"/>
      <c r="B23" s="844"/>
      <c r="C23" s="344"/>
      <c r="D23" s="122"/>
      <c r="E23" s="313"/>
      <c r="F23" s="314"/>
      <c r="G23" s="314"/>
      <c r="H23" s="404"/>
      <c r="I23" s="314"/>
      <c r="J23" s="395"/>
      <c r="K23" s="404"/>
      <c r="L23" s="390"/>
    </row>
    <row r="24" spans="1:25" ht="14.5" x14ac:dyDescent="0.35">
      <c r="A24" s="310"/>
      <c r="B24" s="844"/>
      <c r="C24" s="344"/>
      <c r="D24" s="347"/>
      <c r="E24" s="313"/>
      <c r="F24" s="314"/>
      <c r="G24" s="314"/>
      <c r="H24" s="404"/>
      <c r="I24" s="314"/>
      <c r="J24" s="395"/>
      <c r="K24" s="404"/>
      <c r="L24" s="390"/>
    </row>
    <row r="25" spans="1:25" ht="14.5" x14ac:dyDescent="0.35">
      <c r="A25" s="310"/>
      <c r="B25" s="844"/>
      <c r="C25" s="344"/>
      <c r="D25" s="122"/>
      <c r="E25" s="313"/>
      <c r="F25" s="314"/>
      <c r="G25" s="314"/>
      <c r="H25" s="404"/>
      <c r="I25" s="314"/>
      <c r="J25" s="395"/>
      <c r="K25" s="404"/>
      <c r="L25" s="390"/>
    </row>
    <row r="26" spans="1:25" ht="14.5" x14ac:dyDescent="0.35">
      <c r="A26" s="310"/>
      <c r="B26" s="844"/>
      <c r="C26" s="344"/>
      <c r="D26" s="347"/>
      <c r="E26" s="313"/>
      <c r="F26" s="314"/>
      <c r="G26" s="314"/>
      <c r="H26" s="404"/>
      <c r="I26" s="314"/>
      <c r="J26" s="395"/>
      <c r="K26" s="404"/>
      <c r="L26" s="390"/>
    </row>
    <row r="27" spans="1:25" ht="14.5" x14ac:dyDescent="0.35">
      <c r="A27" s="310"/>
      <c r="B27" s="844"/>
      <c r="C27" s="344"/>
      <c r="D27" s="122"/>
      <c r="E27" s="313"/>
      <c r="F27" s="314"/>
      <c r="G27" s="314"/>
      <c r="H27" s="404"/>
      <c r="I27" s="314"/>
      <c r="J27" s="395"/>
      <c r="K27" s="404"/>
      <c r="L27" s="390"/>
    </row>
    <row r="28" spans="1:25" ht="14.5" x14ac:dyDescent="0.35">
      <c r="A28" s="310"/>
      <c r="B28" s="844"/>
      <c r="C28" s="344"/>
      <c r="D28" s="122"/>
      <c r="E28" s="313"/>
      <c r="F28" s="314"/>
      <c r="G28" s="314"/>
      <c r="H28" s="404"/>
      <c r="I28" s="314"/>
      <c r="J28" s="395"/>
      <c r="K28" s="404"/>
      <c r="L28" s="390"/>
    </row>
    <row r="29" spans="1:25" ht="14.5" x14ac:dyDescent="0.35">
      <c r="A29" s="310"/>
      <c r="B29" s="844"/>
      <c r="C29" s="344"/>
      <c r="D29" s="122"/>
      <c r="E29" s="313"/>
      <c r="F29" s="314"/>
      <c r="G29" s="314"/>
      <c r="H29" s="404"/>
      <c r="I29" s="314"/>
      <c r="J29" s="395"/>
      <c r="K29" s="404"/>
      <c r="L29" s="390"/>
    </row>
    <row r="30" spans="1:25" ht="14.5" x14ac:dyDescent="0.35">
      <c r="A30" s="310"/>
      <c r="B30" s="844"/>
      <c r="C30" s="344"/>
      <c r="D30" s="347"/>
      <c r="E30" s="313"/>
      <c r="F30" s="314"/>
      <c r="G30" s="314"/>
      <c r="H30" s="404"/>
      <c r="I30" s="314"/>
      <c r="J30" s="395"/>
      <c r="K30" s="404"/>
      <c r="L30" s="390"/>
    </row>
    <row r="31" spans="1:25" ht="14.5" x14ac:dyDescent="0.35">
      <c r="A31" s="310"/>
      <c r="B31" s="844"/>
      <c r="C31" s="344"/>
      <c r="D31" s="347"/>
      <c r="E31" s="313"/>
      <c r="F31" s="314"/>
      <c r="G31" s="314"/>
      <c r="H31" s="404"/>
      <c r="I31" s="314"/>
      <c r="J31" s="395"/>
      <c r="K31" s="404"/>
      <c r="L31" s="390"/>
    </row>
    <row r="32" spans="1:25" ht="14.5" x14ac:dyDescent="0.35">
      <c r="A32" s="310"/>
      <c r="B32" s="844"/>
      <c r="C32" s="344"/>
      <c r="D32" s="393"/>
      <c r="E32" s="313"/>
      <c r="F32" s="314"/>
      <c r="G32" s="314"/>
      <c r="H32" s="404"/>
      <c r="I32" s="314"/>
      <c r="J32" s="395"/>
      <c r="K32" s="404"/>
      <c r="L32" s="390"/>
    </row>
    <row r="33" spans="1:12" ht="14.5" x14ac:dyDescent="0.35">
      <c r="A33" s="310"/>
      <c r="B33" s="845"/>
      <c r="C33" s="344"/>
      <c r="D33" s="347"/>
      <c r="E33" s="313"/>
      <c r="F33" s="314"/>
      <c r="G33" s="314"/>
      <c r="H33" s="404"/>
      <c r="I33" s="314"/>
      <c r="J33" s="395"/>
      <c r="K33" s="404"/>
      <c r="L33" s="390"/>
    </row>
    <row r="34" spans="1:12" ht="14.5" x14ac:dyDescent="0.35">
      <c r="A34" s="310"/>
      <c r="B34" s="845"/>
      <c r="C34" s="344"/>
      <c r="D34" s="347"/>
      <c r="E34" s="313"/>
      <c r="F34" s="314"/>
      <c r="G34" s="314"/>
      <c r="H34" s="404"/>
      <c r="I34" s="314"/>
      <c r="J34" s="395"/>
      <c r="K34" s="404"/>
      <c r="L34" s="390"/>
    </row>
    <row r="35" spans="1:12" ht="14.5" x14ac:dyDescent="0.35">
      <c r="A35" s="310"/>
      <c r="B35" s="845"/>
      <c r="C35" s="344"/>
      <c r="D35" s="122"/>
      <c r="E35" s="313"/>
      <c r="F35" s="314"/>
      <c r="G35" s="314"/>
      <c r="H35" s="404"/>
      <c r="I35" s="314"/>
      <c r="J35" s="395"/>
      <c r="K35" s="404"/>
      <c r="L35" s="390"/>
    </row>
    <row r="36" spans="1:12" ht="14.5" x14ac:dyDescent="0.35">
      <c r="A36" s="310"/>
      <c r="B36" s="845"/>
      <c r="C36" s="344"/>
      <c r="D36" s="393"/>
      <c r="E36" s="313"/>
      <c r="F36" s="314"/>
      <c r="G36" s="314"/>
      <c r="H36" s="404"/>
      <c r="I36" s="314"/>
      <c r="J36" s="395"/>
      <c r="K36" s="404"/>
      <c r="L36" s="390"/>
    </row>
    <row r="37" spans="1:12" ht="14.5" x14ac:dyDescent="0.35">
      <c r="A37" s="310"/>
      <c r="B37" s="845"/>
      <c r="C37" s="344"/>
      <c r="D37" s="122"/>
      <c r="E37" s="313"/>
      <c r="F37" s="314"/>
      <c r="G37" s="314"/>
      <c r="H37" s="404"/>
      <c r="I37" s="314"/>
      <c r="J37" s="395"/>
      <c r="K37" s="404"/>
      <c r="L37" s="390"/>
    </row>
    <row r="38" spans="1:12" ht="14.5" x14ac:dyDescent="0.35">
      <c r="A38" s="310"/>
      <c r="B38" s="844"/>
      <c r="C38" s="344"/>
      <c r="D38" s="122"/>
      <c r="E38" s="313"/>
      <c r="F38" s="314"/>
      <c r="G38" s="314"/>
      <c r="H38" s="404"/>
      <c r="I38" s="314"/>
      <c r="J38" s="395"/>
      <c r="K38" s="404"/>
      <c r="L38" s="390"/>
    </row>
    <row r="39" spans="1:12" ht="14.5" x14ac:dyDescent="0.35">
      <c r="A39" s="310"/>
      <c r="B39" s="844"/>
      <c r="C39" s="344"/>
      <c r="D39" s="393"/>
      <c r="E39" s="313"/>
      <c r="F39" s="314"/>
      <c r="G39" s="314"/>
      <c r="H39" s="404"/>
      <c r="I39" s="314"/>
      <c r="J39" s="395"/>
      <c r="K39" s="404"/>
      <c r="L39" s="390"/>
    </row>
    <row r="40" spans="1:12" ht="14.5" x14ac:dyDescent="0.35">
      <c r="A40" s="310"/>
      <c r="B40" s="844"/>
      <c r="C40" s="344"/>
      <c r="D40" s="393"/>
      <c r="E40" s="313"/>
      <c r="F40" s="314"/>
      <c r="G40" s="314"/>
      <c r="H40" s="404"/>
      <c r="I40" s="314"/>
      <c r="J40" s="395"/>
      <c r="K40" s="404"/>
      <c r="L40" s="390"/>
    </row>
    <row r="41" spans="1:12" ht="14.5" x14ac:dyDescent="0.35">
      <c r="A41" s="310"/>
      <c r="B41" s="844"/>
      <c r="C41" s="344"/>
      <c r="D41" s="122"/>
      <c r="E41" s="313"/>
      <c r="F41" s="314"/>
      <c r="G41" s="314"/>
      <c r="H41" s="404"/>
      <c r="I41" s="314"/>
      <c r="J41" s="395"/>
      <c r="K41" s="404"/>
      <c r="L41" s="390"/>
    </row>
    <row r="42" spans="1:12" ht="14.5" x14ac:dyDescent="0.35">
      <c r="A42" s="310"/>
      <c r="B42" s="844"/>
      <c r="C42" s="344"/>
      <c r="D42" s="122"/>
      <c r="E42" s="313"/>
      <c r="F42" s="314"/>
      <c r="G42" s="314"/>
      <c r="H42" s="404"/>
      <c r="I42" s="314"/>
      <c r="J42" s="395"/>
      <c r="K42" s="404"/>
      <c r="L42" s="390"/>
    </row>
    <row r="43" spans="1:12" ht="14.5" x14ac:dyDescent="0.35">
      <c r="A43" s="310"/>
      <c r="B43" s="844"/>
      <c r="C43" s="344"/>
      <c r="D43" s="393"/>
      <c r="E43" s="313"/>
      <c r="F43" s="314"/>
      <c r="G43" s="314"/>
      <c r="H43" s="404"/>
      <c r="I43" s="314"/>
      <c r="J43" s="395"/>
      <c r="K43" s="404"/>
      <c r="L43" s="390"/>
    </row>
    <row r="44" spans="1:12" ht="14.5" x14ac:dyDescent="0.35">
      <c r="A44" s="310"/>
      <c r="B44" s="844"/>
      <c r="C44" s="344"/>
      <c r="D44" s="347"/>
      <c r="E44" s="313"/>
      <c r="F44" s="314"/>
      <c r="G44" s="314"/>
      <c r="H44" s="404"/>
      <c r="I44" s="314"/>
      <c r="J44" s="395"/>
      <c r="K44" s="404"/>
      <c r="L44" s="390"/>
    </row>
    <row r="45" spans="1:12" ht="14.5" x14ac:dyDescent="0.35">
      <c r="A45" s="310"/>
      <c r="B45" s="844"/>
      <c r="C45" s="344"/>
      <c r="D45" s="347"/>
      <c r="E45" s="313"/>
      <c r="F45" s="314"/>
      <c r="G45" s="314"/>
      <c r="H45" s="404"/>
      <c r="I45" s="314"/>
      <c r="J45" s="395"/>
      <c r="K45" s="404"/>
      <c r="L45" s="390"/>
    </row>
    <row r="46" spans="1:12" ht="14.5" x14ac:dyDescent="0.35">
      <c r="A46" s="310"/>
      <c r="B46" s="844"/>
      <c r="C46" s="344"/>
      <c r="D46" s="122"/>
      <c r="E46" s="313"/>
      <c r="F46" s="314"/>
      <c r="G46" s="314"/>
      <c r="H46" s="404"/>
      <c r="I46" s="314"/>
      <c r="J46" s="395"/>
      <c r="K46" s="404"/>
      <c r="L46" s="390"/>
    </row>
    <row r="47" spans="1:12" ht="14.5" x14ac:dyDescent="0.35">
      <c r="A47" s="310"/>
      <c r="B47" s="844"/>
      <c r="C47" s="344"/>
      <c r="D47" s="393"/>
      <c r="E47" s="313"/>
      <c r="F47" s="314"/>
      <c r="G47" s="314"/>
      <c r="H47" s="404"/>
      <c r="I47" s="314"/>
      <c r="J47" s="395"/>
      <c r="K47" s="404"/>
      <c r="L47" s="390"/>
    </row>
    <row r="48" spans="1:12" ht="14.5" x14ac:dyDescent="0.35">
      <c r="A48" s="310"/>
      <c r="B48" s="844"/>
      <c r="C48" s="344"/>
      <c r="D48" s="122"/>
      <c r="E48" s="313"/>
      <c r="F48" s="314"/>
      <c r="G48" s="314"/>
      <c r="H48" s="404"/>
      <c r="I48" s="314"/>
      <c r="J48" s="395"/>
      <c r="K48" s="404"/>
      <c r="L48" s="390"/>
    </row>
    <row r="49" spans="1:15" ht="14.5" x14ac:dyDescent="0.35">
      <c r="A49" s="310"/>
      <c r="B49" s="844"/>
      <c r="C49" s="344"/>
      <c r="D49" s="122"/>
      <c r="E49" s="313"/>
      <c r="F49" s="314"/>
      <c r="G49" s="314"/>
      <c r="H49" s="404"/>
      <c r="I49" s="314"/>
      <c r="J49" s="395"/>
      <c r="K49" s="404"/>
      <c r="L49" s="390"/>
    </row>
    <row r="50" spans="1:15" ht="14.5" x14ac:dyDescent="0.35">
      <c r="A50" s="310"/>
      <c r="B50" s="844"/>
      <c r="C50" s="344"/>
      <c r="D50" s="393"/>
      <c r="E50" s="313"/>
      <c r="F50" s="314"/>
      <c r="G50" s="314"/>
      <c r="H50" s="404"/>
      <c r="I50" s="314"/>
      <c r="J50" s="395"/>
      <c r="K50" s="404"/>
      <c r="L50" s="390"/>
    </row>
    <row r="51" spans="1:15" x14ac:dyDescent="0.35">
      <c r="A51" s="565" t="s">
        <v>1096</v>
      </c>
      <c r="B51" s="566"/>
      <c r="C51" s="566"/>
      <c r="D51" s="567"/>
      <c r="E51" s="566"/>
      <c r="F51" s="566"/>
      <c r="G51" s="568"/>
      <c r="H51" s="589" t="s">
        <v>486</v>
      </c>
      <c r="I51" s="566"/>
      <c r="J51" s="566"/>
      <c r="K51" s="589"/>
      <c r="L51" s="568"/>
    </row>
    <row r="52" spans="1:15" s="138" customFormat="1" ht="14.5" customHeight="1" x14ac:dyDescent="0.35">
      <c r="A52" s="340"/>
      <c r="B52" s="341"/>
      <c r="C52" s="400"/>
      <c r="D52" s="401"/>
      <c r="E52" s="333"/>
      <c r="F52" s="333"/>
      <c r="G52" s="334"/>
      <c r="H52" s="582">
        <f>SUM(K14:K50)</f>
        <v>0</v>
      </c>
      <c r="I52" s="583"/>
      <c r="J52" s="583"/>
      <c r="K52" s="583"/>
      <c r="L52" s="584"/>
    </row>
    <row r="53" spans="1:15" x14ac:dyDescent="0.35">
      <c r="A53" s="585" t="s">
        <v>487</v>
      </c>
      <c r="B53" s="586"/>
      <c r="C53" s="402" t="s">
        <v>488</v>
      </c>
      <c r="D53" s="565" t="s">
        <v>489</v>
      </c>
      <c r="E53" s="568"/>
      <c r="F53" s="585" t="s">
        <v>490</v>
      </c>
      <c r="G53" s="586"/>
      <c r="H53" s="587" t="s">
        <v>491</v>
      </c>
      <c r="I53" s="581"/>
      <c r="J53" s="581"/>
      <c r="K53" s="588"/>
      <c r="L53" s="579"/>
    </row>
    <row r="54" spans="1:15" ht="14.5" customHeight="1" x14ac:dyDescent="0.35">
      <c r="A54" s="590" t="s">
        <v>269</v>
      </c>
      <c r="B54" s="591"/>
      <c r="C54" s="594" t="s">
        <v>268</v>
      </c>
      <c r="D54" s="596">
        <f>H52</f>
        <v>0</v>
      </c>
      <c r="E54" s="597"/>
      <c r="F54" s="601">
        <f>IF(C54="022",22%,0)</f>
        <v>0</v>
      </c>
      <c r="G54" s="602"/>
      <c r="H54" s="605">
        <f>H52</f>
        <v>0</v>
      </c>
      <c r="I54" s="583"/>
      <c r="J54" s="583"/>
      <c r="K54" s="583"/>
      <c r="L54" s="584"/>
    </row>
    <row r="55" spans="1:15" x14ac:dyDescent="0.35">
      <c r="A55" s="590"/>
      <c r="B55" s="591"/>
      <c r="C55" s="594"/>
      <c r="D55" s="598"/>
      <c r="E55" s="597"/>
      <c r="F55" s="601"/>
      <c r="G55" s="602"/>
      <c r="H55" s="587" t="s">
        <v>492</v>
      </c>
      <c r="I55" s="581"/>
      <c r="J55" s="581"/>
      <c r="K55" s="588"/>
      <c r="L55" s="579"/>
    </row>
    <row r="56" spans="1:15" ht="14.5" customHeight="1" x14ac:dyDescent="0.35">
      <c r="A56" s="590"/>
      <c r="B56" s="591"/>
      <c r="C56" s="594"/>
      <c r="D56" s="598"/>
      <c r="E56" s="597"/>
      <c r="F56" s="601"/>
      <c r="G56" s="602"/>
      <c r="H56" s="605">
        <f>SEK54*F54</f>
        <v>0</v>
      </c>
      <c r="I56" s="583"/>
      <c r="J56" s="583"/>
      <c r="K56" s="583"/>
      <c r="L56" s="584"/>
    </row>
    <row r="57" spans="1:15" x14ac:dyDescent="0.35">
      <c r="A57" s="590"/>
      <c r="B57" s="591"/>
      <c r="C57" s="594"/>
      <c r="D57" s="598"/>
      <c r="E57" s="597"/>
      <c r="F57" s="601"/>
      <c r="G57" s="602"/>
      <c r="H57" s="587" t="s">
        <v>493</v>
      </c>
      <c r="I57" s="581"/>
      <c r="J57" s="581"/>
      <c r="K57" s="588"/>
      <c r="L57" s="579"/>
    </row>
    <row r="58" spans="1:15" ht="14.5" customHeight="1" x14ac:dyDescent="0.35">
      <c r="A58" s="592"/>
      <c r="B58" s="593"/>
      <c r="C58" s="595"/>
      <c r="D58" s="599"/>
      <c r="E58" s="600"/>
      <c r="F58" s="603"/>
      <c r="G58" s="604"/>
      <c r="H58" s="605">
        <f>H52+H56</f>
        <v>0</v>
      </c>
      <c r="I58" s="583"/>
      <c r="J58" s="583"/>
      <c r="K58" s="583"/>
      <c r="L58" s="584"/>
    </row>
    <row r="59" spans="1:15" x14ac:dyDescent="0.35">
      <c r="A59" s="609" t="s">
        <v>494</v>
      </c>
      <c r="B59" s="610"/>
      <c r="C59" s="610"/>
      <c r="D59" s="610"/>
      <c r="E59" s="610"/>
      <c r="F59" s="610"/>
      <c r="G59" s="610"/>
      <c r="H59" s="611"/>
      <c r="I59" s="610"/>
      <c r="J59" s="610"/>
      <c r="K59" s="611"/>
      <c r="L59" s="612"/>
    </row>
    <row r="60" spans="1:15" s="140" customFormat="1" ht="10.5" customHeight="1" x14ac:dyDescent="0.35">
      <c r="A60" s="613" t="s">
        <v>495</v>
      </c>
      <c r="B60" s="614"/>
      <c r="C60" s="614"/>
      <c r="D60" s="614"/>
      <c r="E60" s="614"/>
      <c r="F60" s="614"/>
      <c r="G60" s="614"/>
      <c r="H60" s="615"/>
      <c r="I60" s="614"/>
      <c r="J60" s="614"/>
      <c r="K60" s="615"/>
      <c r="L60" s="616"/>
      <c r="N60" s="125"/>
      <c r="O60" s="125"/>
    </row>
    <row r="61" spans="1:15" s="141" customFormat="1" ht="7.5" customHeight="1" x14ac:dyDescent="0.35">
      <c r="A61" s="609" t="s">
        <v>496</v>
      </c>
      <c r="B61" s="618" t="s">
        <v>497</v>
      </c>
      <c r="C61" s="618"/>
      <c r="D61" s="618"/>
      <c r="E61" s="618"/>
      <c r="F61" s="610"/>
      <c r="G61" s="610"/>
      <c r="H61" s="610"/>
      <c r="I61" s="610"/>
      <c r="J61" s="610"/>
      <c r="K61" s="610"/>
      <c r="L61" s="612"/>
      <c r="N61" s="125"/>
      <c r="O61" s="125"/>
    </row>
    <row r="62" spans="1:15" ht="14.5" customHeight="1" x14ac:dyDescent="0.35">
      <c r="A62" s="613"/>
      <c r="B62" s="619"/>
      <c r="C62" s="619"/>
      <c r="D62" s="619"/>
      <c r="E62" s="619"/>
      <c r="F62" s="614"/>
      <c r="G62" s="614"/>
      <c r="H62" s="614"/>
      <c r="I62" s="614"/>
      <c r="J62" s="614"/>
      <c r="K62" s="614"/>
      <c r="L62" s="616"/>
    </row>
    <row r="63" spans="1:15" s="141" customFormat="1" ht="10" x14ac:dyDescent="0.35">
      <c r="A63" s="606" t="s">
        <v>498</v>
      </c>
      <c r="B63" s="606"/>
      <c r="C63" s="606"/>
      <c r="D63" s="606"/>
      <c r="E63" s="606"/>
      <c r="F63" s="606"/>
      <c r="G63" s="606"/>
      <c r="H63" s="617"/>
      <c r="I63" s="606"/>
      <c r="J63" s="606"/>
      <c r="K63" s="617"/>
      <c r="L63" s="606"/>
    </row>
    <row r="64" spans="1:15" x14ac:dyDescent="0.35">
      <c r="A64" s="606" t="s">
        <v>499</v>
      </c>
      <c r="B64" s="606"/>
      <c r="C64" s="606"/>
      <c r="D64" s="606"/>
      <c r="E64" s="606"/>
      <c r="F64" s="606"/>
      <c r="G64" s="606"/>
      <c r="H64" s="617"/>
      <c r="I64" s="606"/>
      <c r="J64" s="606"/>
      <c r="K64" s="617"/>
      <c r="L64" s="606"/>
    </row>
    <row r="65" spans="1:12" x14ac:dyDescent="0.35">
      <c r="A65" s="606" t="s">
        <v>500</v>
      </c>
      <c r="B65" s="607"/>
      <c r="C65" s="607"/>
      <c r="D65" s="607"/>
      <c r="E65" s="607"/>
      <c r="F65" s="607"/>
      <c r="G65" s="607"/>
      <c r="H65" s="608"/>
      <c r="I65" s="607"/>
      <c r="J65" s="607"/>
      <c r="K65" s="608"/>
      <c r="L65" s="607"/>
    </row>
    <row r="66" spans="1:12" x14ac:dyDescent="0.35">
      <c r="H66" s="144"/>
      <c r="K66" s="144"/>
    </row>
    <row r="67" spans="1:12" x14ac:dyDescent="0.35">
      <c r="H67" s="144"/>
      <c r="K67" s="144"/>
    </row>
    <row r="68" spans="1:12" x14ac:dyDescent="0.35">
      <c r="H68" s="144"/>
      <c r="K68" s="144"/>
    </row>
    <row r="69" spans="1:12" x14ac:dyDescent="0.35">
      <c r="H69" s="144"/>
      <c r="K69" s="144"/>
    </row>
    <row r="70" spans="1:12" x14ac:dyDescent="0.35">
      <c r="H70" s="144"/>
      <c r="K70" s="144"/>
    </row>
    <row r="71" spans="1:12" x14ac:dyDescent="0.35">
      <c r="H71" s="144"/>
      <c r="K71" s="144"/>
    </row>
    <row r="72" spans="1:12" x14ac:dyDescent="0.35">
      <c r="H72" s="144"/>
      <c r="K72" s="144"/>
    </row>
    <row r="73" spans="1:12" x14ac:dyDescent="0.35">
      <c r="H73" s="144"/>
      <c r="K73" s="144"/>
    </row>
    <row r="74" spans="1:12" x14ac:dyDescent="0.35">
      <c r="H74" s="144"/>
      <c r="K74" s="144"/>
    </row>
    <row r="75" spans="1:12" x14ac:dyDescent="0.35">
      <c r="H75" s="144"/>
      <c r="K75" s="144"/>
    </row>
    <row r="76" spans="1:12" x14ac:dyDescent="0.35">
      <c r="H76" s="144"/>
      <c r="K76" s="144"/>
    </row>
    <row r="77" spans="1:12" x14ac:dyDescent="0.35">
      <c r="H77" s="144"/>
      <c r="K77" s="144"/>
    </row>
    <row r="78" spans="1:12" x14ac:dyDescent="0.35">
      <c r="H78" s="144"/>
      <c r="K78" s="144"/>
    </row>
    <row r="79" spans="1:12" x14ac:dyDescent="0.35">
      <c r="H79" s="144"/>
      <c r="K79" s="144"/>
    </row>
    <row r="80" spans="1:12" x14ac:dyDescent="0.35">
      <c r="H80" s="144"/>
      <c r="K80" s="144"/>
    </row>
    <row r="81" spans="8:11" x14ac:dyDescent="0.35">
      <c r="H81" s="144"/>
      <c r="K81" s="144"/>
    </row>
    <row r="82" spans="8:11" x14ac:dyDescent="0.35">
      <c r="H82" s="144"/>
      <c r="K82" s="144"/>
    </row>
    <row r="83" spans="8:11" x14ac:dyDescent="0.35">
      <c r="H83" s="144"/>
      <c r="K83" s="144"/>
    </row>
    <row r="84" spans="8:11" x14ac:dyDescent="0.35">
      <c r="H84" s="144"/>
      <c r="K84" s="144"/>
    </row>
    <row r="85" spans="8:11" x14ac:dyDescent="0.35">
      <c r="H85" s="144"/>
      <c r="K85" s="144"/>
    </row>
    <row r="86" spans="8:11" x14ac:dyDescent="0.35">
      <c r="H86" s="144"/>
      <c r="K86" s="144"/>
    </row>
    <row r="87" spans="8:11" x14ac:dyDescent="0.35">
      <c r="H87" s="144"/>
      <c r="K87" s="144"/>
    </row>
    <row r="88" spans="8:11" x14ac:dyDescent="0.35">
      <c r="H88" s="144"/>
      <c r="K88" s="144"/>
    </row>
    <row r="89" spans="8:11" x14ac:dyDescent="0.35">
      <c r="H89" s="144"/>
      <c r="K89" s="144"/>
    </row>
    <row r="90" spans="8:11" x14ac:dyDescent="0.35">
      <c r="H90" s="144"/>
      <c r="K90" s="144"/>
    </row>
    <row r="91" spans="8:11" x14ac:dyDescent="0.35">
      <c r="H91" s="144"/>
      <c r="K91" s="144"/>
    </row>
    <row r="92" spans="8:11" x14ac:dyDescent="0.35">
      <c r="H92" s="144"/>
      <c r="K92" s="144"/>
    </row>
    <row r="93" spans="8:11" x14ac:dyDescent="0.35">
      <c r="H93" s="144"/>
      <c r="K93" s="144"/>
    </row>
    <row r="94" spans="8:11" x14ac:dyDescent="0.35">
      <c r="H94" s="144"/>
      <c r="K94" s="144"/>
    </row>
    <row r="95" spans="8:11" x14ac:dyDescent="0.35">
      <c r="H95" s="144"/>
      <c r="K95" s="144"/>
    </row>
    <row r="96" spans="8:11" x14ac:dyDescent="0.35">
      <c r="H96" s="144"/>
      <c r="K96" s="144"/>
    </row>
    <row r="97" spans="8:11" x14ac:dyDescent="0.35">
      <c r="H97" s="144"/>
      <c r="K97" s="144"/>
    </row>
    <row r="98" spans="8:11" x14ac:dyDescent="0.35">
      <c r="H98" s="144"/>
      <c r="K98" s="144"/>
    </row>
    <row r="99" spans="8:11" x14ac:dyDescent="0.35">
      <c r="H99" s="144"/>
      <c r="K99" s="144"/>
    </row>
    <row r="100" spans="8:11" x14ac:dyDescent="0.35">
      <c r="H100" s="144"/>
      <c r="K100" s="144"/>
    </row>
    <row r="101" spans="8:11" x14ac:dyDescent="0.35">
      <c r="H101" s="144"/>
      <c r="K101" s="144"/>
    </row>
    <row r="102" spans="8:11" x14ac:dyDescent="0.35">
      <c r="H102" s="144"/>
      <c r="K102" s="144"/>
    </row>
    <row r="103" spans="8:11" x14ac:dyDescent="0.35">
      <c r="H103" s="144"/>
      <c r="K103" s="144"/>
    </row>
    <row r="104" spans="8:11" x14ac:dyDescent="0.35">
      <c r="H104" s="144"/>
      <c r="K104" s="144"/>
    </row>
    <row r="105" spans="8:11" x14ac:dyDescent="0.35">
      <c r="H105" s="144"/>
      <c r="K105" s="144"/>
    </row>
    <row r="106" spans="8:11" x14ac:dyDescent="0.35">
      <c r="H106" s="144"/>
      <c r="K106" s="144"/>
    </row>
    <row r="107" spans="8:11" x14ac:dyDescent="0.35">
      <c r="H107" s="144"/>
      <c r="K107" s="144"/>
    </row>
    <row r="108" spans="8:11" x14ac:dyDescent="0.35">
      <c r="H108" s="144"/>
      <c r="K108" s="144"/>
    </row>
    <row r="109" spans="8:11" x14ac:dyDescent="0.35">
      <c r="H109" s="144"/>
      <c r="K109" s="144"/>
    </row>
    <row r="110" spans="8:11" x14ac:dyDescent="0.35">
      <c r="H110" s="144"/>
      <c r="K110" s="144"/>
    </row>
    <row r="111" spans="8:11" x14ac:dyDescent="0.35">
      <c r="H111" s="144"/>
      <c r="K111" s="144"/>
    </row>
    <row r="112" spans="8:11" x14ac:dyDescent="0.35">
      <c r="H112" s="144"/>
      <c r="K112" s="144"/>
    </row>
    <row r="113" spans="8:11" x14ac:dyDescent="0.35">
      <c r="H113" s="144"/>
      <c r="K113" s="144"/>
    </row>
    <row r="114" spans="8:11" x14ac:dyDescent="0.35">
      <c r="H114" s="144"/>
      <c r="K114" s="144"/>
    </row>
    <row r="115" spans="8:11" x14ac:dyDescent="0.35">
      <c r="H115" s="144"/>
      <c r="K115" s="144"/>
    </row>
    <row r="116" spans="8:11" x14ac:dyDescent="0.35">
      <c r="H116" s="144"/>
      <c r="K116" s="144"/>
    </row>
    <row r="117" spans="8:11" x14ac:dyDescent="0.35">
      <c r="H117" s="144"/>
      <c r="K117" s="144"/>
    </row>
    <row r="118" spans="8:11" x14ac:dyDescent="0.35">
      <c r="H118" s="144"/>
      <c r="K118" s="144"/>
    </row>
    <row r="119" spans="8:11" x14ac:dyDescent="0.35">
      <c r="H119" s="144"/>
      <c r="K119" s="144"/>
    </row>
    <row r="120" spans="8:11" x14ac:dyDescent="0.35">
      <c r="H120" s="144"/>
      <c r="K120" s="144"/>
    </row>
    <row r="121" spans="8:11" x14ac:dyDescent="0.35">
      <c r="H121" s="144"/>
      <c r="K121" s="144"/>
    </row>
    <row r="122" spans="8:11" x14ac:dyDescent="0.35">
      <c r="H122" s="144"/>
      <c r="K122" s="144"/>
    </row>
    <row r="123" spans="8:11" x14ac:dyDescent="0.35">
      <c r="H123" s="144"/>
      <c r="K123" s="144"/>
    </row>
    <row r="124" spans="8:11" x14ac:dyDescent="0.35">
      <c r="H124" s="144"/>
      <c r="K124" s="144"/>
    </row>
    <row r="125" spans="8:11" x14ac:dyDescent="0.35">
      <c r="H125" s="144"/>
      <c r="K125" s="144"/>
    </row>
    <row r="126" spans="8:11" x14ac:dyDescent="0.35">
      <c r="H126" s="144"/>
      <c r="K126" s="144"/>
    </row>
    <row r="127" spans="8:11" x14ac:dyDescent="0.35">
      <c r="H127" s="144"/>
      <c r="K127" s="144"/>
    </row>
    <row r="128" spans="8:11" x14ac:dyDescent="0.35">
      <c r="H128" s="144"/>
      <c r="K128" s="144"/>
    </row>
    <row r="129" spans="8:11" x14ac:dyDescent="0.35">
      <c r="H129" s="144"/>
      <c r="K129" s="144"/>
    </row>
    <row r="130" spans="8:11" x14ac:dyDescent="0.35">
      <c r="H130" s="144"/>
      <c r="K130" s="144"/>
    </row>
    <row r="131" spans="8:11" x14ac:dyDescent="0.35">
      <c r="H131" s="144"/>
      <c r="K131" s="144"/>
    </row>
    <row r="132" spans="8:11" x14ac:dyDescent="0.35">
      <c r="H132" s="144"/>
      <c r="K132" s="144"/>
    </row>
    <row r="133" spans="8:11" x14ac:dyDescent="0.35">
      <c r="H133" s="144"/>
      <c r="K133" s="144"/>
    </row>
    <row r="134" spans="8:11" x14ac:dyDescent="0.35">
      <c r="H134" s="144"/>
      <c r="K134" s="144"/>
    </row>
    <row r="135" spans="8:11" x14ac:dyDescent="0.35">
      <c r="H135" s="144"/>
      <c r="K135" s="144"/>
    </row>
    <row r="136" spans="8:11" x14ac:dyDescent="0.35">
      <c r="H136" s="144"/>
      <c r="K136" s="144"/>
    </row>
    <row r="137" spans="8:11" x14ac:dyDescent="0.35">
      <c r="H137" s="144"/>
      <c r="K137" s="144"/>
    </row>
    <row r="138" spans="8:11" x14ac:dyDescent="0.35">
      <c r="H138" s="144"/>
      <c r="K138" s="144"/>
    </row>
    <row r="139" spans="8:11" x14ac:dyDescent="0.35">
      <c r="H139" s="144"/>
      <c r="K139" s="144"/>
    </row>
    <row r="140" spans="8:11" x14ac:dyDescent="0.35">
      <c r="H140" s="144"/>
      <c r="K140" s="144"/>
    </row>
    <row r="141" spans="8:11" x14ac:dyDescent="0.35">
      <c r="H141" s="144"/>
      <c r="K141" s="144"/>
    </row>
    <row r="142" spans="8:11" x14ac:dyDescent="0.35">
      <c r="H142" s="144"/>
      <c r="K142" s="144"/>
    </row>
    <row r="143" spans="8:11" x14ac:dyDescent="0.35">
      <c r="H143" s="144"/>
      <c r="K143" s="144"/>
    </row>
    <row r="144" spans="8:11" x14ac:dyDescent="0.35">
      <c r="H144" s="144"/>
      <c r="K144" s="144"/>
    </row>
    <row r="145" spans="8:11" x14ac:dyDescent="0.35">
      <c r="H145" s="144"/>
      <c r="K145" s="144"/>
    </row>
    <row r="146" spans="8:11" x14ac:dyDescent="0.35">
      <c r="H146" s="144"/>
      <c r="K146" s="144"/>
    </row>
    <row r="147" spans="8:11" x14ac:dyDescent="0.35">
      <c r="H147" s="144"/>
      <c r="K147" s="144"/>
    </row>
    <row r="148" spans="8:11" x14ac:dyDescent="0.35">
      <c r="H148" s="144"/>
      <c r="K148" s="144"/>
    </row>
    <row r="149" spans="8:11" x14ac:dyDescent="0.35">
      <c r="H149" s="144"/>
      <c r="K149" s="144"/>
    </row>
    <row r="150" spans="8:11" x14ac:dyDescent="0.35">
      <c r="H150" s="144"/>
      <c r="K150" s="144"/>
    </row>
    <row r="151" spans="8:11" x14ac:dyDescent="0.35">
      <c r="H151" s="144"/>
      <c r="K151" s="144"/>
    </row>
    <row r="152" spans="8:11" x14ac:dyDescent="0.35">
      <c r="H152" s="144"/>
      <c r="K152" s="144"/>
    </row>
    <row r="153" spans="8:11" x14ac:dyDescent="0.35">
      <c r="H153" s="144"/>
      <c r="K153" s="144"/>
    </row>
    <row r="154" spans="8:11" x14ac:dyDescent="0.35">
      <c r="H154" s="144"/>
      <c r="K154" s="144"/>
    </row>
    <row r="155" spans="8:11" x14ac:dyDescent="0.35">
      <c r="H155" s="144"/>
      <c r="K155" s="144"/>
    </row>
    <row r="156" spans="8:11" x14ac:dyDescent="0.35">
      <c r="H156" s="144"/>
      <c r="K156" s="144"/>
    </row>
    <row r="157" spans="8:11" x14ac:dyDescent="0.35">
      <c r="H157" s="144"/>
      <c r="K157" s="144"/>
    </row>
    <row r="158" spans="8:11" x14ac:dyDescent="0.35">
      <c r="H158" s="144"/>
      <c r="K158" s="144"/>
    </row>
    <row r="159" spans="8:11" x14ac:dyDescent="0.35">
      <c r="H159" s="144"/>
      <c r="K159" s="144"/>
    </row>
    <row r="160" spans="8:11" x14ac:dyDescent="0.35">
      <c r="H160" s="144"/>
      <c r="K160" s="144"/>
    </row>
    <row r="161" spans="8:11" x14ac:dyDescent="0.35">
      <c r="H161" s="144"/>
      <c r="K161" s="144"/>
    </row>
    <row r="162" spans="8:11" x14ac:dyDescent="0.35">
      <c r="H162" s="144"/>
      <c r="K162" s="144"/>
    </row>
    <row r="163" spans="8:11" x14ac:dyDescent="0.35">
      <c r="H163" s="144"/>
      <c r="K163" s="144"/>
    </row>
    <row r="164" spans="8:11" x14ac:dyDescent="0.35">
      <c r="H164" s="144"/>
      <c r="K164" s="144"/>
    </row>
    <row r="165" spans="8:11" x14ac:dyDescent="0.35">
      <c r="H165" s="144"/>
      <c r="K165" s="144"/>
    </row>
    <row r="166" spans="8:11" x14ac:dyDescent="0.35">
      <c r="H166" s="144"/>
      <c r="K166" s="144"/>
    </row>
    <row r="167" spans="8:11" x14ac:dyDescent="0.35">
      <c r="H167" s="144"/>
      <c r="K167" s="144"/>
    </row>
    <row r="168" spans="8:11" x14ac:dyDescent="0.35">
      <c r="H168" s="144"/>
      <c r="K168" s="144"/>
    </row>
    <row r="169" spans="8:11" x14ac:dyDescent="0.35">
      <c r="H169" s="144"/>
      <c r="K169" s="144"/>
    </row>
    <row r="170" spans="8:11" x14ac:dyDescent="0.35">
      <c r="H170" s="144"/>
      <c r="K170" s="144"/>
    </row>
    <row r="171" spans="8:11" x14ac:dyDescent="0.35">
      <c r="H171" s="144"/>
      <c r="K171" s="144"/>
    </row>
    <row r="172" spans="8:11" x14ac:dyDescent="0.35">
      <c r="H172" s="144"/>
      <c r="K172" s="144"/>
    </row>
    <row r="173" spans="8:11" x14ac:dyDescent="0.35">
      <c r="H173" s="144"/>
      <c r="K173" s="144"/>
    </row>
    <row r="174" spans="8:11" x14ac:dyDescent="0.35">
      <c r="H174" s="144"/>
      <c r="K174" s="144"/>
    </row>
    <row r="175" spans="8:11" x14ac:dyDescent="0.35">
      <c r="H175" s="144"/>
      <c r="K175" s="144"/>
    </row>
    <row r="176" spans="8:11" x14ac:dyDescent="0.35">
      <c r="H176" s="144"/>
      <c r="K176" s="144"/>
    </row>
    <row r="177" spans="8:11" x14ac:dyDescent="0.35">
      <c r="H177" s="144"/>
      <c r="K177" s="144"/>
    </row>
    <row r="178" spans="8:11" x14ac:dyDescent="0.35">
      <c r="H178" s="144"/>
      <c r="K178" s="144"/>
    </row>
    <row r="179" spans="8:11" x14ac:dyDescent="0.35">
      <c r="H179" s="144"/>
      <c r="K179" s="144"/>
    </row>
    <row r="180" spans="8:11" x14ac:dyDescent="0.35">
      <c r="H180" s="144"/>
      <c r="K180" s="144"/>
    </row>
    <row r="181" spans="8:11" x14ac:dyDescent="0.35">
      <c r="H181" s="144"/>
      <c r="K181" s="144"/>
    </row>
    <row r="182" spans="8:11" x14ac:dyDescent="0.35">
      <c r="H182" s="144"/>
      <c r="K182" s="144"/>
    </row>
    <row r="183" spans="8:11" x14ac:dyDescent="0.35">
      <c r="H183" s="144"/>
      <c r="K183" s="144"/>
    </row>
    <row r="184" spans="8:11" x14ac:dyDescent="0.35">
      <c r="H184" s="144"/>
      <c r="K184" s="144"/>
    </row>
    <row r="185" spans="8:11" x14ac:dyDescent="0.35">
      <c r="H185" s="144"/>
      <c r="K185" s="144"/>
    </row>
    <row r="186" spans="8:11" x14ac:dyDescent="0.35">
      <c r="H186" s="144"/>
      <c r="K186" s="144"/>
    </row>
    <row r="187" spans="8:11" x14ac:dyDescent="0.35">
      <c r="H187" s="144"/>
      <c r="K187" s="144"/>
    </row>
    <row r="188" spans="8:11" x14ac:dyDescent="0.35">
      <c r="H188" s="144"/>
      <c r="K188" s="144"/>
    </row>
    <row r="189" spans="8:11" x14ac:dyDescent="0.35">
      <c r="H189" s="144"/>
      <c r="K189" s="144"/>
    </row>
    <row r="190" spans="8:11" x14ac:dyDescent="0.35">
      <c r="H190" s="144"/>
      <c r="K190" s="144"/>
    </row>
    <row r="191" spans="8:11" x14ac:dyDescent="0.35">
      <c r="H191" s="144"/>
      <c r="K191" s="144"/>
    </row>
    <row r="192" spans="8:11" x14ac:dyDescent="0.35">
      <c r="H192" s="144"/>
      <c r="K192" s="144"/>
    </row>
    <row r="193" spans="4:11" x14ac:dyDescent="0.35">
      <c r="H193" s="144"/>
      <c r="K193" s="144"/>
    </row>
    <row r="194" spans="4:11" x14ac:dyDescent="0.35">
      <c r="H194" s="144"/>
      <c r="K194" s="144"/>
    </row>
    <row r="195" spans="4:11" x14ac:dyDescent="0.35">
      <c r="H195" s="144"/>
      <c r="K195" s="144"/>
    </row>
    <row r="196" spans="4:11" x14ac:dyDescent="0.35">
      <c r="H196" s="144"/>
      <c r="K196" s="144"/>
    </row>
    <row r="197" spans="4:11" x14ac:dyDescent="0.35">
      <c r="H197" s="144"/>
      <c r="K197" s="144"/>
    </row>
    <row r="198" spans="4:11" x14ac:dyDescent="0.35">
      <c r="H198" s="144"/>
      <c r="K198" s="144"/>
    </row>
    <row r="199" spans="4:11" x14ac:dyDescent="0.35">
      <c r="H199" s="144"/>
      <c r="K199" s="144"/>
    </row>
    <row r="200" spans="4:11" x14ac:dyDescent="0.35">
      <c r="H200" s="144"/>
      <c r="K200" s="144"/>
    </row>
    <row r="201" spans="4:11" x14ac:dyDescent="0.35">
      <c r="H201" s="144"/>
      <c r="K201" s="144"/>
    </row>
    <row r="202" spans="4:11" x14ac:dyDescent="0.35">
      <c r="H202" s="144"/>
      <c r="K202" s="144"/>
    </row>
    <row r="203" spans="4:11" x14ac:dyDescent="0.35">
      <c r="H203" s="144"/>
      <c r="K203" s="144"/>
    </row>
    <row r="204" spans="4:11" x14ac:dyDescent="0.35">
      <c r="K204" s="144"/>
    </row>
    <row r="205" spans="4:11" x14ac:dyDescent="0.35">
      <c r="D205" s="145"/>
      <c r="E205" s="144"/>
      <c r="K205" s="144"/>
    </row>
    <row r="206" spans="4:11" x14ac:dyDescent="0.35">
      <c r="D206" s="145"/>
      <c r="E206" s="144"/>
      <c r="K206" s="144"/>
    </row>
    <row r="207" spans="4:11" x14ac:dyDescent="0.35">
      <c r="D207" s="145"/>
      <c r="E207" s="144"/>
      <c r="K207" s="144"/>
    </row>
    <row r="208" spans="4:11" x14ac:dyDescent="0.35">
      <c r="D208" s="145"/>
      <c r="E208" s="144"/>
      <c r="K208" s="144"/>
    </row>
    <row r="209" spans="4:11" x14ac:dyDescent="0.35">
      <c r="D209" s="145"/>
      <c r="E209" s="144"/>
      <c r="K209" s="144"/>
    </row>
    <row r="210" spans="4:11" x14ac:dyDescent="0.35">
      <c r="D210" s="145"/>
      <c r="E210" s="144"/>
      <c r="K210" s="144"/>
    </row>
    <row r="211" spans="4:11" x14ac:dyDescent="0.35">
      <c r="D211" s="145"/>
      <c r="E211" s="144"/>
      <c r="K211" s="144"/>
    </row>
  </sheetData>
  <sheetProtection sort="0" autoFilter="0"/>
  <mergeCells count="38">
    <mergeCell ref="A65:L65"/>
    <mergeCell ref="A59:L59"/>
    <mergeCell ref="A60:L60"/>
    <mergeCell ref="A61:A62"/>
    <mergeCell ref="A63:L63"/>
    <mergeCell ref="A64:L64"/>
    <mergeCell ref="B61:E62"/>
    <mergeCell ref="F61:L62"/>
    <mergeCell ref="A54:B58"/>
    <mergeCell ref="C54:C58"/>
    <mergeCell ref="D54:E58"/>
    <mergeCell ref="F54:G58"/>
    <mergeCell ref="H55:L55"/>
    <mergeCell ref="H57:L57"/>
    <mergeCell ref="H54:L54"/>
    <mergeCell ref="H56:L56"/>
    <mergeCell ref="H58:L58"/>
    <mergeCell ref="E51:G51"/>
    <mergeCell ref="H52:L52"/>
    <mergeCell ref="A53:B53"/>
    <mergeCell ref="D53:E53"/>
    <mergeCell ref="F53:G53"/>
    <mergeCell ref="H53:L53"/>
    <mergeCell ref="H51:L51"/>
    <mergeCell ref="A51:B51"/>
    <mergeCell ref="C51:D51"/>
    <mergeCell ref="A8:B8"/>
    <mergeCell ref="C8:D8"/>
    <mergeCell ref="E8:F8"/>
    <mergeCell ref="G8:I8"/>
    <mergeCell ref="K8:L8"/>
    <mergeCell ref="K9:L9"/>
    <mergeCell ref="A10:L10"/>
    <mergeCell ref="B12:E12"/>
    <mergeCell ref="A9:B9"/>
    <mergeCell ref="C9:D9"/>
    <mergeCell ref="E9:F9"/>
    <mergeCell ref="G9:J9"/>
  </mergeCells>
  <dataValidations disablePrompts="1" count="1">
    <dataValidation type="list" allowBlank="1" showInputMessage="1" showErrorMessage="1" sqref="K9:L9" xr:uid="{00000000-0002-0000-07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2"/>
  <dimension ref="A1:Y211"/>
  <sheetViews>
    <sheetView showGridLines="0" zoomScaleNormal="100" zoomScaleSheetLayoutView="100" workbookViewId="0">
      <selection activeCell="B13" sqref="B13"/>
    </sheetView>
  </sheetViews>
  <sheetFormatPr defaultColWidth="10.7265625" defaultRowHeight="12.5" x14ac:dyDescent="0.35"/>
  <cols>
    <col min="1" max="1" width="8.1796875" style="125" customWidth="1"/>
    <col min="2" max="2" width="17.81640625" style="125" customWidth="1"/>
    <col min="3" max="3" width="12.7265625" style="125" customWidth="1"/>
    <col min="4" max="4" width="6.26953125" style="126" customWidth="1"/>
    <col min="5" max="5" width="16.54296875" style="125" customWidth="1"/>
    <col min="6" max="6" width="3.453125" style="127" customWidth="1"/>
    <col min="7" max="7" width="7" style="125" customWidth="1"/>
    <col min="8" max="8" width="9.1796875" style="125" customWidth="1"/>
    <col min="9" max="9" width="6.54296875" style="127" customWidth="1"/>
    <col min="10" max="10" width="14.1796875" style="127" bestFit="1" customWidth="1"/>
    <col min="11" max="11" width="12.453125" style="125" customWidth="1"/>
    <col min="12" max="12" width="5" style="125" customWidth="1"/>
    <col min="13" max="16384" width="10.7265625" style="125"/>
  </cols>
  <sheetData>
    <row r="1" spans="1:25" ht="12.75" customHeight="1" x14ac:dyDescent="0.35">
      <c r="A1" s="291"/>
      <c r="B1" s="291"/>
      <c r="G1" s="128"/>
      <c r="H1" s="149"/>
      <c r="I1" s="150"/>
      <c r="J1" s="150"/>
      <c r="K1" s="150"/>
      <c r="L1" s="124"/>
    </row>
    <row r="2" spans="1:25" ht="12.75" customHeight="1" x14ac:dyDescent="0.35">
      <c r="G2" s="128"/>
      <c r="H2" s="129" t="s">
        <v>630</v>
      </c>
      <c r="I2" s="130"/>
      <c r="J2" s="130"/>
      <c r="K2" s="130"/>
      <c r="L2" s="128"/>
      <c r="Q2" s="130"/>
    </row>
    <row r="3" spans="1:25" ht="12.75" customHeight="1" x14ac:dyDescent="0.35">
      <c r="G3" s="128"/>
      <c r="H3" s="131"/>
      <c r="I3" s="125"/>
      <c r="J3" s="125"/>
      <c r="K3" s="130"/>
      <c r="L3" s="128"/>
      <c r="Q3" s="130"/>
    </row>
    <row r="4" spans="1:25" ht="12.75" customHeight="1" x14ac:dyDescent="0.35">
      <c r="G4" s="128"/>
      <c r="H4" s="131" t="s">
        <v>631</v>
      </c>
      <c r="I4" s="125"/>
      <c r="J4" s="125"/>
      <c r="K4" s="130"/>
      <c r="L4" s="128"/>
      <c r="Q4" s="130"/>
    </row>
    <row r="5" spans="1:25" ht="12.75" customHeight="1" x14ac:dyDescent="0.35">
      <c r="G5" s="128"/>
      <c r="H5" s="131" t="s">
        <v>632</v>
      </c>
      <c r="I5" s="125"/>
      <c r="J5" s="125"/>
      <c r="K5" s="130"/>
      <c r="L5" s="128"/>
      <c r="O5" s="130"/>
    </row>
    <row r="6" spans="1:25" ht="12.75" customHeight="1" x14ac:dyDescent="0.35">
      <c r="G6" s="128"/>
      <c r="H6" s="131" t="s">
        <v>629</v>
      </c>
      <c r="K6" s="130"/>
      <c r="L6" s="128"/>
    </row>
    <row r="7" spans="1:25" ht="12.75" customHeight="1" x14ac:dyDescent="0.35">
      <c r="A7" s="133"/>
      <c r="B7" s="133"/>
      <c r="C7" s="133"/>
      <c r="D7" s="134"/>
      <c r="E7" s="133"/>
      <c r="F7" s="135"/>
      <c r="G7" s="136"/>
      <c r="H7" s="137" t="s">
        <v>1204</v>
      </c>
      <c r="I7" s="135"/>
      <c r="J7" s="135"/>
      <c r="K7" s="133"/>
      <c r="L7" s="136"/>
    </row>
    <row r="8" spans="1:25" x14ac:dyDescent="0.35">
      <c r="A8" s="578" t="s">
        <v>470</v>
      </c>
      <c r="B8" s="579"/>
      <c r="C8" s="578" t="s">
        <v>471</v>
      </c>
      <c r="D8" s="579"/>
      <c r="E8" s="578" t="s">
        <v>472</v>
      </c>
      <c r="F8" s="579"/>
      <c r="G8" s="578" t="s">
        <v>473</v>
      </c>
      <c r="H8" s="581"/>
      <c r="I8" s="581"/>
      <c r="J8" s="150"/>
      <c r="K8" s="565" t="s">
        <v>474</v>
      </c>
      <c r="L8" s="568"/>
    </row>
    <row r="9" spans="1:25" ht="14.5" customHeight="1" x14ac:dyDescent="0.35">
      <c r="A9" s="649" t="s">
        <v>475</v>
      </c>
      <c r="B9" s="650"/>
      <c r="C9" s="651">
        <v>45477</v>
      </c>
      <c r="D9" s="652"/>
      <c r="E9" s="653"/>
      <c r="F9" s="653"/>
      <c r="G9" s="646" t="s">
        <v>244</v>
      </c>
      <c r="H9" s="647"/>
      <c r="I9" s="647"/>
      <c r="J9" s="648"/>
      <c r="K9" s="649" t="s">
        <v>246</v>
      </c>
      <c r="L9" s="650"/>
    </row>
    <row r="10" spans="1:25" x14ac:dyDescent="0.35">
      <c r="A10" s="565" t="s">
        <v>476</v>
      </c>
      <c r="B10" s="566"/>
      <c r="C10" s="566"/>
      <c r="D10" s="566"/>
      <c r="E10" s="566"/>
      <c r="F10" s="566"/>
      <c r="G10" s="566"/>
      <c r="H10" s="566"/>
      <c r="I10" s="566"/>
      <c r="J10" s="566"/>
      <c r="K10" s="566"/>
      <c r="L10" s="568"/>
    </row>
    <row r="11" spans="1:25" x14ac:dyDescent="0.35">
      <c r="A11" s="132" t="s">
        <v>947</v>
      </c>
      <c r="B11" s="133"/>
      <c r="C11" s="133"/>
      <c r="D11" s="133"/>
      <c r="E11" s="133"/>
      <c r="F11" s="133"/>
      <c r="G11" s="133"/>
      <c r="H11" s="133"/>
      <c r="I11" s="133"/>
      <c r="J11" s="133"/>
      <c r="K11" s="133"/>
      <c r="L11" s="136"/>
    </row>
    <row r="12" spans="1:25" ht="25.5" customHeight="1" x14ac:dyDescent="0.35">
      <c r="A12" s="142" t="s">
        <v>477</v>
      </c>
      <c r="B12" s="569" t="s">
        <v>478</v>
      </c>
      <c r="C12" s="570"/>
      <c r="D12" s="570"/>
      <c r="E12" s="571"/>
      <c r="F12" s="143" t="s">
        <v>479</v>
      </c>
      <c r="G12" s="142" t="s">
        <v>480</v>
      </c>
      <c r="H12" s="142" t="s">
        <v>481</v>
      </c>
      <c r="I12" s="142" t="s">
        <v>482</v>
      </c>
      <c r="J12" s="142" t="s">
        <v>1190</v>
      </c>
      <c r="K12" s="142" t="s">
        <v>483</v>
      </c>
      <c r="L12" s="142" t="s">
        <v>484</v>
      </c>
    </row>
    <row r="13" spans="1:25" ht="13" customHeight="1" x14ac:dyDescent="0.35">
      <c r="A13" s="316"/>
      <c r="B13" s="257" t="s">
        <v>1102</v>
      </c>
      <c r="C13" s="317"/>
      <c r="D13" s="317"/>
      <c r="E13" s="318"/>
      <c r="F13" s="319"/>
      <c r="G13" s="320"/>
      <c r="H13" s="321"/>
      <c r="I13" s="320" t="str">
        <f>IF(A13="","",ROUND(G13/VLOOKUP(A13,bhpc_data[],9,FALSE),0))</f>
        <v/>
      </c>
      <c r="J13" s="394"/>
      <c r="K13" s="321"/>
      <c r="L13" s="405"/>
      <c r="O13" s="130"/>
    </row>
    <row r="14" spans="1:25" ht="14.5" x14ac:dyDescent="0.35">
      <c r="A14" s="310" t="str">
        <f t="array" ref="A14:A39">INDEX(salesHistory[sku], SMALL(IF((salesHistory[qty]&lt;&gt;0)*(salesHistory[order_no]=9), ROW(salesHistory[qty])-MIN(ROW(salesHistory[qty]))+1), ROW(A1:A26)))</f>
        <v>P05004</v>
      </c>
      <c r="B14" s="561" t="str">
        <f>INDEX(bhpc_data[description],MATCH($A14,bhpc_data[sku],0))</f>
        <v>BHPC SPORT MEN 1 EDT 100ML</v>
      </c>
      <c r="C14" s="312"/>
      <c r="D14" s="312"/>
      <c r="E14" s="313"/>
      <c r="F14" s="314" t="s">
        <v>960</v>
      </c>
      <c r="G14" s="314">
        <f t="array" ref="G14:G39">INDEX(salesHistory[qty], SMALL(IF((salesHistory[qty]&lt;&gt;0)*(salesHistory[order_no]=9), ROW(salesHistory[qty])-MIN(ROW(salesHistory[qty]))+1), ROW(A1:A26)))</f>
        <v>180</v>
      </c>
      <c r="H14" s="315">
        <f t="array" ref="H14:H39">INDEX(salesHistory[price], SMALL(IF((salesHistory[qty]&lt;&gt;0)*(salesHistory[order_no]=9), ROW(salesHistory[qty])-MIN(ROW(salesHistory[qty]))+1), ROW(A1:A26)))</f>
        <v>8.11</v>
      </c>
      <c r="I14" s="314">
        <f t="shared" ref="I14:I27" si="0">CEILING(G14/24,1)</f>
        <v>8</v>
      </c>
      <c r="J14" s="395">
        <f>INDEX(bhpc_data[ean],MATCH(A14,bhpc_data[sku],0))</f>
        <v>8718719850046</v>
      </c>
      <c r="K14" s="315">
        <f t="shared" ref="K14:K39" si="1">G14*H14</f>
        <v>1459.8</v>
      </c>
      <c r="L14" s="390" t="s">
        <v>268</v>
      </c>
      <c r="O14" s="127"/>
      <c r="T14" s="61"/>
      <c r="U14" s="61"/>
      <c r="V14" s="146"/>
      <c r="W14" s="61"/>
      <c r="X14" s="146"/>
      <c r="Y14" s="61"/>
    </row>
    <row r="15" spans="1:25" ht="14.5" x14ac:dyDescent="0.35">
      <c r="A15" s="310" t="str">
        <v>P05005</v>
      </c>
      <c r="B15" s="561" t="str">
        <f>INDEX(bhpc_data[description],MATCH($A15,bhpc_data[sku],0))</f>
        <v>BHPC SPORT MEN 9 EDT 100ML</v>
      </c>
      <c r="C15" s="312"/>
      <c r="D15" s="312"/>
      <c r="E15" s="313"/>
      <c r="F15" s="314" t="s">
        <v>960</v>
      </c>
      <c r="G15" s="314">
        <v>108</v>
      </c>
      <c r="H15" s="315">
        <v>8.11</v>
      </c>
      <c r="I15" s="314">
        <f t="shared" si="0"/>
        <v>5</v>
      </c>
      <c r="J15" s="395">
        <f>INDEX(bhpc_data[ean],MATCH(A15,bhpc_data[sku],0))</f>
        <v>8718719850053</v>
      </c>
      <c r="K15" s="315">
        <f t="shared" si="1"/>
        <v>875.87999999999988</v>
      </c>
      <c r="L15" s="390" t="s">
        <v>268</v>
      </c>
      <c r="O15" s="130"/>
    </row>
    <row r="16" spans="1:25" ht="14.5" x14ac:dyDescent="0.35">
      <c r="A16" s="310" t="str">
        <v>P05006</v>
      </c>
      <c r="B16" s="561" t="str">
        <f>INDEX(bhpc_data[description],MATCH($A16,bhpc_data[sku],0))</f>
        <v>BHPC SPORT MEN 8 EDT 100ML</v>
      </c>
      <c r="C16" s="312"/>
      <c r="D16" s="312"/>
      <c r="E16" s="313"/>
      <c r="F16" s="314" t="s">
        <v>960</v>
      </c>
      <c r="G16" s="314">
        <v>180</v>
      </c>
      <c r="H16" s="315">
        <v>8.11</v>
      </c>
      <c r="I16" s="314">
        <f t="shared" si="0"/>
        <v>8</v>
      </c>
      <c r="J16" s="395">
        <f>INDEX(bhpc_data[ean],MATCH(A16,bhpc_data[sku],0))</f>
        <v>8718719850060</v>
      </c>
      <c r="K16" s="315">
        <f t="shared" si="1"/>
        <v>1459.8</v>
      </c>
      <c r="L16" s="390" t="s">
        <v>268</v>
      </c>
      <c r="O16" s="127"/>
      <c r="T16" s="61"/>
      <c r="U16" s="61"/>
      <c r="V16" s="146"/>
      <c r="W16" s="61"/>
      <c r="X16" s="146"/>
      <c r="Y16" s="61"/>
    </row>
    <row r="17" spans="1:25" ht="14.5" x14ac:dyDescent="0.35">
      <c r="A17" s="310" t="str">
        <v>P05007</v>
      </c>
      <c r="B17" s="561" t="str">
        <f>INDEX(bhpc_data[description],MATCH($A17,bhpc_data[sku],0))</f>
        <v>BHPC SPORT MEN 2 EDT 100ML</v>
      </c>
      <c r="C17" s="312"/>
      <c r="D17" s="312"/>
      <c r="E17" s="313"/>
      <c r="F17" s="314" t="s">
        <v>960</v>
      </c>
      <c r="G17" s="314">
        <v>108</v>
      </c>
      <c r="H17" s="315">
        <v>8.11</v>
      </c>
      <c r="I17" s="314">
        <f t="shared" si="0"/>
        <v>5</v>
      </c>
      <c r="J17" s="395">
        <f>INDEX(bhpc_data[ean],MATCH(A17,bhpc_data[sku],0))</f>
        <v>8718719850077</v>
      </c>
      <c r="K17" s="315">
        <f t="shared" si="1"/>
        <v>875.87999999999988</v>
      </c>
      <c r="L17" s="390" t="s">
        <v>268</v>
      </c>
      <c r="O17" s="130"/>
    </row>
    <row r="18" spans="1:25" ht="14.5" x14ac:dyDescent="0.35">
      <c r="A18" s="310" t="str">
        <v>P05050</v>
      </c>
      <c r="B18" s="561" t="str">
        <f>INDEX(bhpc_data[description],MATCH($A18,bhpc_data[sku],0))</f>
        <v>BHPC WOMEN 1 EDP 100ML</v>
      </c>
      <c r="C18" s="312"/>
      <c r="D18" s="312"/>
      <c r="E18" s="313"/>
      <c r="F18" s="314" t="s">
        <v>960</v>
      </c>
      <c r="G18" s="314">
        <v>180</v>
      </c>
      <c r="H18" s="315">
        <v>8.11</v>
      </c>
      <c r="I18" s="314">
        <f t="shared" si="0"/>
        <v>8</v>
      </c>
      <c r="J18" s="395">
        <f>INDEX(bhpc_data[ean],MATCH(A18,bhpc_data[sku],0))</f>
        <v>6291107162713</v>
      </c>
      <c r="K18" s="315">
        <f t="shared" si="1"/>
        <v>1459.8</v>
      </c>
      <c r="L18" s="390" t="s">
        <v>268</v>
      </c>
      <c r="O18" s="127"/>
      <c r="T18" s="61"/>
      <c r="U18" s="61"/>
      <c r="V18" s="146"/>
      <c r="W18" s="61"/>
      <c r="X18" s="146"/>
      <c r="Y18" s="61"/>
    </row>
    <row r="19" spans="1:25" ht="14.5" x14ac:dyDescent="0.35">
      <c r="A19" s="310" t="str">
        <v>P05051</v>
      </c>
      <c r="B19" s="561" t="str">
        <f>INDEX(bhpc_data[description],MATCH($A19,bhpc_data[sku],0))</f>
        <v>BHPC WOMEN 9 EDP 100ML</v>
      </c>
      <c r="C19" s="312"/>
      <c r="D19" s="312"/>
      <c r="E19" s="313"/>
      <c r="F19" s="314" t="s">
        <v>960</v>
      </c>
      <c r="G19" s="314">
        <v>180</v>
      </c>
      <c r="H19" s="315">
        <v>8.11</v>
      </c>
      <c r="I19" s="314">
        <f t="shared" si="0"/>
        <v>8</v>
      </c>
      <c r="J19" s="395">
        <f>INDEX(bhpc_data[ean],MATCH(A19,bhpc_data[sku],0))</f>
        <v>6291107162720</v>
      </c>
      <c r="K19" s="315">
        <f t="shared" si="1"/>
        <v>1459.8</v>
      </c>
      <c r="L19" s="390" t="s">
        <v>268</v>
      </c>
    </row>
    <row r="20" spans="1:25" ht="14.5" x14ac:dyDescent="0.35">
      <c r="A20" s="310" t="str">
        <v>P05052</v>
      </c>
      <c r="B20" s="561" t="str">
        <f>INDEX(bhpc_data[description],MATCH($A20,bhpc_data[sku],0))</f>
        <v>BHPC WOMEN 8 EDP 100ML</v>
      </c>
      <c r="C20" s="312"/>
      <c r="D20" s="312"/>
      <c r="E20" s="313"/>
      <c r="F20" s="314" t="s">
        <v>960</v>
      </c>
      <c r="G20" s="314">
        <v>154</v>
      </c>
      <c r="H20" s="315">
        <v>8.11</v>
      </c>
      <c r="I20" s="314">
        <f t="shared" si="0"/>
        <v>7</v>
      </c>
      <c r="J20" s="395">
        <f>INDEX(bhpc_data[ean],MATCH(A20,bhpc_data[sku],0))</f>
        <v>6291107162737</v>
      </c>
      <c r="K20" s="315">
        <f t="shared" si="1"/>
        <v>1248.9399999999998</v>
      </c>
      <c r="L20" s="390" t="s">
        <v>268</v>
      </c>
    </row>
    <row r="21" spans="1:25" ht="14.5" x14ac:dyDescent="0.35">
      <c r="A21" s="310" t="str">
        <v>P05053</v>
      </c>
      <c r="B21" s="561" t="str">
        <f>INDEX(bhpc_data[description],MATCH($A21,bhpc_data[sku],0))</f>
        <v>BHPC WOMEN 2 EDP 100ML</v>
      </c>
      <c r="C21" s="312"/>
      <c r="D21" s="312"/>
      <c r="E21" s="313"/>
      <c r="F21" s="314" t="s">
        <v>960</v>
      </c>
      <c r="G21" s="314">
        <v>154</v>
      </c>
      <c r="H21" s="315">
        <v>8.11</v>
      </c>
      <c r="I21" s="314">
        <f t="shared" si="0"/>
        <v>7</v>
      </c>
      <c r="J21" s="395">
        <f>INDEX(bhpc_data[ean],MATCH(A21,bhpc_data[sku],0))</f>
        <v>6291107162744</v>
      </c>
      <c r="K21" s="315">
        <f t="shared" si="1"/>
        <v>1248.9399999999998</v>
      </c>
      <c r="L21" s="390" t="s">
        <v>268</v>
      </c>
    </row>
    <row r="22" spans="1:25" ht="14.5" x14ac:dyDescent="0.35">
      <c r="A22" s="310" t="str">
        <v>P06000</v>
      </c>
      <c r="B22" s="561" t="str">
        <f>INDEX(bhpc_data[description],MATCH($A22,bhpc_data[sku],0))</f>
        <v>BHPC PRESTIGE TROPHY 100ML EDP MEN</v>
      </c>
      <c r="C22" s="312"/>
      <c r="D22" s="312"/>
      <c r="E22" s="313"/>
      <c r="F22" s="314" t="s">
        <v>960</v>
      </c>
      <c r="G22" s="314">
        <v>60</v>
      </c>
      <c r="H22" s="315">
        <v>18.920000000000002</v>
      </c>
      <c r="I22" s="314">
        <f t="shared" si="0"/>
        <v>3</v>
      </c>
      <c r="J22" s="395">
        <f>INDEX(bhpc_data[ean],MATCH(A22,bhpc_data[sku],0))</f>
        <v>6291107160771</v>
      </c>
      <c r="K22" s="315">
        <f t="shared" si="1"/>
        <v>1135.2</v>
      </c>
      <c r="L22" s="390" t="s">
        <v>268</v>
      </c>
    </row>
    <row r="23" spans="1:25" ht="14.5" x14ac:dyDescent="0.35">
      <c r="A23" s="310" t="str">
        <v>P06003</v>
      </c>
      <c r="B23" s="561" t="str">
        <f>INDEX(bhpc_data[description],MATCH($A23,bhpc_data[sku],0))</f>
        <v>BHPC PRESTIGE TITAN 100ML EDP MEN</v>
      </c>
      <c r="C23" s="312"/>
      <c r="D23" s="312"/>
      <c r="E23" s="313"/>
      <c r="F23" s="314" t="s">
        <v>960</v>
      </c>
      <c r="G23" s="314">
        <v>60</v>
      </c>
      <c r="H23" s="315">
        <v>18.920000000000002</v>
      </c>
      <c r="I23" s="314">
        <f t="shared" si="0"/>
        <v>3</v>
      </c>
      <c r="J23" s="395">
        <f>INDEX(bhpc_data[ean],MATCH(A23,bhpc_data[sku],0))</f>
        <v>6291107160801</v>
      </c>
      <c r="K23" s="315">
        <f t="shared" si="1"/>
        <v>1135.2</v>
      </c>
      <c r="L23" s="390" t="s">
        <v>268</v>
      </c>
    </row>
    <row r="24" spans="1:25" ht="14.5" x14ac:dyDescent="0.35">
      <c r="A24" s="310" t="str">
        <v>P06004</v>
      </c>
      <c r="B24" s="561" t="str">
        <f>INDEX(bhpc_data[description],MATCH($A24,bhpc_data[sku],0))</f>
        <v>BHPC PRESTIGE ELEGANCE 100ML EDP WOMEN</v>
      </c>
      <c r="C24" s="312"/>
      <c r="D24" s="312"/>
      <c r="E24" s="313"/>
      <c r="F24" s="314" t="s">
        <v>960</v>
      </c>
      <c r="G24" s="314">
        <v>60</v>
      </c>
      <c r="H24" s="315">
        <v>18.920000000000002</v>
      </c>
      <c r="I24" s="314">
        <f t="shared" si="0"/>
        <v>3</v>
      </c>
      <c r="J24" s="395">
        <f>INDEX(bhpc_data[ean],MATCH(A24,bhpc_data[sku],0))</f>
        <v>6291107160825</v>
      </c>
      <c r="K24" s="315">
        <f t="shared" si="1"/>
        <v>1135.2</v>
      </c>
      <c r="L24" s="390" t="s">
        <v>268</v>
      </c>
    </row>
    <row r="25" spans="1:25" ht="14.5" x14ac:dyDescent="0.35">
      <c r="A25" s="310" t="str">
        <v>P06005</v>
      </c>
      <c r="B25" s="561" t="str">
        <f>INDEX(bhpc_data[description],MATCH($A25,bhpc_data[sku],0))</f>
        <v>BHPC PRESTIGE CHALLENGE 100ML EDP WOMEN</v>
      </c>
      <c r="C25" s="312"/>
      <c r="D25" s="312"/>
      <c r="E25" s="313"/>
      <c r="F25" s="314" t="s">
        <v>960</v>
      </c>
      <c r="G25" s="314">
        <v>60</v>
      </c>
      <c r="H25" s="315">
        <v>18.920000000000002</v>
      </c>
      <c r="I25" s="314">
        <f t="shared" si="0"/>
        <v>3</v>
      </c>
      <c r="J25" s="395">
        <f>INDEX(bhpc_data[ean],MATCH(A25,bhpc_data[sku],0))</f>
        <v>6291107160818</v>
      </c>
      <c r="K25" s="315">
        <f t="shared" si="1"/>
        <v>1135.2</v>
      </c>
      <c r="L25" s="390" t="s">
        <v>268</v>
      </c>
    </row>
    <row r="26" spans="1:25" ht="14.5" x14ac:dyDescent="0.35">
      <c r="A26" s="310" t="str">
        <v>P06006</v>
      </c>
      <c r="B26" s="561" t="str">
        <f>INDEX(bhpc_data[description],MATCH($A26,bhpc_data[sku],0))</f>
        <v>BHPC PRESTIGE MYSTIQUE 100ML EDP WOMEN</v>
      </c>
      <c r="C26" s="312"/>
      <c r="D26" s="312"/>
      <c r="E26" s="313"/>
      <c r="F26" s="314" t="s">
        <v>960</v>
      </c>
      <c r="G26" s="314">
        <v>60</v>
      </c>
      <c r="H26" s="315">
        <v>18.920000000000002</v>
      </c>
      <c r="I26" s="314">
        <f t="shared" si="0"/>
        <v>3</v>
      </c>
      <c r="J26" s="395">
        <f>INDEX(bhpc_data[ean],MATCH(A26,bhpc_data[sku],0))</f>
        <v>6291107162171</v>
      </c>
      <c r="K26" s="315">
        <f t="shared" si="1"/>
        <v>1135.2</v>
      </c>
      <c r="L26" s="390" t="s">
        <v>268</v>
      </c>
    </row>
    <row r="27" spans="1:25" ht="14.5" x14ac:dyDescent="0.35">
      <c r="A27" s="310" t="str">
        <v>P06007</v>
      </c>
      <c r="B27" s="561" t="str">
        <f>INDEX(bhpc_data[description],MATCH($A27,bhpc_data[sku],0))</f>
        <v>BHPC PRESTIGE PASSION 100ML EDP WOMEN</v>
      </c>
      <c r="C27" s="312"/>
      <c r="D27" s="312"/>
      <c r="E27" s="313"/>
      <c r="F27" s="314" t="s">
        <v>960</v>
      </c>
      <c r="G27" s="314">
        <v>120</v>
      </c>
      <c r="H27" s="315">
        <v>18.920000000000002</v>
      </c>
      <c r="I27" s="314">
        <f t="shared" si="0"/>
        <v>5</v>
      </c>
      <c r="J27" s="395">
        <f>INDEX(bhpc_data[ean],MATCH(A27,bhpc_data[sku],0))</f>
        <v>6291107162188</v>
      </c>
      <c r="K27" s="315">
        <f t="shared" si="1"/>
        <v>2270.4</v>
      </c>
      <c r="L27" s="390" t="s">
        <v>268</v>
      </c>
    </row>
    <row r="28" spans="1:25" ht="14.5" x14ac:dyDescent="0.35">
      <c r="A28" s="310" t="str">
        <v>GS5008</v>
      </c>
      <c r="B28" s="561" t="str">
        <f>INDEX(bhpc_data[description],MATCH($A28,bhpc_data[sku],0))</f>
        <v>BHPC GIFT SET SPORT MEN 1 EDT 50ML + DEO 175ML</v>
      </c>
      <c r="C28" s="312"/>
      <c r="D28" s="312"/>
      <c r="E28" s="313"/>
      <c r="F28" s="314" t="s">
        <v>960</v>
      </c>
      <c r="G28" s="314">
        <v>180</v>
      </c>
      <c r="H28" s="315">
        <v>8.11</v>
      </c>
      <c r="I28" s="314">
        <f t="shared" ref="I28:I35" si="2">CEILING(G28/12,1)</f>
        <v>15</v>
      </c>
      <c r="J28" s="395">
        <f>INDEX(bhpc_data[ean],MATCH(A28,bhpc_data[sku],0))</f>
        <v>6291107160993</v>
      </c>
      <c r="K28" s="315">
        <f t="shared" si="1"/>
        <v>1459.8</v>
      </c>
      <c r="L28" s="390" t="s">
        <v>268</v>
      </c>
    </row>
    <row r="29" spans="1:25" ht="14.5" x14ac:dyDescent="0.35">
      <c r="A29" s="310" t="str">
        <v>GS5010</v>
      </c>
      <c r="B29" s="561" t="str">
        <f>INDEX(bhpc_data[description],MATCH($A29,bhpc_data[sku],0))</f>
        <v>BHPC GIFT SET SPORT MEN 8 EDT 50ML + DEO 175ML</v>
      </c>
      <c r="C29" s="312"/>
      <c r="D29" s="312"/>
      <c r="E29" s="313"/>
      <c r="F29" s="314" t="s">
        <v>960</v>
      </c>
      <c r="G29" s="314">
        <v>96</v>
      </c>
      <c r="H29" s="315">
        <v>8.11</v>
      </c>
      <c r="I29" s="314">
        <f t="shared" si="2"/>
        <v>8</v>
      </c>
      <c r="J29" s="395">
        <f>INDEX(bhpc_data[ean],MATCH(A29,bhpc_data[sku],0))</f>
        <v>6291107161013</v>
      </c>
      <c r="K29" s="315">
        <f t="shared" si="1"/>
        <v>778.56</v>
      </c>
      <c r="L29" s="390" t="s">
        <v>268</v>
      </c>
    </row>
    <row r="30" spans="1:25" ht="14.5" x14ac:dyDescent="0.35">
      <c r="A30" s="310" t="str">
        <v>GS5011</v>
      </c>
      <c r="B30" s="561" t="str">
        <f>INDEX(bhpc_data[description],MATCH($A30,bhpc_data[sku],0))</f>
        <v>BHPC GIFT SET SPORT MEN 2 EDT 50ML + DEO 175ML</v>
      </c>
      <c r="C30" s="312"/>
      <c r="D30" s="312"/>
      <c r="E30" s="313"/>
      <c r="F30" s="314" t="s">
        <v>960</v>
      </c>
      <c r="G30" s="314">
        <v>96</v>
      </c>
      <c r="H30" s="315">
        <v>8.11</v>
      </c>
      <c r="I30" s="314">
        <f t="shared" si="2"/>
        <v>8</v>
      </c>
      <c r="J30" s="395">
        <f>INDEX(bhpc_data[ean],MATCH(A30,bhpc_data[sku],0))</f>
        <v>6291107161020</v>
      </c>
      <c r="K30" s="315">
        <f t="shared" si="1"/>
        <v>778.56</v>
      </c>
      <c r="L30" s="390" t="s">
        <v>268</v>
      </c>
    </row>
    <row r="31" spans="1:25" ht="14.5" x14ac:dyDescent="0.35">
      <c r="A31" s="310" t="str">
        <v>GS5028</v>
      </c>
      <c r="B31" s="561" t="str">
        <f>INDEX(bhpc_data[description],MATCH($A31,bhpc_data[sku],0))</f>
        <v>BHPC GIFT SET WOMEN 1 EDP 50ML + DEO 150ML</v>
      </c>
      <c r="C31" s="312"/>
      <c r="D31" s="312"/>
      <c r="E31" s="313"/>
      <c r="F31" s="314" t="s">
        <v>960</v>
      </c>
      <c r="G31" s="314">
        <v>156</v>
      </c>
      <c r="H31" s="315">
        <v>8.11</v>
      </c>
      <c r="I31" s="314">
        <f t="shared" si="2"/>
        <v>13</v>
      </c>
      <c r="J31" s="395">
        <f>INDEX(bhpc_data[ean],MATCH(A31,bhpc_data[sku],0))</f>
        <v>6291107161037</v>
      </c>
      <c r="K31" s="315">
        <f t="shared" si="1"/>
        <v>1265.1599999999999</v>
      </c>
      <c r="L31" s="390" t="s">
        <v>268</v>
      </c>
    </row>
    <row r="32" spans="1:25" ht="14.5" x14ac:dyDescent="0.35">
      <c r="A32" s="310" t="str">
        <v>GS5029</v>
      </c>
      <c r="B32" s="561" t="str">
        <f>INDEX(bhpc_data[description],MATCH($A32,bhpc_data[sku],0))</f>
        <v>BHPC GIFT SET WOMEN 9 EDP 50ML + DEO 150ML</v>
      </c>
      <c r="C32" s="312"/>
      <c r="D32" s="312"/>
      <c r="E32" s="313"/>
      <c r="F32" s="314" t="s">
        <v>960</v>
      </c>
      <c r="G32" s="314">
        <v>156</v>
      </c>
      <c r="H32" s="315">
        <v>8.11</v>
      </c>
      <c r="I32" s="314">
        <f t="shared" si="2"/>
        <v>13</v>
      </c>
      <c r="J32" s="395">
        <f>INDEX(bhpc_data[ean],MATCH(A32,bhpc_data[sku],0))</f>
        <v>6291107161044</v>
      </c>
      <c r="K32" s="315">
        <f t="shared" si="1"/>
        <v>1265.1599999999999</v>
      </c>
      <c r="L32" s="390" t="s">
        <v>268</v>
      </c>
    </row>
    <row r="33" spans="1:12" ht="14.5" x14ac:dyDescent="0.35">
      <c r="A33" s="310" t="str">
        <v>GS5030</v>
      </c>
      <c r="B33" s="561" t="str">
        <f>INDEX(bhpc_data[description],MATCH($A33,bhpc_data[sku],0))</f>
        <v>BHPC GIFT SET WOMEN 8 EDP 50ML + DEO 150ML</v>
      </c>
      <c r="C33" s="312"/>
      <c r="D33" s="312"/>
      <c r="E33" s="313"/>
      <c r="F33" s="314" t="s">
        <v>960</v>
      </c>
      <c r="G33" s="314">
        <v>156</v>
      </c>
      <c r="H33" s="315">
        <v>8.11</v>
      </c>
      <c r="I33" s="314">
        <f t="shared" si="2"/>
        <v>13</v>
      </c>
      <c r="J33" s="395">
        <f>INDEX(bhpc_data[ean],MATCH(A33,bhpc_data[sku],0))</f>
        <v>6291107161051</v>
      </c>
      <c r="K33" s="315">
        <f t="shared" si="1"/>
        <v>1265.1599999999999</v>
      </c>
      <c r="L33" s="390" t="s">
        <v>268</v>
      </c>
    </row>
    <row r="34" spans="1:12" ht="14.5" x14ac:dyDescent="0.35">
      <c r="A34" s="310" t="str">
        <v>GS5031</v>
      </c>
      <c r="B34" s="561" t="str">
        <f>INDEX(bhpc_data[description],MATCH($A34,bhpc_data[sku],0))</f>
        <v>BHPC GIFT SET WOMEN 2 EDP 50ML + DEO 150ML</v>
      </c>
      <c r="C34" s="312"/>
      <c r="D34" s="312"/>
      <c r="E34" s="313"/>
      <c r="F34" s="314" t="s">
        <v>960</v>
      </c>
      <c r="G34" s="314">
        <v>156</v>
      </c>
      <c r="H34" s="315">
        <v>8.11</v>
      </c>
      <c r="I34" s="314">
        <f t="shared" si="2"/>
        <v>13</v>
      </c>
      <c r="J34" s="395">
        <f>INDEX(bhpc_data[ean],MATCH(A34,bhpc_data[sku],0))</f>
        <v>6291107161068</v>
      </c>
      <c r="K34" s="315">
        <f t="shared" si="1"/>
        <v>1265.1599999999999</v>
      </c>
      <c r="L34" s="390" t="s">
        <v>268</v>
      </c>
    </row>
    <row r="35" spans="1:12" ht="14.5" x14ac:dyDescent="0.35">
      <c r="A35" s="310" t="str">
        <v>GS7020</v>
      </c>
      <c r="B35" s="561" t="str">
        <f>INDEX(bhpc_data[description],MATCH($A35,bhpc_data[sku],0))</f>
        <v>BHPC GIFT SET MEN #1 EDT50ML+DEO175ML+ROLLON50ML</v>
      </c>
      <c r="C35" s="312"/>
      <c r="D35" s="312"/>
      <c r="E35" s="313"/>
      <c r="F35" s="314" t="s">
        <v>960</v>
      </c>
      <c r="G35" s="314">
        <v>156</v>
      </c>
      <c r="H35" s="315">
        <v>8.7799999999999994</v>
      </c>
      <c r="I35" s="314">
        <f t="shared" si="2"/>
        <v>13</v>
      </c>
      <c r="J35" s="395">
        <f>INDEX(bhpc_data[ean],MATCH(A35,bhpc_data[sku],0))</f>
        <v>0</v>
      </c>
      <c r="K35" s="315">
        <f t="shared" si="1"/>
        <v>1369.6799999999998</v>
      </c>
      <c r="L35" s="390" t="s">
        <v>268</v>
      </c>
    </row>
    <row r="36" spans="1:12" ht="14.5" x14ac:dyDescent="0.35">
      <c r="A36" s="310" t="str">
        <v>PBM001</v>
      </c>
      <c r="B36" s="561" t="str">
        <f>INDEX(bhpc_data[description],MATCH($A36,bhpc_data[sku],0))</f>
        <v>BHPC WOMEN BODY MIST #1 EVOKING GARDENIA 200ML</v>
      </c>
      <c r="C36" s="312"/>
      <c r="D36" s="312"/>
      <c r="E36" s="313"/>
      <c r="F36" s="314" t="s">
        <v>960</v>
      </c>
      <c r="G36" s="314">
        <v>120</v>
      </c>
      <c r="H36" s="315">
        <v>2.7</v>
      </c>
      <c r="I36" s="314">
        <f>CEILING(G36/24,1)</f>
        <v>5</v>
      </c>
      <c r="J36" s="395">
        <f>INDEX(bhpc_data[ean],MATCH(A36,bhpc_data[sku],0))</f>
        <v>6291107164236</v>
      </c>
      <c r="K36" s="315">
        <f t="shared" si="1"/>
        <v>324</v>
      </c>
      <c r="L36" s="390" t="s">
        <v>268</v>
      </c>
    </row>
    <row r="37" spans="1:12" ht="14.5" x14ac:dyDescent="0.35">
      <c r="A37" s="310" t="str">
        <v>PBM009</v>
      </c>
      <c r="B37" s="561" t="str">
        <f>INDEX(bhpc_data[description],MATCH($A37,bhpc_data[sku],0))</f>
        <v>BHPC WOMEN BODY MIST #9 SPARKING FLORAL 200ML</v>
      </c>
      <c r="C37" s="312"/>
      <c r="D37" s="312"/>
      <c r="E37" s="313"/>
      <c r="F37" s="314" t="s">
        <v>960</v>
      </c>
      <c r="G37" s="314">
        <v>120</v>
      </c>
      <c r="H37" s="315">
        <v>2.7</v>
      </c>
      <c r="I37" s="314">
        <f>CEILING(G37/24,1)</f>
        <v>5</v>
      </c>
      <c r="J37" s="395">
        <f>INDEX(bhpc_data[ean],MATCH(A37,bhpc_data[sku],0))</f>
        <v>6291107164267</v>
      </c>
      <c r="K37" s="315">
        <f t="shared" si="1"/>
        <v>324</v>
      </c>
      <c r="L37" s="390" t="s">
        <v>268</v>
      </c>
    </row>
    <row r="38" spans="1:12" ht="14.5" x14ac:dyDescent="0.35">
      <c r="A38" s="310" t="str">
        <v>PBM008</v>
      </c>
      <c r="B38" s="561" t="str">
        <f>INDEX(bhpc_data[description],MATCH($A38,bhpc_data[sku],0))</f>
        <v>BHPC WOMEN BODY MIST #8 EXOTIC FRAGRANCE 200ML</v>
      </c>
      <c r="C38" s="312"/>
      <c r="D38" s="312"/>
      <c r="E38" s="313"/>
      <c r="F38" s="314" t="s">
        <v>960</v>
      </c>
      <c r="G38" s="314">
        <v>120</v>
      </c>
      <c r="H38" s="315">
        <v>2.7</v>
      </c>
      <c r="I38" s="314">
        <f>CEILING(G38/24,1)</f>
        <v>5</v>
      </c>
      <c r="J38" s="395">
        <f>INDEX(bhpc_data[ean],MATCH(A38,bhpc_data[sku],0))</f>
        <v>6291107164250</v>
      </c>
      <c r="K38" s="315">
        <f t="shared" si="1"/>
        <v>324</v>
      </c>
      <c r="L38" s="390" t="s">
        <v>268</v>
      </c>
    </row>
    <row r="39" spans="1:12" ht="14.5" x14ac:dyDescent="0.35">
      <c r="A39" s="310" t="str">
        <v>PBM002</v>
      </c>
      <c r="B39" s="561" t="str">
        <f>INDEX(bhpc_data[description],MATCH($A39,bhpc_data[sku],0))</f>
        <v>BHPC WOMEN BODY MIST #2 CLASSIC FOUGERE 200ML</v>
      </c>
      <c r="C39" s="312"/>
      <c r="D39" s="312"/>
      <c r="E39" s="313"/>
      <c r="F39" s="314" t="s">
        <v>960</v>
      </c>
      <c r="G39" s="314">
        <v>120</v>
      </c>
      <c r="H39" s="315">
        <v>2.7</v>
      </c>
      <c r="I39" s="314">
        <f>CEILING(G39/24,1)</f>
        <v>5</v>
      </c>
      <c r="J39" s="395">
        <f>INDEX(bhpc_data[ean],MATCH(A39,bhpc_data[sku],0))</f>
        <v>6291107164243</v>
      </c>
      <c r="K39" s="315">
        <f t="shared" si="1"/>
        <v>324</v>
      </c>
      <c r="L39" s="390" t="s">
        <v>268</v>
      </c>
    </row>
    <row r="40" spans="1:12" ht="14.5" x14ac:dyDescent="0.35">
      <c r="A40" s="310"/>
      <c r="B40" s="561"/>
      <c r="C40" s="312"/>
      <c r="D40" s="312"/>
      <c r="E40" s="313"/>
      <c r="F40" s="314"/>
      <c r="G40" s="314"/>
      <c r="H40" s="315"/>
      <c r="I40" s="314"/>
      <c r="J40" s="395"/>
      <c r="K40" s="315"/>
      <c r="L40" s="390"/>
    </row>
    <row r="41" spans="1:12" ht="14.5" x14ac:dyDescent="0.35">
      <c r="A41" s="310"/>
      <c r="B41" s="561"/>
      <c r="C41" s="312"/>
      <c r="D41" s="312"/>
      <c r="E41" s="313"/>
      <c r="F41" s="314"/>
      <c r="G41" s="314"/>
      <c r="H41" s="315"/>
      <c r="I41" s="314"/>
      <c r="J41" s="395"/>
      <c r="K41" s="315"/>
      <c r="L41" s="390"/>
    </row>
    <row r="42" spans="1:12" ht="14.5" x14ac:dyDescent="0.35">
      <c r="A42" s="310"/>
      <c r="B42" s="561"/>
      <c r="C42" s="312"/>
      <c r="D42" s="312"/>
      <c r="E42" s="313"/>
      <c r="F42" s="314"/>
      <c r="G42" s="314"/>
      <c r="H42" s="315"/>
      <c r="I42" s="314"/>
      <c r="J42" s="395"/>
      <c r="K42" s="315"/>
      <c r="L42" s="390"/>
    </row>
    <row r="43" spans="1:12" ht="14.5" x14ac:dyDescent="0.35">
      <c r="A43" s="310"/>
      <c r="B43" s="561"/>
      <c r="C43" s="312"/>
      <c r="D43" s="312"/>
      <c r="E43" s="313"/>
      <c r="F43" s="314"/>
      <c r="G43" s="314"/>
      <c r="H43" s="315"/>
      <c r="I43" s="314"/>
      <c r="J43" s="395"/>
      <c r="K43" s="315"/>
      <c r="L43" s="390"/>
    </row>
    <row r="44" spans="1:12" ht="14.5" x14ac:dyDescent="0.35">
      <c r="A44" s="310"/>
      <c r="B44" s="561"/>
      <c r="C44" s="312"/>
      <c r="D44" s="312"/>
      <c r="E44" s="313"/>
      <c r="F44" s="314"/>
      <c r="G44" s="314"/>
      <c r="H44" s="315"/>
      <c r="I44" s="314"/>
      <c r="J44" s="395"/>
      <c r="K44" s="315"/>
      <c r="L44" s="390"/>
    </row>
    <row r="45" spans="1:12" ht="14.5" x14ac:dyDescent="0.35">
      <c r="A45" s="310"/>
      <c r="B45" s="561"/>
      <c r="C45" s="312"/>
      <c r="D45" s="312"/>
      <c r="E45" s="313"/>
      <c r="F45" s="314"/>
      <c r="G45" s="314"/>
      <c r="H45" s="315"/>
      <c r="I45" s="314"/>
      <c r="J45" s="395"/>
      <c r="K45" s="315"/>
      <c r="L45" s="390"/>
    </row>
    <row r="46" spans="1:12" ht="14.5" x14ac:dyDescent="0.35">
      <c r="A46" s="310"/>
      <c r="B46" s="561"/>
      <c r="C46" s="312"/>
      <c r="D46" s="312"/>
      <c r="E46" s="313"/>
      <c r="F46" s="314"/>
      <c r="G46" s="314"/>
      <c r="H46" s="315"/>
      <c r="I46" s="314"/>
      <c r="J46" s="395"/>
      <c r="K46" s="315"/>
      <c r="L46" s="390"/>
    </row>
    <row r="47" spans="1:12" ht="14.5" x14ac:dyDescent="0.35">
      <c r="A47" s="310"/>
      <c r="B47" s="561"/>
      <c r="C47" s="312"/>
      <c r="D47" s="312"/>
      <c r="E47" s="313"/>
      <c r="F47" s="314"/>
      <c r="G47" s="314"/>
      <c r="H47" s="315"/>
      <c r="I47" s="314"/>
      <c r="J47" s="395"/>
      <c r="K47" s="315"/>
      <c r="L47" s="390"/>
    </row>
    <row r="48" spans="1:12" ht="14.5" x14ac:dyDescent="0.35">
      <c r="A48" s="310"/>
      <c r="B48" s="561"/>
      <c r="C48" s="312"/>
      <c r="D48" s="312"/>
      <c r="E48" s="313"/>
      <c r="F48" s="314"/>
      <c r="G48" s="314"/>
      <c r="H48" s="315"/>
      <c r="I48" s="314"/>
      <c r="J48" s="395"/>
      <c r="K48" s="315"/>
      <c r="L48" s="390"/>
    </row>
    <row r="49" spans="1:12" ht="14.5" x14ac:dyDescent="0.35">
      <c r="A49" s="310"/>
      <c r="B49" s="561"/>
      <c r="C49" s="312"/>
      <c r="D49" s="312"/>
      <c r="E49" s="313"/>
      <c r="F49" s="314"/>
      <c r="G49" s="314"/>
      <c r="H49" s="315"/>
      <c r="I49" s="314"/>
      <c r="J49" s="395"/>
      <c r="K49" s="315"/>
      <c r="L49" s="390"/>
    </row>
    <row r="50" spans="1:12" ht="14.5" x14ac:dyDescent="0.35">
      <c r="A50" s="310"/>
      <c r="B50" s="561"/>
      <c r="C50" s="344"/>
      <c r="D50" s="312"/>
      <c r="E50" s="313"/>
      <c r="F50" s="314"/>
      <c r="G50" s="314"/>
      <c r="H50" s="315"/>
      <c r="I50" s="314"/>
      <c r="J50" s="395"/>
      <c r="K50" s="315"/>
      <c r="L50" s="390"/>
    </row>
    <row r="51" spans="1:12" ht="14.5" x14ac:dyDescent="0.35">
      <c r="A51" s="310"/>
      <c r="B51" s="561"/>
      <c r="C51" s="312"/>
      <c r="D51" s="312"/>
      <c r="E51" s="313"/>
      <c r="F51" s="314"/>
      <c r="G51" s="314"/>
      <c r="H51" s="315"/>
      <c r="I51" s="314"/>
      <c r="J51" s="395"/>
      <c r="K51" s="315"/>
      <c r="L51" s="390"/>
    </row>
    <row r="52" spans="1:12" ht="14.5" x14ac:dyDescent="0.35">
      <c r="A52" s="310"/>
      <c r="B52" s="561"/>
      <c r="C52" s="312"/>
      <c r="D52" s="312"/>
      <c r="E52" s="313"/>
      <c r="F52" s="314"/>
      <c r="G52" s="314"/>
      <c r="H52" s="315"/>
      <c r="I52" s="314"/>
      <c r="J52" s="395"/>
      <c r="K52" s="315"/>
      <c r="L52" s="390"/>
    </row>
    <row r="53" spans="1:12" ht="14.5" x14ac:dyDescent="0.35">
      <c r="A53" s="310"/>
      <c r="B53" s="561"/>
      <c r="C53" s="312"/>
      <c r="D53" s="312"/>
      <c r="E53" s="313"/>
      <c r="F53" s="314"/>
      <c r="G53" s="314"/>
      <c r="H53" s="315"/>
      <c r="I53" s="314"/>
      <c r="J53" s="395"/>
      <c r="K53" s="315"/>
      <c r="L53" s="390"/>
    </row>
    <row r="54" spans="1:12" ht="14.5" x14ac:dyDescent="0.35">
      <c r="A54" s="310"/>
      <c r="B54" s="561"/>
      <c r="C54" s="312"/>
      <c r="D54" s="312"/>
      <c r="E54" s="313"/>
      <c r="F54" s="314"/>
      <c r="G54" s="314"/>
      <c r="H54" s="315"/>
      <c r="I54" s="314"/>
      <c r="J54" s="395"/>
      <c r="K54" s="315"/>
      <c r="L54" s="390"/>
    </row>
    <row r="55" spans="1:12" ht="14.5" x14ac:dyDescent="0.35">
      <c r="A55" s="310"/>
      <c r="B55" s="561"/>
      <c r="C55" s="312"/>
      <c r="D55" s="312"/>
      <c r="E55" s="313"/>
      <c r="F55" s="314"/>
      <c r="G55" s="314"/>
      <c r="H55" s="315"/>
      <c r="I55" s="314"/>
      <c r="J55" s="395"/>
      <c r="K55" s="315"/>
      <c r="L55" s="390"/>
    </row>
    <row r="56" spans="1:12" ht="14.5" x14ac:dyDescent="0.35">
      <c r="A56" s="310"/>
      <c r="B56" s="561"/>
      <c r="C56" s="312"/>
      <c r="D56" s="312"/>
      <c r="E56" s="313"/>
      <c r="F56" s="314"/>
      <c r="G56" s="314"/>
      <c r="H56" s="315"/>
      <c r="I56" s="314"/>
      <c r="J56" s="395"/>
      <c r="K56" s="315"/>
      <c r="L56" s="390"/>
    </row>
    <row r="57" spans="1:12" ht="14.5" x14ac:dyDescent="0.35">
      <c r="A57" s="310"/>
      <c r="B57" s="561"/>
      <c r="C57" s="312"/>
      <c r="D57" s="312"/>
      <c r="E57" s="313"/>
      <c r="F57" s="314"/>
      <c r="G57" s="314"/>
      <c r="H57" s="315"/>
      <c r="I57" s="314"/>
      <c r="J57" s="395"/>
      <c r="K57" s="315"/>
      <c r="L57" s="390"/>
    </row>
    <row r="58" spans="1:12" ht="9.65" customHeight="1" x14ac:dyDescent="0.35">
      <c r="A58" s="565"/>
      <c r="B58" s="568"/>
      <c r="C58" s="654"/>
      <c r="D58" s="655"/>
      <c r="E58" s="565" t="s">
        <v>501</v>
      </c>
      <c r="F58" s="566"/>
      <c r="G58" s="568"/>
      <c r="H58" s="640" t="s">
        <v>486</v>
      </c>
      <c r="I58" s="566"/>
      <c r="J58" s="566"/>
      <c r="K58" s="641"/>
      <c r="L58" s="568"/>
    </row>
    <row r="59" spans="1:12" s="138" customFormat="1" ht="14.5" customHeight="1" x14ac:dyDescent="0.35">
      <c r="A59" s="563"/>
      <c r="B59" s="564"/>
      <c r="C59" s="656"/>
      <c r="D59" s="657"/>
      <c r="E59" s="632">
        <f>SUM($K$13:$K$57)</f>
        <v>28778.480000000007</v>
      </c>
      <c r="F59" s="642"/>
      <c r="G59" s="633"/>
      <c r="H59" s="622">
        <f>SUM(K14:K57)</f>
        <v>28778.480000000007</v>
      </c>
      <c r="I59" s="583"/>
      <c r="J59" s="583"/>
      <c r="K59" s="583"/>
      <c r="L59" s="584"/>
    </row>
    <row r="60" spans="1:12" ht="9.65" customHeight="1" x14ac:dyDescent="0.35">
      <c r="A60" s="565" t="s">
        <v>487</v>
      </c>
      <c r="B60" s="568"/>
      <c r="C60" s="139" t="s">
        <v>488</v>
      </c>
      <c r="D60" s="565" t="s">
        <v>489</v>
      </c>
      <c r="E60" s="580"/>
      <c r="F60" s="565" t="s">
        <v>490</v>
      </c>
      <c r="G60" s="568"/>
      <c r="H60" s="638" t="s">
        <v>491</v>
      </c>
      <c r="I60" s="581"/>
      <c r="J60" s="581"/>
      <c r="K60" s="639"/>
      <c r="L60" s="579"/>
    </row>
    <row r="61" spans="1:12" ht="14.5" customHeight="1" x14ac:dyDescent="0.35">
      <c r="A61" s="590" t="str">
        <f>A108</f>
        <v>NON IMPONIBILE ART.8</v>
      </c>
      <c r="B61" s="591"/>
      <c r="C61" s="594" t="str">
        <f>C108</f>
        <v>053</v>
      </c>
      <c r="D61" s="629">
        <f>H59</f>
        <v>28778.480000000007</v>
      </c>
      <c r="E61" s="645"/>
      <c r="F61" s="634">
        <f>IF(C61="022",22%,0)</f>
        <v>0</v>
      </c>
      <c r="G61" s="635"/>
      <c r="H61" s="622">
        <f>H59</f>
        <v>28778.480000000007</v>
      </c>
      <c r="I61" s="583"/>
      <c r="J61" s="583"/>
      <c r="K61" s="583"/>
      <c r="L61" s="584"/>
    </row>
    <row r="62" spans="1:12" x14ac:dyDescent="0.35">
      <c r="A62" s="590"/>
      <c r="B62" s="591"/>
      <c r="C62" s="643"/>
      <c r="D62" s="629"/>
      <c r="E62" s="645"/>
      <c r="F62" s="634"/>
      <c r="G62" s="635"/>
      <c r="H62" s="638" t="s">
        <v>492</v>
      </c>
      <c r="I62" s="581"/>
      <c r="J62" s="581"/>
      <c r="K62" s="639"/>
      <c r="L62" s="579"/>
    </row>
    <row r="63" spans="1:12" ht="14.5" customHeight="1" x14ac:dyDescent="0.35">
      <c r="A63" s="590"/>
      <c r="B63" s="591"/>
      <c r="C63" s="643"/>
      <c r="D63" s="629"/>
      <c r="E63" s="630"/>
      <c r="F63" s="634"/>
      <c r="G63" s="635"/>
      <c r="H63" s="622">
        <f>SEK61*F61</f>
        <v>0</v>
      </c>
      <c r="I63" s="583"/>
      <c r="J63" s="583"/>
      <c r="K63" s="583"/>
      <c r="L63" s="584"/>
    </row>
    <row r="64" spans="1:12" x14ac:dyDescent="0.35">
      <c r="A64" s="590"/>
      <c r="B64" s="591"/>
      <c r="C64" s="643"/>
      <c r="D64" s="629"/>
      <c r="E64" s="630"/>
      <c r="F64" s="634"/>
      <c r="G64" s="635"/>
      <c r="H64" s="638" t="s">
        <v>493</v>
      </c>
      <c r="I64" s="581"/>
      <c r="J64" s="581"/>
      <c r="K64" s="639"/>
      <c r="L64" s="579"/>
    </row>
    <row r="65" spans="1:12" ht="14.5" customHeight="1" x14ac:dyDescent="0.35">
      <c r="A65" s="592"/>
      <c r="B65" s="593"/>
      <c r="C65" s="644"/>
      <c r="D65" s="632"/>
      <c r="E65" s="633"/>
      <c r="F65" s="636"/>
      <c r="G65" s="637"/>
      <c r="H65" s="622">
        <f>H59+H63</f>
        <v>28778.480000000007</v>
      </c>
      <c r="I65" s="583"/>
      <c r="J65" s="583"/>
      <c r="K65" s="583"/>
      <c r="L65" s="584"/>
    </row>
    <row r="66" spans="1:12" ht="14.5" x14ac:dyDescent="0.35">
      <c r="A66" s="322"/>
      <c r="B66" s="258" t="s">
        <v>502</v>
      </c>
      <c r="C66" s="323"/>
      <c r="D66" s="323"/>
      <c r="E66" s="324"/>
      <c r="F66" s="224"/>
      <c r="G66" s="325"/>
      <c r="H66" s="326"/>
      <c r="I66" s="325"/>
      <c r="J66" s="396"/>
      <c r="K66" s="326"/>
      <c r="L66" s="406"/>
    </row>
    <row r="67" spans="1:12" ht="14.5" x14ac:dyDescent="0.35">
      <c r="A67" s="310" t="str">
        <f t="array" ref="A67:A80">INDEX(salesHistory[sku], SMALL(IF((salesHistory[foc_qty]&lt;&gt;0)*(salesHistory[order_no]=9), ROW(salesHistory[qty])-MIN(ROW(salesHistory[qty]))+1), ROW(A1:A14)))</f>
        <v>P05004</v>
      </c>
      <c r="B67" s="561" t="str">
        <f>INDEX(bhpc_data[description],MATCH($A67,bhpc_data[sku],0))</f>
        <v>BHPC SPORT MEN 1 EDT 100ML</v>
      </c>
      <c r="C67" s="312"/>
      <c r="D67" s="312"/>
      <c r="E67" s="313"/>
      <c r="F67" s="314" t="s">
        <v>960</v>
      </c>
      <c r="G67" s="314">
        <f t="array" ref="G67:G80">INDEX(salesHistory[foc_qty], SMALL(IF((salesHistory[foc_qty]&lt;&gt;0)*(salesHistory[order_no]=9), ROW(salesHistory[qty])-MIN(ROW(salesHistory[qty]))+1), ROW(A1:A14)))</f>
        <v>18</v>
      </c>
      <c r="H67" s="315">
        <v>0</v>
      </c>
      <c r="I67" s="314">
        <f t="shared" ref="I67:I80" si="3">CEILING(G67/24,1)</f>
        <v>1</v>
      </c>
      <c r="J67" s="395">
        <f>INDEX(bhpc_data[ean],MATCH(A67,bhpc_data[sku],0))</f>
        <v>8718719850046</v>
      </c>
      <c r="K67" s="315">
        <f t="shared" ref="K67:K80" si="4">G67*H67</f>
        <v>0</v>
      </c>
      <c r="L67" s="390" t="s">
        <v>268</v>
      </c>
    </row>
    <row r="68" spans="1:12" ht="14.5" x14ac:dyDescent="0.35">
      <c r="A68" s="310" t="str">
        <v>P05005</v>
      </c>
      <c r="B68" s="561" t="str">
        <f>INDEX(bhpc_data[description],MATCH($A68,bhpc_data[sku],0))</f>
        <v>BHPC SPORT MEN 9 EDT 100ML</v>
      </c>
      <c r="C68" s="312"/>
      <c r="D68" s="312"/>
      <c r="E68" s="313"/>
      <c r="F68" s="314" t="s">
        <v>960</v>
      </c>
      <c r="G68" s="314">
        <v>11</v>
      </c>
      <c r="H68" s="315">
        <v>0</v>
      </c>
      <c r="I68" s="314">
        <f t="shared" si="3"/>
        <v>1</v>
      </c>
      <c r="J68" s="395">
        <f>INDEX(bhpc_data[ean],MATCH(A68,bhpc_data[sku],0))</f>
        <v>8718719850053</v>
      </c>
      <c r="K68" s="315">
        <f t="shared" si="4"/>
        <v>0</v>
      </c>
      <c r="L68" s="390" t="s">
        <v>268</v>
      </c>
    </row>
    <row r="69" spans="1:12" ht="14.5" x14ac:dyDescent="0.35">
      <c r="A69" s="310" t="str">
        <v>P05006</v>
      </c>
      <c r="B69" s="561" t="str">
        <f>INDEX(bhpc_data[description],MATCH($A69,bhpc_data[sku],0))</f>
        <v>BHPC SPORT MEN 8 EDT 100ML</v>
      </c>
      <c r="C69" s="312"/>
      <c r="D69" s="312"/>
      <c r="E69" s="313"/>
      <c r="F69" s="314" t="s">
        <v>960</v>
      </c>
      <c r="G69" s="314">
        <v>18</v>
      </c>
      <c r="H69" s="315">
        <v>0</v>
      </c>
      <c r="I69" s="314">
        <f t="shared" si="3"/>
        <v>1</v>
      </c>
      <c r="J69" s="395">
        <f>INDEX(bhpc_data[ean],MATCH(A69,bhpc_data[sku],0))</f>
        <v>8718719850060</v>
      </c>
      <c r="K69" s="315">
        <f t="shared" si="4"/>
        <v>0</v>
      </c>
      <c r="L69" s="390" t="s">
        <v>268</v>
      </c>
    </row>
    <row r="70" spans="1:12" ht="14.5" x14ac:dyDescent="0.35">
      <c r="A70" s="310" t="str">
        <v>P05007</v>
      </c>
      <c r="B70" s="561" t="str">
        <f>INDEX(bhpc_data[description],MATCH($A70,bhpc_data[sku],0))</f>
        <v>BHPC SPORT MEN 2 EDT 100ML</v>
      </c>
      <c r="C70" s="312"/>
      <c r="D70" s="312"/>
      <c r="E70" s="313"/>
      <c r="F70" s="314" t="s">
        <v>960</v>
      </c>
      <c r="G70" s="314">
        <v>11</v>
      </c>
      <c r="H70" s="315">
        <v>0</v>
      </c>
      <c r="I70" s="314">
        <f t="shared" si="3"/>
        <v>1</v>
      </c>
      <c r="J70" s="395">
        <f>INDEX(bhpc_data[ean],MATCH(A70,bhpc_data[sku],0))</f>
        <v>8718719850077</v>
      </c>
      <c r="K70" s="315">
        <f t="shared" si="4"/>
        <v>0</v>
      </c>
      <c r="L70" s="390" t="s">
        <v>268</v>
      </c>
    </row>
    <row r="71" spans="1:12" ht="14.5" x14ac:dyDescent="0.35">
      <c r="A71" s="310" t="str">
        <v>P05050</v>
      </c>
      <c r="B71" s="561" t="str">
        <f>INDEX(bhpc_data[description],MATCH($A71,bhpc_data[sku],0))</f>
        <v>BHPC WOMEN 1 EDP 100ML</v>
      </c>
      <c r="C71" s="312"/>
      <c r="D71" s="312"/>
      <c r="E71" s="313"/>
      <c r="F71" s="314" t="s">
        <v>960</v>
      </c>
      <c r="G71" s="314">
        <v>18</v>
      </c>
      <c r="H71" s="315">
        <v>0</v>
      </c>
      <c r="I71" s="314">
        <f t="shared" si="3"/>
        <v>1</v>
      </c>
      <c r="J71" s="395">
        <f>INDEX(bhpc_data[ean],MATCH(A71,bhpc_data[sku],0))</f>
        <v>6291107162713</v>
      </c>
      <c r="K71" s="315">
        <f t="shared" si="4"/>
        <v>0</v>
      </c>
      <c r="L71" s="390" t="s">
        <v>268</v>
      </c>
    </row>
    <row r="72" spans="1:12" ht="14.5" x14ac:dyDescent="0.35">
      <c r="A72" s="310" t="str">
        <v>P05051</v>
      </c>
      <c r="B72" s="561" t="str">
        <f>INDEX(bhpc_data[description],MATCH($A72,bhpc_data[sku],0))</f>
        <v>BHPC WOMEN 9 EDP 100ML</v>
      </c>
      <c r="C72" s="344"/>
      <c r="D72" s="122"/>
      <c r="E72" s="313"/>
      <c r="F72" s="314" t="s">
        <v>960</v>
      </c>
      <c r="G72" s="314">
        <v>18</v>
      </c>
      <c r="H72" s="315">
        <v>0</v>
      </c>
      <c r="I72" s="314">
        <f t="shared" si="3"/>
        <v>1</v>
      </c>
      <c r="J72" s="395">
        <f>INDEX(bhpc_data[ean],MATCH(A72,bhpc_data[sku],0))</f>
        <v>6291107162720</v>
      </c>
      <c r="K72" s="315">
        <f t="shared" si="4"/>
        <v>0</v>
      </c>
      <c r="L72" s="390" t="s">
        <v>268</v>
      </c>
    </row>
    <row r="73" spans="1:12" ht="14.5" x14ac:dyDescent="0.35">
      <c r="A73" s="310" t="str">
        <v>P05052</v>
      </c>
      <c r="B73" s="561" t="str">
        <f>INDEX(bhpc_data[description],MATCH($A73,bhpc_data[sku],0))</f>
        <v>BHPC WOMEN 8 EDP 100ML</v>
      </c>
      <c r="C73" s="344"/>
      <c r="D73" s="122"/>
      <c r="E73" s="313"/>
      <c r="F73" s="314" t="s">
        <v>960</v>
      </c>
      <c r="G73" s="314">
        <v>15</v>
      </c>
      <c r="H73" s="315">
        <v>0</v>
      </c>
      <c r="I73" s="314">
        <f t="shared" si="3"/>
        <v>1</v>
      </c>
      <c r="J73" s="395">
        <f>INDEX(bhpc_data[ean],MATCH(A73,bhpc_data[sku],0))</f>
        <v>6291107162737</v>
      </c>
      <c r="K73" s="315">
        <f t="shared" si="4"/>
        <v>0</v>
      </c>
      <c r="L73" s="390" t="s">
        <v>268</v>
      </c>
    </row>
    <row r="74" spans="1:12" ht="14.5" x14ac:dyDescent="0.35">
      <c r="A74" s="310" t="str">
        <v>P05053</v>
      </c>
      <c r="B74" s="561" t="str">
        <f>INDEX(bhpc_data[description],MATCH($A74,bhpc_data[sku],0))</f>
        <v>BHPC WOMEN 2 EDP 100ML</v>
      </c>
      <c r="C74" s="344"/>
      <c r="D74" s="347"/>
      <c r="E74" s="313"/>
      <c r="F74" s="314" t="s">
        <v>960</v>
      </c>
      <c r="G74" s="314">
        <v>15</v>
      </c>
      <c r="H74" s="315">
        <v>0</v>
      </c>
      <c r="I74" s="314">
        <f t="shared" si="3"/>
        <v>1</v>
      </c>
      <c r="J74" s="395">
        <f>INDEX(bhpc_data[ean],MATCH(A74,bhpc_data[sku],0))</f>
        <v>6291107162744</v>
      </c>
      <c r="K74" s="315">
        <f t="shared" si="4"/>
        <v>0</v>
      </c>
      <c r="L74" s="390" t="s">
        <v>268</v>
      </c>
    </row>
    <row r="75" spans="1:12" ht="14.5" x14ac:dyDescent="0.35">
      <c r="A75" s="310" t="str">
        <v>P06000</v>
      </c>
      <c r="B75" s="561" t="str">
        <f>INDEX(bhpc_data[description],MATCH($A75,bhpc_data[sku],0))</f>
        <v>BHPC PRESTIGE TROPHY 100ML EDP MEN</v>
      </c>
      <c r="C75" s="344"/>
      <c r="D75" s="122"/>
      <c r="E75" s="313"/>
      <c r="F75" s="314" t="s">
        <v>960</v>
      </c>
      <c r="G75" s="314">
        <v>6</v>
      </c>
      <c r="H75" s="315">
        <v>0</v>
      </c>
      <c r="I75" s="314">
        <f t="shared" si="3"/>
        <v>1</v>
      </c>
      <c r="J75" s="395">
        <f>INDEX(bhpc_data[ean],MATCH(A75,bhpc_data[sku],0))</f>
        <v>6291107160771</v>
      </c>
      <c r="K75" s="315">
        <f t="shared" si="4"/>
        <v>0</v>
      </c>
      <c r="L75" s="390" t="s">
        <v>268</v>
      </c>
    </row>
    <row r="76" spans="1:12" ht="14.5" x14ac:dyDescent="0.35">
      <c r="A76" s="310" t="str">
        <v>P06003</v>
      </c>
      <c r="B76" s="561" t="str">
        <f>INDEX(bhpc_data[description],MATCH($A76,bhpc_data[sku],0))</f>
        <v>BHPC PRESTIGE TITAN 100ML EDP MEN</v>
      </c>
      <c r="C76" s="344"/>
      <c r="D76" s="122"/>
      <c r="E76" s="313"/>
      <c r="F76" s="314" t="s">
        <v>960</v>
      </c>
      <c r="G76" s="314">
        <v>6</v>
      </c>
      <c r="H76" s="315">
        <v>0</v>
      </c>
      <c r="I76" s="314">
        <f t="shared" si="3"/>
        <v>1</v>
      </c>
      <c r="J76" s="395">
        <f>INDEX(bhpc_data[ean],MATCH(A76,bhpc_data[sku],0))</f>
        <v>6291107160801</v>
      </c>
      <c r="K76" s="315">
        <f t="shared" si="4"/>
        <v>0</v>
      </c>
      <c r="L76" s="390" t="s">
        <v>268</v>
      </c>
    </row>
    <row r="77" spans="1:12" ht="14.5" x14ac:dyDescent="0.35">
      <c r="A77" s="310" t="str">
        <v>P06004</v>
      </c>
      <c r="B77" s="561" t="str">
        <f>INDEX(bhpc_data[description],MATCH($A77,bhpc_data[sku],0))</f>
        <v>BHPC PRESTIGE ELEGANCE 100ML EDP WOMEN</v>
      </c>
      <c r="C77" s="312"/>
      <c r="D77" s="312"/>
      <c r="E77" s="313"/>
      <c r="F77" s="314" t="s">
        <v>960</v>
      </c>
      <c r="G77" s="314">
        <v>6</v>
      </c>
      <c r="H77" s="315">
        <v>0</v>
      </c>
      <c r="I77" s="314">
        <f t="shared" si="3"/>
        <v>1</v>
      </c>
      <c r="J77" s="395">
        <f>INDEX(bhpc_data[ean],MATCH(A77,bhpc_data[sku],0))</f>
        <v>6291107160825</v>
      </c>
      <c r="K77" s="315">
        <f t="shared" si="4"/>
        <v>0</v>
      </c>
      <c r="L77" s="390" t="s">
        <v>268</v>
      </c>
    </row>
    <row r="78" spans="1:12" ht="14.5" x14ac:dyDescent="0.35">
      <c r="A78" s="310" t="str">
        <v>P06005</v>
      </c>
      <c r="B78" s="561" t="str">
        <f>INDEX(bhpc_data[description],MATCH($A78,bhpc_data[sku],0))</f>
        <v>BHPC PRESTIGE CHALLENGE 100ML EDP WOMEN</v>
      </c>
      <c r="C78" s="312"/>
      <c r="D78" s="312"/>
      <c r="E78" s="313"/>
      <c r="F78" s="314" t="s">
        <v>960</v>
      </c>
      <c r="G78" s="314">
        <v>6</v>
      </c>
      <c r="H78" s="315">
        <v>0</v>
      </c>
      <c r="I78" s="314">
        <f t="shared" si="3"/>
        <v>1</v>
      </c>
      <c r="J78" s="395">
        <f>INDEX(bhpc_data[ean],MATCH(A78,bhpc_data[sku],0))</f>
        <v>6291107160818</v>
      </c>
      <c r="K78" s="315">
        <f t="shared" si="4"/>
        <v>0</v>
      </c>
      <c r="L78" s="390" t="s">
        <v>268</v>
      </c>
    </row>
    <row r="79" spans="1:12" ht="14.5" x14ac:dyDescent="0.35">
      <c r="A79" s="310" t="str">
        <v>P06006</v>
      </c>
      <c r="B79" s="561" t="str">
        <f>INDEX(bhpc_data[description],MATCH($A79,bhpc_data[sku],0))</f>
        <v>BHPC PRESTIGE MYSTIQUE 100ML EDP WOMEN</v>
      </c>
      <c r="C79" s="312"/>
      <c r="D79" s="312"/>
      <c r="E79" s="313"/>
      <c r="F79" s="314" t="s">
        <v>960</v>
      </c>
      <c r="G79" s="314">
        <v>6</v>
      </c>
      <c r="H79" s="315">
        <v>0</v>
      </c>
      <c r="I79" s="314">
        <f t="shared" si="3"/>
        <v>1</v>
      </c>
      <c r="J79" s="395">
        <f>INDEX(bhpc_data[ean],MATCH(A79,bhpc_data[sku],0))</f>
        <v>6291107162171</v>
      </c>
      <c r="K79" s="315">
        <f t="shared" si="4"/>
        <v>0</v>
      </c>
      <c r="L79" s="390" t="s">
        <v>268</v>
      </c>
    </row>
    <row r="80" spans="1:12" ht="14.5" x14ac:dyDescent="0.35">
      <c r="A80" s="310" t="str">
        <v>P06007</v>
      </c>
      <c r="B80" s="561" t="str">
        <f>INDEX(bhpc_data[description],MATCH($A80,bhpc_data[sku],0))</f>
        <v>BHPC PRESTIGE PASSION 100ML EDP WOMEN</v>
      </c>
      <c r="C80" s="344"/>
      <c r="D80" s="122"/>
      <c r="E80" s="313"/>
      <c r="F80" s="314" t="s">
        <v>960</v>
      </c>
      <c r="G80" s="314">
        <v>12</v>
      </c>
      <c r="H80" s="315">
        <v>0</v>
      </c>
      <c r="I80" s="314">
        <f t="shared" si="3"/>
        <v>1</v>
      </c>
      <c r="J80" s="395">
        <f>INDEX(bhpc_data[ean],MATCH(A80,bhpc_data[sku],0))</f>
        <v>6291107162188</v>
      </c>
      <c r="K80" s="315">
        <f t="shared" si="4"/>
        <v>0</v>
      </c>
      <c r="L80" s="390" t="s">
        <v>268</v>
      </c>
    </row>
    <row r="81" spans="1:12" ht="14.5" x14ac:dyDescent="0.35">
      <c r="A81" s="310"/>
      <c r="B81" s="561"/>
      <c r="C81" s="344"/>
      <c r="D81" s="122"/>
      <c r="E81" s="313"/>
      <c r="F81" s="314"/>
      <c r="G81" s="314"/>
      <c r="H81" s="315"/>
      <c r="I81" s="314"/>
      <c r="J81" s="395"/>
      <c r="K81" s="315"/>
      <c r="L81" s="390"/>
    </row>
    <row r="82" spans="1:12" ht="14.5" x14ac:dyDescent="0.35">
      <c r="A82" s="310"/>
      <c r="B82" s="561"/>
      <c r="C82" s="344"/>
      <c r="D82" s="347"/>
      <c r="E82" s="313"/>
      <c r="F82" s="314"/>
      <c r="G82" s="314"/>
      <c r="H82" s="315"/>
      <c r="I82" s="314"/>
      <c r="J82" s="395"/>
      <c r="K82" s="315"/>
      <c r="L82" s="390"/>
    </row>
    <row r="83" spans="1:12" ht="14.5" x14ac:dyDescent="0.35">
      <c r="A83" s="310"/>
      <c r="B83" s="561"/>
      <c r="C83" s="344"/>
      <c r="D83" s="122"/>
      <c r="E83" s="313"/>
      <c r="F83" s="314"/>
      <c r="G83" s="314"/>
      <c r="H83" s="315"/>
      <c r="I83" s="314"/>
      <c r="J83" s="395"/>
      <c r="K83" s="315"/>
      <c r="L83" s="390"/>
    </row>
    <row r="84" spans="1:12" ht="14.5" x14ac:dyDescent="0.35">
      <c r="A84" s="310"/>
      <c r="B84" s="561"/>
      <c r="C84" s="344" t="s">
        <v>1098</v>
      </c>
      <c r="D84" s="122" t="str">
        <f>CONCATENATE(plModel12!$A$114," Kg.")</f>
        <v>1198,3 Kg.</v>
      </c>
      <c r="E84" s="313"/>
      <c r="F84" s="314"/>
      <c r="G84" s="314"/>
      <c r="H84" s="315"/>
      <c r="I84" s="314"/>
      <c r="J84" s="395"/>
      <c r="K84" s="315"/>
      <c r="L84" s="390"/>
    </row>
    <row r="85" spans="1:12" ht="14.5" x14ac:dyDescent="0.35">
      <c r="A85" s="310"/>
      <c r="B85" s="561"/>
      <c r="C85" s="344" t="s">
        <v>1099</v>
      </c>
      <c r="D85" s="122" t="str">
        <f>CONCATENATE(plModel12!$C$114," Kg.")</f>
        <v>1314,2 Kg.</v>
      </c>
      <c r="E85" s="313"/>
      <c r="F85" s="314"/>
      <c r="G85" s="314"/>
      <c r="H85" s="315"/>
      <c r="I85" s="314"/>
      <c r="J85" s="395"/>
      <c r="K85" s="315"/>
      <c r="L85" s="390"/>
    </row>
    <row r="86" spans="1:12" ht="14.5" x14ac:dyDescent="0.35">
      <c r="A86" s="310"/>
      <c r="B86" s="561"/>
      <c r="C86" s="344" t="s">
        <v>1100</v>
      </c>
      <c r="D86" s="347">
        <f>plModel12!$C$112</f>
        <v>206</v>
      </c>
      <c r="E86" s="313"/>
      <c r="F86" s="314"/>
      <c r="G86" s="314"/>
      <c r="H86" s="315"/>
      <c r="I86" s="314"/>
      <c r="J86" s="395"/>
      <c r="K86" s="315"/>
      <c r="L86" s="390"/>
    </row>
    <row r="87" spans="1:12" ht="14.5" x14ac:dyDescent="0.35">
      <c r="A87" s="310"/>
      <c r="B87" s="561"/>
      <c r="C87" s="344" t="s">
        <v>1101</v>
      </c>
      <c r="D87" s="122">
        <f>plModel12!$E$112</f>
        <v>0</v>
      </c>
      <c r="E87" s="313"/>
      <c r="F87" s="314"/>
      <c r="G87" s="314"/>
      <c r="H87" s="315"/>
      <c r="I87" s="314"/>
      <c r="J87" s="395"/>
      <c r="K87" s="315"/>
      <c r="L87" s="390"/>
    </row>
    <row r="88" spans="1:12" ht="14.5" x14ac:dyDescent="0.35">
      <c r="A88" s="310"/>
      <c r="B88" s="561"/>
      <c r="C88" s="344" t="s">
        <v>1097</v>
      </c>
      <c r="D88" s="347" t="str">
        <f>plModel12!$G$112</f>
        <v>100x120</v>
      </c>
      <c r="E88" s="313"/>
      <c r="F88" s="314"/>
      <c r="G88" s="314"/>
      <c r="H88" s="315"/>
      <c r="I88" s="314"/>
      <c r="J88" s="395"/>
      <c r="K88" s="315"/>
      <c r="L88" s="390"/>
    </row>
    <row r="89" spans="1:12" ht="14.5" x14ac:dyDescent="0.35">
      <c r="A89" s="310"/>
      <c r="B89" s="561"/>
      <c r="C89" s="344"/>
      <c r="D89" s="122"/>
      <c r="E89" s="313"/>
      <c r="F89" s="314"/>
      <c r="G89" s="314"/>
      <c r="H89" s="315"/>
      <c r="I89" s="314"/>
      <c r="J89" s="395"/>
      <c r="K89" s="315"/>
      <c r="L89" s="390"/>
    </row>
    <row r="90" spans="1:12" ht="14.5" x14ac:dyDescent="0.35">
      <c r="A90" s="310"/>
      <c r="B90" s="561"/>
      <c r="C90" s="344"/>
      <c r="D90" s="122"/>
      <c r="E90" s="313"/>
      <c r="F90" s="314"/>
      <c r="G90" s="314"/>
      <c r="H90" s="315"/>
      <c r="I90" s="314"/>
      <c r="J90" s="395"/>
      <c r="K90" s="315"/>
      <c r="L90" s="390"/>
    </row>
    <row r="91" spans="1:12" ht="14.5" x14ac:dyDescent="0.35">
      <c r="A91" s="310"/>
      <c r="B91" s="561"/>
      <c r="C91" s="312"/>
      <c r="D91" s="312"/>
      <c r="E91" s="313"/>
      <c r="F91" s="314"/>
      <c r="G91" s="314"/>
      <c r="H91" s="315"/>
      <c r="I91" s="314"/>
      <c r="J91" s="395"/>
      <c r="K91" s="315"/>
      <c r="L91" s="390"/>
    </row>
    <row r="92" spans="1:12" ht="14.5" x14ac:dyDescent="0.35">
      <c r="A92" s="310"/>
      <c r="B92" s="561"/>
      <c r="C92" s="312"/>
      <c r="D92" s="312"/>
      <c r="E92" s="313"/>
      <c r="F92" s="314"/>
      <c r="G92" s="314"/>
      <c r="H92" s="315"/>
      <c r="I92" s="314"/>
      <c r="J92" s="395"/>
      <c r="K92" s="315"/>
      <c r="L92" s="390"/>
    </row>
    <row r="93" spans="1:12" ht="14.5" x14ac:dyDescent="0.35">
      <c r="A93" s="310"/>
      <c r="B93" s="561"/>
      <c r="C93" s="312"/>
      <c r="D93" s="312"/>
      <c r="E93" s="313"/>
      <c r="F93" s="314"/>
      <c r="G93" s="314"/>
      <c r="H93" s="315"/>
      <c r="I93" s="314"/>
      <c r="J93" s="395"/>
      <c r="K93" s="315"/>
      <c r="L93" s="390"/>
    </row>
    <row r="94" spans="1:12" ht="14.5" x14ac:dyDescent="0.35">
      <c r="A94" s="310"/>
      <c r="B94" s="561"/>
      <c r="C94" s="312"/>
      <c r="D94" s="312"/>
      <c r="E94" s="313"/>
      <c r="F94" s="314"/>
      <c r="G94" s="314"/>
      <c r="H94" s="315"/>
      <c r="I94" s="314"/>
      <c r="J94" s="395"/>
      <c r="K94" s="315"/>
      <c r="L94" s="390"/>
    </row>
    <row r="95" spans="1:12" ht="14.5" x14ac:dyDescent="0.35">
      <c r="A95" s="310"/>
      <c r="B95" s="561"/>
      <c r="C95" s="312"/>
      <c r="D95" s="312"/>
      <c r="E95" s="313"/>
      <c r="F95" s="314"/>
      <c r="G95" s="314"/>
      <c r="H95" s="315"/>
      <c r="I95" s="314"/>
      <c r="J95" s="395"/>
      <c r="K95" s="315"/>
      <c r="L95" s="390"/>
    </row>
    <row r="96" spans="1:12" ht="14.5" x14ac:dyDescent="0.35">
      <c r="A96" s="310"/>
      <c r="B96" s="561"/>
      <c r="C96" s="312"/>
      <c r="D96" s="312"/>
      <c r="E96" s="313"/>
      <c r="F96" s="314"/>
      <c r="G96" s="314"/>
      <c r="H96" s="315"/>
      <c r="I96" s="314"/>
      <c r="J96" s="395"/>
      <c r="K96" s="315"/>
      <c r="L96" s="390"/>
    </row>
    <row r="97" spans="1:12" ht="14.5" x14ac:dyDescent="0.35">
      <c r="A97" s="310"/>
      <c r="B97" s="561"/>
      <c r="C97" s="312"/>
      <c r="D97" s="312"/>
      <c r="E97" s="313"/>
      <c r="F97" s="314"/>
      <c r="G97" s="314"/>
      <c r="H97" s="315"/>
      <c r="I97" s="314"/>
      <c r="J97" s="395"/>
      <c r="K97" s="315"/>
      <c r="L97" s="390"/>
    </row>
    <row r="98" spans="1:12" ht="14.5" x14ac:dyDescent="0.35">
      <c r="A98" s="310"/>
      <c r="B98" s="561"/>
      <c r="C98" s="312"/>
      <c r="D98" s="312"/>
      <c r="E98" s="313"/>
      <c r="F98" s="314"/>
      <c r="G98" s="314"/>
      <c r="H98" s="315"/>
      <c r="I98" s="314"/>
      <c r="J98" s="395"/>
      <c r="K98" s="315"/>
      <c r="L98" s="390"/>
    </row>
    <row r="99" spans="1:12" ht="14.5" x14ac:dyDescent="0.35">
      <c r="A99" s="310"/>
      <c r="B99" s="561"/>
      <c r="C99" s="312"/>
      <c r="D99" s="312"/>
      <c r="E99" s="313"/>
      <c r="F99" s="314"/>
      <c r="G99" s="314"/>
      <c r="H99" s="315"/>
      <c r="I99" s="314"/>
      <c r="J99" s="395"/>
      <c r="K99" s="315"/>
      <c r="L99" s="390"/>
    </row>
    <row r="100" spans="1:12" ht="14.5" x14ac:dyDescent="0.35">
      <c r="A100" s="310"/>
      <c r="B100" s="561"/>
      <c r="C100" s="312"/>
      <c r="D100" s="312"/>
      <c r="E100" s="313"/>
      <c r="F100" s="314"/>
      <c r="G100" s="314"/>
      <c r="H100" s="315"/>
      <c r="I100" s="314"/>
      <c r="J100" s="395"/>
      <c r="K100" s="315"/>
      <c r="L100" s="390"/>
    </row>
    <row r="101" spans="1:12" ht="14.5" x14ac:dyDescent="0.35">
      <c r="A101" s="310"/>
      <c r="B101" s="561"/>
      <c r="C101" s="312"/>
      <c r="D101" s="312"/>
      <c r="E101" s="313"/>
      <c r="F101" s="314"/>
      <c r="G101" s="314"/>
      <c r="H101" s="315"/>
      <c r="I101" s="314"/>
      <c r="J101" s="395"/>
      <c r="K101" s="315"/>
      <c r="L101" s="390"/>
    </row>
    <row r="102" spans="1:12" ht="14.5" x14ac:dyDescent="0.35">
      <c r="A102" s="310"/>
      <c r="B102" s="561"/>
      <c r="C102" s="312"/>
      <c r="D102" s="312"/>
      <c r="E102" s="313"/>
      <c r="F102" s="314"/>
      <c r="G102" s="314"/>
      <c r="H102" s="315"/>
      <c r="I102" s="314"/>
      <c r="J102" s="395"/>
      <c r="K102" s="315"/>
      <c r="L102" s="390"/>
    </row>
    <row r="103" spans="1:12" ht="14.5" x14ac:dyDescent="0.35">
      <c r="A103" s="310"/>
      <c r="B103" s="561"/>
      <c r="C103" s="312"/>
      <c r="D103" s="312"/>
      <c r="E103" s="313"/>
      <c r="F103" s="314"/>
      <c r="G103" s="314"/>
      <c r="H103" s="315"/>
      <c r="I103" s="314"/>
      <c r="J103" s="395"/>
      <c r="K103" s="315"/>
      <c r="L103" s="390"/>
    </row>
    <row r="104" spans="1:12" ht="14.5" x14ac:dyDescent="0.35">
      <c r="A104" s="310"/>
      <c r="B104" s="561"/>
      <c r="C104" s="312"/>
      <c r="D104" s="312"/>
      <c r="E104" s="313"/>
      <c r="F104" s="314"/>
      <c r="G104" s="314"/>
      <c r="H104" s="315"/>
      <c r="I104" s="314"/>
      <c r="J104" s="395"/>
      <c r="K104" s="315"/>
      <c r="L104" s="390"/>
    </row>
    <row r="105" spans="1:12" ht="9" customHeight="1" x14ac:dyDescent="0.35">
      <c r="A105" s="565" t="s">
        <v>1096</v>
      </c>
      <c r="B105" s="566"/>
      <c r="C105" s="566"/>
      <c r="D105" s="566"/>
      <c r="E105" s="566"/>
      <c r="F105" s="566"/>
      <c r="G105" s="568"/>
      <c r="H105" s="640" t="s">
        <v>486</v>
      </c>
      <c r="I105" s="566"/>
      <c r="J105" s="566"/>
      <c r="K105" s="641"/>
      <c r="L105" s="568"/>
    </row>
    <row r="106" spans="1:12" ht="14.5" customHeight="1" x14ac:dyDescent="0.35">
      <c r="A106" s="340" t="s">
        <v>350</v>
      </c>
      <c r="B106" s="341"/>
      <c r="C106" s="341"/>
      <c r="D106" s="341"/>
      <c r="E106" s="342"/>
      <c r="F106" s="342"/>
      <c r="G106" s="343"/>
      <c r="H106" s="622">
        <f>$E$59+SUM(K66:K104)</f>
        <v>28778.480000000007</v>
      </c>
      <c r="I106" s="583"/>
      <c r="J106" s="583"/>
      <c r="K106" s="583"/>
      <c r="L106" s="584"/>
    </row>
    <row r="107" spans="1:12" ht="10" customHeight="1" x14ac:dyDescent="0.35">
      <c r="A107" s="565" t="s">
        <v>487</v>
      </c>
      <c r="B107" s="568"/>
      <c r="C107" s="139" t="s">
        <v>488</v>
      </c>
      <c r="D107" s="565" t="s">
        <v>489</v>
      </c>
      <c r="E107" s="568"/>
      <c r="F107" s="565" t="s">
        <v>490</v>
      </c>
      <c r="G107" s="568"/>
      <c r="H107" s="638" t="s">
        <v>491</v>
      </c>
      <c r="I107" s="581"/>
      <c r="J107" s="581"/>
      <c r="K107" s="639"/>
      <c r="L107" s="579"/>
    </row>
    <row r="108" spans="1:12" ht="14.5" customHeight="1" x14ac:dyDescent="0.35">
      <c r="A108" s="590" t="s">
        <v>269</v>
      </c>
      <c r="B108" s="591"/>
      <c r="C108" s="627" t="s">
        <v>268</v>
      </c>
      <c r="D108" s="629">
        <f>H106</f>
        <v>28778.480000000007</v>
      </c>
      <c r="E108" s="630"/>
      <c r="F108" s="634">
        <f>IF(C108="022",22%,0)</f>
        <v>0</v>
      </c>
      <c r="G108" s="635"/>
      <c r="H108" s="622">
        <f>H106</f>
        <v>28778.480000000007</v>
      </c>
      <c r="I108" s="583"/>
      <c r="J108" s="583"/>
      <c r="K108" s="583"/>
      <c r="L108" s="584"/>
    </row>
    <row r="109" spans="1:12" ht="14.5" customHeight="1" x14ac:dyDescent="0.35">
      <c r="A109" s="590"/>
      <c r="B109" s="591"/>
      <c r="C109" s="627"/>
      <c r="D109" s="629"/>
      <c r="E109" s="630"/>
      <c r="F109" s="634"/>
      <c r="G109" s="635"/>
      <c r="H109" s="638" t="s">
        <v>492</v>
      </c>
      <c r="I109" s="581"/>
      <c r="J109" s="581"/>
      <c r="K109" s="639"/>
      <c r="L109" s="579"/>
    </row>
    <row r="110" spans="1:12" ht="14.5" customHeight="1" x14ac:dyDescent="0.35">
      <c r="A110" s="590"/>
      <c r="B110" s="591"/>
      <c r="C110" s="627"/>
      <c r="D110" s="631"/>
      <c r="E110" s="630"/>
      <c r="F110" s="634"/>
      <c r="G110" s="635"/>
      <c r="H110" s="622">
        <f>SEK108*F108</f>
        <v>0</v>
      </c>
      <c r="I110" s="583"/>
      <c r="J110" s="583"/>
      <c r="K110" s="583"/>
      <c r="L110" s="584"/>
    </row>
    <row r="111" spans="1:12" ht="14.5" customHeight="1" x14ac:dyDescent="0.35">
      <c r="A111" s="590"/>
      <c r="B111" s="591"/>
      <c r="C111" s="627"/>
      <c r="D111" s="629"/>
      <c r="E111" s="630"/>
      <c r="F111" s="634"/>
      <c r="G111" s="635"/>
      <c r="H111" s="638" t="s">
        <v>493</v>
      </c>
      <c r="I111" s="581"/>
      <c r="J111" s="581"/>
      <c r="K111" s="639"/>
      <c r="L111" s="579"/>
    </row>
    <row r="112" spans="1:12" ht="14.5" customHeight="1" x14ac:dyDescent="0.35">
      <c r="A112" s="592"/>
      <c r="B112" s="593"/>
      <c r="C112" s="628"/>
      <c r="D112" s="632"/>
      <c r="E112" s="633"/>
      <c r="F112" s="636"/>
      <c r="G112" s="637"/>
      <c r="H112" s="622">
        <f>H106+H110</f>
        <v>28778.480000000007</v>
      </c>
      <c r="I112" s="583"/>
      <c r="J112" s="583"/>
      <c r="K112" s="583"/>
      <c r="L112" s="584"/>
    </row>
    <row r="113" spans="1:12" x14ac:dyDescent="0.35">
      <c r="A113" s="609" t="s">
        <v>494</v>
      </c>
      <c r="B113" s="610"/>
      <c r="C113" s="610"/>
      <c r="D113" s="623"/>
      <c r="E113" s="610"/>
      <c r="F113" s="610"/>
      <c r="G113" s="610"/>
      <c r="H113" s="624"/>
      <c r="I113" s="610"/>
      <c r="J113" s="610"/>
      <c r="K113" s="624"/>
      <c r="L113" s="612"/>
    </row>
    <row r="114" spans="1:12" x14ac:dyDescent="0.35">
      <c r="A114" s="613" t="s">
        <v>495</v>
      </c>
      <c r="B114" s="614"/>
      <c r="C114" s="614"/>
      <c r="D114" s="625"/>
      <c r="E114" s="614"/>
      <c r="F114" s="614"/>
      <c r="G114" s="614"/>
      <c r="H114" s="626"/>
      <c r="I114" s="614"/>
      <c r="J114" s="614"/>
      <c r="K114" s="626"/>
      <c r="L114" s="616"/>
    </row>
    <row r="115" spans="1:12" ht="11.15" customHeight="1" x14ac:dyDescent="0.35">
      <c r="A115" s="609" t="s">
        <v>496</v>
      </c>
      <c r="B115" s="618" t="s">
        <v>497</v>
      </c>
      <c r="C115" s="618"/>
      <c r="D115" s="618"/>
      <c r="E115" s="618"/>
      <c r="F115" s="610"/>
      <c r="G115" s="610"/>
      <c r="H115" s="610"/>
      <c r="I115" s="610"/>
      <c r="J115" s="610"/>
      <c r="K115" s="610"/>
      <c r="L115" s="612"/>
    </row>
    <row r="116" spans="1:12" ht="11.15" customHeight="1" x14ac:dyDescent="0.35">
      <c r="A116" s="613"/>
      <c r="B116" s="619"/>
      <c r="C116" s="619"/>
      <c r="D116" s="619"/>
      <c r="E116" s="619"/>
      <c r="F116" s="614"/>
      <c r="G116" s="614"/>
      <c r="H116" s="614"/>
      <c r="I116" s="614"/>
      <c r="J116" s="614"/>
      <c r="K116" s="614"/>
      <c r="L116" s="616"/>
    </row>
    <row r="117" spans="1:12" ht="12.65" customHeight="1" x14ac:dyDescent="0.35">
      <c r="A117" s="606" t="s">
        <v>498</v>
      </c>
      <c r="B117" s="606"/>
      <c r="C117" s="606"/>
      <c r="D117" s="606"/>
      <c r="E117" s="606"/>
      <c r="F117" s="606"/>
      <c r="G117" s="606"/>
      <c r="H117" s="620"/>
      <c r="I117" s="606"/>
      <c r="J117" s="606"/>
      <c r="K117" s="620"/>
      <c r="L117" s="606"/>
    </row>
    <row r="118" spans="1:12" x14ac:dyDescent="0.35">
      <c r="A118" s="606" t="s">
        <v>499</v>
      </c>
      <c r="B118" s="606"/>
      <c r="C118" s="606"/>
      <c r="D118" s="606"/>
      <c r="E118" s="606"/>
      <c r="F118" s="606"/>
      <c r="G118" s="606"/>
      <c r="H118" s="620"/>
      <c r="I118" s="606"/>
      <c r="J118" s="606"/>
      <c r="K118" s="620"/>
      <c r="L118" s="606"/>
    </row>
    <row r="119" spans="1:12" x14ac:dyDescent="0.35">
      <c r="A119" s="606" t="s">
        <v>500</v>
      </c>
      <c r="B119" s="607"/>
      <c r="C119" s="607"/>
      <c r="D119" s="607"/>
      <c r="E119" s="607"/>
      <c r="F119" s="607"/>
      <c r="G119" s="607"/>
      <c r="H119" s="621"/>
      <c r="I119" s="607"/>
      <c r="J119" s="607"/>
      <c r="K119" s="621"/>
      <c r="L119" s="607"/>
    </row>
    <row r="120" spans="1:12" x14ac:dyDescent="0.35">
      <c r="H120" s="147"/>
      <c r="K120" s="147"/>
    </row>
    <row r="121" spans="1:12" x14ac:dyDescent="0.35">
      <c r="H121" s="147"/>
      <c r="K121" s="147"/>
    </row>
    <row r="122" spans="1:12" x14ac:dyDescent="0.35">
      <c r="H122" s="147"/>
      <c r="K122" s="147"/>
    </row>
    <row r="123" spans="1:12" x14ac:dyDescent="0.35">
      <c r="H123" s="147"/>
      <c r="K123" s="147"/>
    </row>
    <row r="124" spans="1:12" x14ac:dyDescent="0.35">
      <c r="H124" s="147"/>
      <c r="K124" s="147"/>
    </row>
    <row r="125" spans="1:12" x14ac:dyDescent="0.35">
      <c r="H125" s="147"/>
      <c r="K125" s="147"/>
    </row>
    <row r="126" spans="1:12" x14ac:dyDescent="0.35">
      <c r="H126" s="147"/>
      <c r="K126" s="147"/>
    </row>
    <row r="127" spans="1:12" x14ac:dyDescent="0.35">
      <c r="H127" s="147"/>
      <c r="K127" s="147"/>
    </row>
    <row r="128" spans="1:12" x14ac:dyDescent="0.35">
      <c r="H128" s="147"/>
      <c r="K128" s="147"/>
    </row>
    <row r="129" spans="8:11" x14ac:dyDescent="0.35">
      <c r="H129" s="147"/>
      <c r="K129" s="147"/>
    </row>
    <row r="130" spans="8:11" x14ac:dyDescent="0.35">
      <c r="H130" s="147"/>
      <c r="K130" s="147"/>
    </row>
    <row r="131" spans="8:11" x14ac:dyDescent="0.35">
      <c r="H131" s="147"/>
      <c r="K131" s="147"/>
    </row>
    <row r="132" spans="8:11" x14ac:dyDescent="0.35">
      <c r="H132" s="147"/>
      <c r="K132" s="147"/>
    </row>
    <row r="133" spans="8:11" x14ac:dyDescent="0.35">
      <c r="H133" s="147"/>
      <c r="K133" s="147"/>
    </row>
    <row r="134" spans="8:11" x14ac:dyDescent="0.35">
      <c r="H134" s="147"/>
      <c r="K134" s="147"/>
    </row>
    <row r="135" spans="8:11" x14ac:dyDescent="0.35">
      <c r="H135" s="147"/>
      <c r="K135" s="147"/>
    </row>
    <row r="136" spans="8:11" x14ac:dyDescent="0.35">
      <c r="H136" s="147"/>
      <c r="K136" s="147"/>
    </row>
    <row r="137" spans="8:11" x14ac:dyDescent="0.35">
      <c r="H137" s="147"/>
      <c r="K137" s="147"/>
    </row>
    <row r="138" spans="8:11" x14ac:dyDescent="0.35">
      <c r="H138" s="147"/>
      <c r="K138" s="147"/>
    </row>
    <row r="139" spans="8:11" x14ac:dyDescent="0.35">
      <c r="H139" s="147"/>
      <c r="K139" s="147"/>
    </row>
    <row r="140" spans="8:11" x14ac:dyDescent="0.35">
      <c r="H140" s="147"/>
      <c r="K140" s="147"/>
    </row>
    <row r="141" spans="8:11" x14ac:dyDescent="0.35">
      <c r="H141" s="147"/>
      <c r="K141" s="147"/>
    </row>
    <row r="142" spans="8:11" x14ac:dyDescent="0.35">
      <c r="H142" s="147"/>
      <c r="K142" s="147"/>
    </row>
    <row r="143" spans="8:11" x14ac:dyDescent="0.35">
      <c r="H143" s="147"/>
      <c r="K143" s="147"/>
    </row>
    <row r="144" spans="8:11" x14ac:dyDescent="0.35">
      <c r="H144" s="147"/>
      <c r="K144" s="147"/>
    </row>
    <row r="145" spans="8:11" x14ac:dyDescent="0.35">
      <c r="H145" s="147"/>
      <c r="K145" s="147"/>
    </row>
    <row r="146" spans="8:11" x14ac:dyDescent="0.35">
      <c r="H146" s="147"/>
      <c r="K146" s="147"/>
    </row>
    <row r="147" spans="8:11" x14ac:dyDescent="0.35">
      <c r="H147" s="147"/>
      <c r="K147" s="147"/>
    </row>
    <row r="148" spans="8:11" x14ac:dyDescent="0.35">
      <c r="H148" s="147"/>
      <c r="K148" s="147"/>
    </row>
    <row r="149" spans="8:11" x14ac:dyDescent="0.35">
      <c r="H149" s="147"/>
      <c r="K149" s="147"/>
    </row>
    <row r="150" spans="8:11" x14ac:dyDescent="0.35">
      <c r="H150" s="147"/>
      <c r="K150" s="147"/>
    </row>
    <row r="151" spans="8:11" x14ac:dyDescent="0.35">
      <c r="H151" s="147"/>
      <c r="K151" s="147"/>
    </row>
    <row r="152" spans="8:11" x14ac:dyDescent="0.35">
      <c r="H152" s="147"/>
      <c r="K152" s="147"/>
    </row>
    <row r="153" spans="8:11" x14ac:dyDescent="0.35">
      <c r="H153" s="147"/>
      <c r="K153" s="147"/>
    </row>
    <row r="154" spans="8:11" x14ac:dyDescent="0.35">
      <c r="H154" s="147"/>
      <c r="K154" s="147"/>
    </row>
    <row r="155" spans="8:11" x14ac:dyDescent="0.35">
      <c r="H155" s="147"/>
      <c r="K155" s="147"/>
    </row>
    <row r="156" spans="8:11" x14ac:dyDescent="0.35">
      <c r="H156" s="147"/>
      <c r="K156" s="147"/>
    </row>
    <row r="157" spans="8:11" x14ac:dyDescent="0.35">
      <c r="H157" s="147"/>
      <c r="K157" s="147"/>
    </row>
    <row r="158" spans="8:11" x14ac:dyDescent="0.35">
      <c r="H158" s="147"/>
      <c r="K158" s="147"/>
    </row>
    <row r="159" spans="8:11" x14ac:dyDescent="0.35">
      <c r="H159" s="147"/>
      <c r="K159" s="147"/>
    </row>
    <row r="160" spans="8:11" x14ac:dyDescent="0.35">
      <c r="H160" s="147"/>
      <c r="K160" s="147"/>
    </row>
    <row r="161" spans="8:11" x14ac:dyDescent="0.35">
      <c r="H161" s="147"/>
      <c r="K161" s="147"/>
    </row>
    <row r="162" spans="8:11" x14ac:dyDescent="0.35">
      <c r="H162" s="147"/>
      <c r="K162" s="147"/>
    </row>
    <row r="163" spans="8:11" x14ac:dyDescent="0.35">
      <c r="H163" s="147"/>
      <c r="K163" s="147"/>
    </row>
    <row r="164" spans="8:11" x14ac:dyDescent="0.35">
      <c r="H164" s="147"/>
      <c r="K164" s="147"/>
    </row>
    <row r="165" spans="8:11" x14ac:dyDescent="0.35">
      <c r="H165" s="147"/>
      <c r="K165" s="147"/>
    </row>
    <row r="166" spans="8:11" x14ac:dyDescent="0.35">
      <c r="H166" s="147"/>
      <c r="K166" s="147"/>
    </row>
    <row r="167" spans="8:11" x14ac:dyDescent="0.35">
      <c r="H167" s="147"/>
      <c r="K167" s="147"/>
    </row>
    <row r="168" spans="8:11" x14ac:dyDescent="0.35">
      <c r="H168" s="147"/>
      <c r="K168" s="147"/>
    </row>
    <row r="169" spans="8:11" x14ac:dyDescent="0.35">
      <c r="H169" s="147"/>
      <c r="K169" s="147"/>
    </row>
    <row r="170" spans="8:11" x14ac:dyDescent="0.35">
      <c r="H170" s="147"/>
      <c r="K170" s="147"/>
    </row>
    <row r="171" spans="8:11" x14ac:dyDescent="0.35">
      <c r="H171" s="147"/>
      <c r="K171" s="147"/>
    </row>
    <row r="172" spans="8:11" x14ac:dyDescent="0.35">
      <c r="H172" s="147"/>
      <c r="K172" s="147"/>
    </row>
    <row r="173" spans="8:11" x14ac:dyDescent="0.35">
      <c r="H173" s="147"/>
      <c r="K173" s="147"/>
    </row>
    <row r="174" spans="8:11" x14ac:dyDescent="0.35">
      <c r="H174" s="147"/>
      <c r="K174" s="147"/>
    </row>
    <row r="175" spans="8:11" x14ac:dyDescent="0.35">
      <c r="H175" s="147"/>
      <c r="K175" s="147"/>
    </row>
    <row r="176" spans="8:11" x14ac:dyDescent="0.35">
      <c r="H176" s="147"/>
      <c r="K176" s="147"/>
    </row>
    <row r="177" spans="8:11" x14ac:dyDescent="0.35">
      <c r="H177" s="147"/>
      <c r="K177" s="147"/>
    </row>
    <row r="178" spans="8:11" x14ac:dyDescent="0.35">
      <c r="H178" s="147"/>
      <c r="K178" s="147"/>
    </row>
    <row r="179" spans="8:11" x14ac:dyDescent="0.35">
      <c r="H179" s="147"/>
      <c r="K179" s="147"/>
    </row>
    <row r="180" spans="8:11" x14ac:dyDescent="0.35">
      <c r="H180" s="147"/>
      <c r="K180" s="147"/>
    </row>
    <row r="181" spans="8:11" x14ac:dyDescent="0.35">
      <c r="H181" s="147"/>
      <c r="K181" s="147"/>
    </row>
    <row r="182" spans="8:11" x14ac:dyDescent="0.35">
      <c r="H182" s="147"/>
      <c r="K182" s="147"/>
    </row>
    <row r="183" spans="8:11" x14ac:dyDescent="0.35">
      <c r="H183" s="147"/>
      <c r="K183" s="147"/>
    </row>
    <row r="184" spans="8:11" x14ac:dyDescent="0.35">
      <c r="H184" s="147"/>
      <c r="K184" s="147"/>
    </row>
    <row r="185" spans="8:11" x14ac:dyDescent="0.35">
      <c r="H185" s="147"/>
      <c r="K185" s="147"/>
    </row>
    <row r="186" spans="8:11" x14ac:dyDescent="0.35">
      <c r="H186" s="147"/>
      <c r="K186" s="147"/>
    </row>
    <row r="187" spans="8:11" x14ac:dyDescent="0.35">
      <c r="H187" s="147"/>
      <c r="K187" s="147"/>
    </row>
    <row r="188" spans="8:11" x14ac:dyDescent="0.35">
      <c r="H188" s="147"/>
      <c r="K188" s="147"/>
    </row>
    <row r="189" spans="8:11" x14ac:dyDescent="0.35">
      <c r="H189" s="147"/>
      <c r="K189" s="147"/>
    </row>
    <row r="190" spans="8:11" x14ac:dyDescent="0.35">
      <c r="H190" s="147"/>
      <c r="K190" s="147"/>
    </row>
    <row r="191" spans="8:11" x14ac:dyDescent="0.35">
      <c r="H191" s="147"/>
      <c r="K191" s="147"/>
    </row>
    <row r="192" spans="8:11" x14ac:dyDescent="0.35">
      <c r="H192" s="147"/>
      <c r="K192" s="147"/>
    </row>
    <row r="193" spans="4:11" x14ac:dyDescent="0.35">
      <c r="H193" s="147"/>
      <c r="K193" s="147"/>
    </row>
    <row r="194" spans="4:11" x14ac:dyDescent="0.35">
      <c r="H194" s="147"/>
      <c r="K194" s="147"/>
    </row>
    <row r="195" spans="4:11" x14ac:dyDescent="0.35">
      <c r="H195" s="147"/>
      <c r="K195" s="147"/>
    </row>
    <row r="196" spans="4:11" x14ac:dyDescent="0.35">
      <c r="H196" s="147"/>
      <c r="K196" s="147"/>
    </row>
    <row r="197" spans="4:11" x14ac:dyDescent="0.35">
      <c r="H197" s="147"/>
      <c r="K197" s="147"/>
    </row>
    <row r="198" spans="4:11" x14ac:dyDescent="0.35">
      <c r="H198" s="147"/>
      <c r="K198" s="147"/>
    </row>
    <row r="199" spans="4:11" x14ac:dyDescent="0.35">
      <c r="H199" s="147"/>
      <c r="K199" s="147"/>
    </row>
    <row r="200" spans="4:11" x14ac:dyDescent="0.35">
      <c r="H200" s="147"/>
      <c r="K200" s="147"/>
    </row>
    <row r="201" spans="4:11" x14ac:dyDescent="0.35">
      <c r="H201" s="147"/>
      <c r="K201" s="147"/>
    </row>
    <row r="202" spans="4:11" x14ac:dyDescent="0.35">
      <c r="H202" s="147"/>
      <c r="K202" s="147"/>
    </row>
    <row r="203" spans="4:11" x14ac:dyDescent="0.35">
      <c r="H203" s="147"/>
      <c r="K203" s="147"/>
    </row>
    <row r="204" spans="4:11" x14ac:dyDescent="0.35">
      <c r="K204" s="144"/>
    </row>
    <row r="205" spans="4:11" x14ac:dyDescent="0.35">
      <c r="D205" s="145"/>
      <c r="E205" s="144"/>
      <c r="K205" s="147"/>
    </row>
    <row r="206" spans="4:11" x14ac:dyDescent="0.35">
      <c r="D206" s="145"/>
      <c r="E206" s="144"/>
      <c r="K206" s="144"/>
    </row>
    <row r="207" spans="4:11" x14ac:dyDescent="0.35">
      <c r="D207" s="148"/>
      <c r="E207" s="147"/>
      <c r="K207" s="147"/>
    </row>
    <row r="208" spans="4:11" x14ac:dyDescent="0.35">
      <c r="D208" s="148"/>
      <c r="E208" s="147"/>
      <c r="K208" s="144"/>
    </row>
    <row r="209" spans="4:11" x14ac:dyDescent="0.35">
      <c r="D209" s="148"/>
      <c r="E209" s="147"/>
      <c r="K209" s="147"/>
    </row>
    <row r="210" spans="4:11" x14ac:dyDescent="0.35">
      <c r="D210" s="148"/>
      <c r="E210" s="147"/>
      <c r="K210" s="144"/>
    </row>
    <row r="211" spans="4:11" x14ac:dyDescent="0.35">
      <c r="D211" s="148"/>
      <c r="E211" s="147"/>
      <c r="K211" s="147"/>
    </row>
  </sheetData>
  <mergeCells count="59">
    <mergeCell ref="G9:J9"/>
    <mergeCell ref="B115:E116"/>
    <mergeCell ref="F115:L116"/>
    <mergeCell ref="A9:B9"/>
    <mergeCell ref="C9:D9"/>
    <mergeCell ref="E9:F9"/>
    <mergeCell ref="K9:L9"/>
    <mergeCell ref="H60:L60"/>
    <mergeCell ref="A10:L10"/>
    <mergeCell ref="B12:E12"/>
    <mergeCell ref="A58:B58"/>
    <mergeCell ref="C58:D58"/>
    <mergeCell ref="E58:G58"/>
    <mergeCell ref="H58:L58"/>
    <mergeCell ref="A59:B59"/>
    <mergeCell ref="C59:D59"/>
    <mergeCell ref="A8:B8"/>
    <mergeCell ref="C8:D8"/>
    <mergeCell ref="E8:F8"/>
    <mergeCell ref="G8:I8"/>
    <mergeCell ref="K8:L8"/>
    <mergeCell ref="E59:G59"/>
    <mergeCell ref="A60:B60"/>
    <mergeCell ref="D60:E60"/>
    <mergeCell ref="F60:G60"/>
    <mergeCell ref="A61:B65"/>
    <mergeCell ref="C61:C65"/>
    <mergeCell ref="D61:E65"/>
    <mergeCell ref="F61:G65"/>
    <mergeCell ref="A105:B105"/>
    <mergeCell ref="C105:D105"/>
    <mergeCell ref="E105:G105"/>
    <mergeCell ref="H105:L105"/>
    <mergeCell ref="A107:B107"/>
    <mergeCell ref="D107:E107"/>
    <mergeCell ref="F107:G107"/>
    <mergeCell ref="D108:E112"/>
    <mergeCell ref="F108:G112"/>
    <mergeCell ref="H109:L109"/>
    <mergeCell ref="H111:L111"/>
    <mergeCell ref="H62:L62"/>
    <mergeCell ref="H64:L64"/>
    <mergeCell ref="H107:L107"/>
    <mergeCell ref="A117:L117"/>
    <mergeCell ref="A118:L118"/>
    <mergeCell ref="A119:L119"/>
    <mergeCell ref="H59:L59"/>
    <mergeCell ref="H61:L61"/>
    <mergeCell ref="H63:L63"/>
    <mergeCell ref="H65:L65"/>
    <mergeCell ref="H106:L106"/>
    <mergeCell ref="H108:L108"/>
    <mergeCell ref="H110:L110"/>
    <mergeCell ref="A113:L113"/>
    <mergeCell ref="A114:L114"/>
    <mergeCell ref="A115:A116"/>
    <mergeCell ref="H112:L112"/>
    <mergeCell ref="A108:B112"/>
    <mergeCell ref="C108:C112"/>
  </mergeCells>
  <dataValidations disablePrompts="1" count="1">
    <dataValidation type="list" allowBlank="1" showInputMessage="1" showErrorMessage="1" sqref="K9:L9" xr:uid="{00000000-0002-0000-08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9"/>
  <dimension ref="A1:Y219"/>
  <sheetViews>
    <sheetView showGridLines="0" zoomScaleSheetLayoutView="100" workbookViewId="0">
      <pane ySplit="12" topLeftCell="A13" activePane="bottomLeft" state="frozen"/>
      <selection activeCell="I74" sqref="I74"/>
      <selection pane="bottomLeft" activeCell="J14" sqref="J14"/>
    </sheetView>
  </sheetViews>
  <sheetFormatPr defaultColWidth="10.7265625" defaultRowHeight="12.5" x14ac:dyDescent="0.35"/>
  <cols>
    <col min="1" max="1" width="10.54296875" style="125" customWidth="1"/>
    <col min="2" max="2" width="20.1796875" style="125" customWidth="1"/>
    <col min="3" max="3" width="12.7265625" style="125" customWidth="1"/>
    <col min="4" max="4" width="9.81640625" style="126" customWidth="1"/>
    <col min="5" max="5" width="18.7265625" style="125" customWidth="1"/>
    <col min="6" max="6" width="4.1796875" style="127" customWidth="1"/>
    <col min="7" max="8" width="11.453125" style="125" customWidth="1"/>
    <col min="9" max="9" width="11.453125" style="127" customWidth="1"/>
    <col min="10" max="10" width="14.1796875" style="127" bestFit="1" customWidth="1"/>
    <col min="11" max="11" width="11.453125" style="125" customWidth="1"/>
    <col min="12" max="12" width="5.54296875" style="125" customWidth="1"/>
    <col min="13" max="16384" width="10.7265625" style="125"/>
  </cols>
  <sheetData>
    <row r="1" spans="1:25" ht="13" x14ac:dyDescent="0.35">
      <c r="A1" s="291"/>
      <c r="B1" s="291"/>
      <c r="F1" s="292"/>
      <c r="G1" s="351"/>
      <c r="H1" s="348"/>
      <c r="I1" s="348"/>
      <c r="J1" s="348"/>
      <c r="K1" s="348"/>
      <c r="L1" s="349"/>
    </row>
    <row r="2" spans="1:25" ht="13" x14ac:dyDescent="0.35">
      <c r="F2" s="292"/>
      <c r="G2" s="352" t="s">
        <v>943</v>
      </c>
      <c r="H2" s="288"/>
      <c r="I2" s="130"/>
      <c r="J2" s="130"/>
      <c r="K2" s="130"/>
      <c r="L2" s="350"/>
      <c r="Q2" s="130"/>
    </row>
    <row r="3" spans="1:25" ht="13" x14ac:dyDescent="0.35">
      <c r="F3" s="292"/>
      <c r="G3" s="352"/>
      <c r="H3" s="288"/>
      <c r="I3" s="130"/>
      <c r="J3" s="130"/>
      <c r="K3" s="130"/>
      <c r="L3" s="350"/>
      <c r="Q3" s="130"/>
    </row>
    <row r="4" spans="1:25" ht="13" x14ac:dyDescent="0.35">
      <c r="F4" s="292"/>
      <c r="G4" s="353" t="s">
        <v>945</v>
      </c>
      <c r="H4" s="289"/>
      <c r="I4" s="125"/>
      <c r="J4" s="125"/>
      <c r="K4" s="130"/>
      <c r="L4" s="128"/>
      <c r="Q4" s="130"/>
    </row>
    <row r="5" spans="1:25" ht="13" x14ac:dyDescent="0.35">
      <c r="F5" s="292"/>
      <c r="G5" s="353" t="s">
        <v>946</v>
      </c>
      <c r="H5" s="289"/>
      <c r="I5" s="125"/>
      <c r="J5" s="125"/>
      <c r="K5" s="130"/>
      <c r="L5" s="128"/>
      <c r="O5" s="130"/>
    </row>
    <row r="6" spans="1:25" ht="13" x14ac:dyDescent="0.35">
      <c r="F6" s="292"/>
      <c r="G6" s="353" t="s">
        <v>944</v>
      </c>
      <c r="H6" s="289"/>
      <c r="K6" s="130"/>
      <c r="L6" s="128"/>
    </row>
    <row r="7" spans="1:25" x14ac:dyDescent="0.35">
      <c r="A7" s="133"/>
      <c r="B7" s="133"/>
      <c r="C7" s="133"/>
      <c r="D7" s="134"/>
      <c r="E7" s="133"/>
      <c r="F7" s="293"/>
      <c r="G7" s="354" t="s">
        <v>1204</v>
      </c>
      <c r="H7" s="290"/>
      <c r="I7" s="135"/>
      <c r="J7" s="135"/>
      <c r="K7" s="133"/>
      <c r="L7" s="136"/>
    </row>
    <row r="8" spans="1:25" x14ac:dyDescent="0.35">
      <c r="A8" s="578" t="s">
        <v>470</v>
      </c>
      <c r="B8" s="579"/>
      <c r="C8" s="578" t="s">
        <v>471</v>
      </c>
      <c r="D8" s="579"/>
      <c r="E8" s="578" t="s">
        <v>472</v>
      </c>
      <c r="F8" s="579"/>
      <c r="G8" s="578" t="s">
        <v>473</v>
      </c>
      <c r="H8" s="581"/>
      <c r="I8" s="581"/>
      <c r="J8" s="150"/>
      <c r="K8" s="565" t="s">
        <v>474</v>
      </c>
      <c r="L8" s="568"/>
    </row>
    <row r="9" spans="1:25" ht="14.5" customHeight="1" x14ac:dyDescent="0.35">
      <c r="A9" s="649" t="s">
        <v>475</v>
      </c>
      <c r="B9" s="650"/>
      <c r="C9" s="651">
        <v>45479</v>
      </c>
      <c r="D9" s="652"/>
      <c r="E9" s="653"/>
      <c r="F9" s="653"/>
      <c r="G9" s="646" t="s">
        <v>244</v>
      </c>
      <c r="H9" s="647"/>
      <c r="I9" s="647"/>
      <c r="J9" s="648"/>
      <c r="K9" s="649" t="s">
        <v>246</v>
      </c>
      <c r="L9" s="650"/>
    </row>
    <row r="10" spans="1:25" x14ac:dyDescent="0.35">
      <c r="A10" s="565" t="s">
        <v>476</v>
      </c>
      <c r="B10" s="566"/>
      <c r="C10" s="566"/>
      <c r="D10" s="566"/>
      <c r="E10" s="566"/>
      <c r="F10" s="566"/>
      <c r="G10" s="566"/>
      <c r="H10" s="566"/>
      <c r="I10" s="566"/>
      <c r="J10" s="566"/>
      <c r="K10" s="566"/>
      <c r="L10" s="568"/>
    </row>
    <row r="11" spans="1:25" x14ac:dyDescent="0.35">
      <c r="A11" s="132" t="s">
        <v>947</v>
      </c>
      <c r="B11" s="133"/>
      <c r="C11" s="133"/>
      <c r="D11" s="133"/>
      <c r="E11" s="133"/>
      <c r="F11" s="133"/>
      <c r="G11" s="133"/>
      <c r="H11" s="133"/>
      <c r="I11" s="133"/>
      <c r="J11" s="133"/>
      <c r="K11" s="133"/>
      <c r="L11" s="136"/>
    </row>
    <row r="12" spans="1:25" ht="31.5" customHeight="1" x14ac:dyDescent="0.35">
      <c r="A12" s="142" t="s">
        <v>477</v>
      </c>
      <c r="B12" s="569" t="s">
        <v>478</v>
      </c>
      <c r="C12" s="570"/>
      <c r="D12" s="570"/>
      <c r="E12" s="571"/>
      <c r="F12" s="143" t="s">
        <v>479</v>
      </c>
      <c r="G12" s="142" t="s">
        <v>480</v>
      </c>
      <c r="H12" s="142" t="s">
        <v>481</v>
      </c>
      <c r="I12" s="142" t="s">
        <v>482</v>
      </c>
      <c r="J12" s="142" t="s">
        <v>1190</v>
      </c>
      <c r="K12" s="142" t="s">
        <v>483</v>
      </c>
      <c r="L12" s="142" t="s">
        <v>484</v>
      </c>
    </row>
    <row r="13" spans="1:25" ht="13" customHeight="1" x14ac:dyDescent="0.35">
      <c r="A13" s="316" t="e">
        <f t="array" ref="A13:A14">INDEX(salesHistory[sku], SMALL(IF((salesHistory[qty]&lt;&gt;0)*(salesHistory[order_no]=32), ROW(salesHistory[qty])-MIN(ROW(salesHistory[qty]))+1), ROW(A1:A0)))</f>
        <v>#NAME?</v>
      </c>
      <c r="B13" s="257" t="e">
        <f>INDEX(bhpc_data[description],MATCH($A13,bhpc_data[sku],0))</f>
        <v>#NAME?</v>
      </c>
      <c r="C13" s="317"/>
      <c r="D13" s="317"/>
      <c r="E13" s="318"/>
      <c r="F13" s="319" t="s">
        <v>960</v>
      </c>
      <c r="G13" s="320" t="e">
        <f t="array" ref="G13:G14">INDEX(salesHistory[qty], SMALL(IF((salesHistory[qty]&lt;&gt;0)*(salesHistory[order_no]=32), ROW(salesHistory[qty])-MIN(ROW(salesHistory[qty]))+1), ROW(A1:A0)))</f>
        <v>#NAME?</v>
      </c>
      <c r="H13" s="321" t="e">
        <f t="array" ref="H13:H14">INDEX(salesHistory[price], SMALL(IF((salesHistory[qty]&lt;&gt;0)*(salesHistory[order_no]=32), ROW(salesHistory[qty])-MIN(ROW(salesHistory[qty]))+1), ROW(A1:A0)))</f>
        <v>#NAME?</v>
      </c>
      <c r="I13" s="320"/>
      <c r="J13" s="394" t="e">
        <f>INDEX(bhpc_data[ean],MATCH(A13,bhpc_data[sku],0))</f>
        <v>#NAME?</v>
      </c>
      <c r="K13" s="321" t="e">
        <f t="shared" ref="K13:K14" si="0">G13*H13</f>
        <v>#NAME?</v>
      </c>
      <c r="L13" s="405" t="s">
        <v>247</v>
      </c>
      <c r="O13" s="130"/>
    </row>
    <row r="14" spans="1:25" ht="14.5" x14ac:dyDescent="0.35">
      <c r="A14" s="310" t="e">
        <v>#NAME?</v>
      </c>
      <c r="B14" s="844" t="e">
        <f>INDEX(bhpc_data[description],MATCH($A14,bhpc_data[sku],0))</f>
        <v>#NAME?</v>
      </c>
      <c r="C14" s="312"/>
      <c r="D14" s="312"/>
      <c r="E14" s="313"/>
      <c r="F14" s="314" t="s">
        <v>960</v>
      </c>
      <c r="G14" s="314" t="e">
        <v>#NAME?</v>
      </c>
      <c r="H14" s="315" t="e">
        <v>#NAME?</v>
      </c>
      <c r="I14" s="314"/>
      <c r="J14" s="395" t="e">
        <f>INDEX(bhpc_data[ean],MATCH(A14,bhpc_data[sku],0))</f>
        <v>#NAME?</v>
      </c>
      <c r="K14" s="315" t="e">
        <f t="shared" si="0"/>
        <v>#NAME?</v>
      </c>
      <c r="L14" s="390" t="s">
        <v>247</v>
      </c>
      <c r="O14" s="127"/>
      <c r="T14" s="61"/>
      <c r="U14" s="61"/>
      <c r="V14" s="146"/>
      <c r="W14" s="61"/>
      <c r="X14" s="146"/>
      <c r="Y14" s="61"/>
    </row>
    <row r="15" spans="1:25" ht="14.5" x14ac:dyDescent="0.35">
      <c r="A15" s="310"/>
      <c r="B15" s="844"/>
      <c r="C15" s="312"/>
      <c r="D15" s="312"/>
      <c r="E15" s="313"/>
      <c r="F15" s="314"/>
      <c r="G15" s="314"/>
      <c r="H15" s="315"/>
      <c r="I15" s="314"/>
      <c r="J15" s="395"/>
      <c r="K15" s="315"/>
      <c r="L15" s="390"/>
      <c r="O15" s="130"/>
    </row>
    <row r="16" spans="1:25" ht="14.5" x14ac:dyDescent="0.35">
      <c r="A16" s="310"/>
      <c r="B16" s="844"/>
      <c r="C16" s="312"/>
      <c r="D16" s="312"/>
      <c r="E16" s="313"/>
      <c r="F16" s="314"/>
      <c r="G16" s="314"/>
      <c r="H16" s="315"/>
      <c r="I16" s="314"/>
      <c r="J16" s="395"/>
      <c r="K16" s="315"/>
      <c r="L16" s="390"/>
      <c r="O16" s="127"/>
      <c r="T16" s="61"/>
      <c r="U16" s="61"/>
      <c r="V16" s="146"/>
      <c r="W16" s="61"/>
      <c r="X16" s="146"/>
      <c r="Y16" s="61"/>
    </row>
    <row r="17" spans="1:25" ht="14.5" x14ac:dyDescent="0.35">
      <c r="A17" s="310"/>
      <c r="B17" s="844"/>
      <c r="C17" s="312"/>
      <c r="D17" s="312"/>
      <c r="E17" s="313"/>
      <c r="F17" s="314"/>
      <c r="G17" s="314"/>
      <c r="H17" s="315"/>
      <c r="I17" s="314"/>
      <c r="J17" s="395"/>
      <c r="K17" s="315"/>
      <c r="L17" s="390"/>
      <c r="O17" s="130"/>
    </row>
    <row r="18" spans="1:25" ht="14.5" x14ac:dyDescent="0.35">
      <c r="A18" s="310"/>
      <c r="B18" s="844"/>
      <c r="C18" s="312"/>
      <c r="D18" s="312"/>
      <c r="E18" s="313"/>
      <c r="F18" s="314"/>
      <c r="G18" s="314"/>
      <c r="H18" s="315"/>
      <c r="I18" s="314"/>
      <c r="J18" s="395"/>
      <c r="K18" s="315"/>
      <c r="L18" s="390"/>
      <c r="O18" s="127"/>
      <c r="T18" s="61"/>
      <c r="U18" s="61"/>
      <c r="V18" s="146"/>
      <c r="W18" s="61"/>
      <c r="X18" s="146"/>
      <c r="Y18" s="61"/>
    </row>
    <row r="19" spans="1:25" ht="14.5" x14ac:dyDescent="0.35">
      <c r="A19" s="310"/>
      <c r="B19" s="844"/>
      <c r="C19" s="312"/>
      <c r="D19" s="312"/>
      <c r="E19" s="313"/>
      <c r="F19" s="314"/>
      <c r="G19" s="314"/>
      <c r="H19" s="315"/>
      <c r="I19" s="314"/>
      <c r="J19" s="395"/>
      <c r="K19" s="315"/>
      <c r="L19" s="390"/>
    </row>
    <row r="20" spans="1:25" ht="14.5" x14ac:dyDescent="0.35">
      <c r="A20" s="310"/>
      <c r="B20" s="844"/>
      <c r="C20" s="312"/>
      <c r="D20" s="312"/>
      <c r="E20" s="313"/>
      <c r="F20" s="314"/>
      <c r="G20" s="314"/>
      <c r="H20" s="315"/>
      <c r="I20" s="314"/>
      <c r="J20" s="395"/>
      <c r="K20" s="315"/>
      <c r="L20" s="390"/>
    </row>
    <row r="21" spans="1:25" ht="14.5" x14ac:dyDescent="0.35">
      <c r="A21" s="310"/>
      <c r="B21" s="844"/>
      <c r="C21" s="312"/>
      <c r="D21" s="312"/>
      <c r="E21" s="313"/>
      <c r="F21" s="314"/>
      <c r="G21" s="314"/>
      <c r="H21" s="315"/>
      <c r="I21" s="314"/>
      <c r="J21" s="395"/>
      <c r="K21" s="315"/>
      <c r="L21" s="390"/>
    </row>
    <row r="22" spans="1:25" ht="14.5" x14ac:dyDescent="0.35">
      <c r="A22" s="310"/>
      <c r="B22" s="844"/>
      <c r="C22" s="312"/>
      <c r="D22" s="312"/>
      <c r="E22" s="313"/>
      <c r="F22" s="314"/>
      <c r="G22" s="314"/>
      <c r="H22" s="315"/>
      <c r="I22" s="314"/>
      <c r="J22" s="395"/>
      <c r="K22" s="315"/>
      <c r="L22" s="390"/>
    </row>
    <row r="23" spans="1:25" ht="14.5" x14ac:dyDescent="0.35">
      <c r="A23" s="310"/>
      <c r="B23" s="844"/>
      <c r="C23" s="312"/>
      <c r="D23" s="312"/>
      <c r="E23" s="313"/>
      <c r="F23" s="314"/>
      <c r="G23" s="314"/>
      <c r="H23" s="315"/>
      <c r="I23" s="314"/>
      <c r="J23" s="395"/>
      <c r="K23" s="315"/>
      <c r="L23" s="390"/>
    </row>
    <row r="24" spans="1:25" ht="14.5" x14ac:dyDescent="0.35">
      <c r="A24" s="310"/>
      <c r="B24" s="844"/>
      <c r="C24" s="312"/>
      <c r="D24" s="312"/>
      <c r="E24" s="313"/>
      <c r="F24" s="314"/>
      <c r="G24" s="314"/>
      <c r="H24" s="315"/>
      <c r="I24" s="314"/>
      <c r="J24" s="395"/>
      <c r="K24" s="315"/>
      <c r="L24" s="390"/>
    </row>
    <row r="25" spans="1:25" ht="14.5" x14ac:dyDescent="0.35">
      <c r="A25" s="310"/>
      <c r="B25" s="844"/>
      <c r="C25" s="312"/>
      <c r="D25" s="312"/>
      <c r="E25" s="313"/>
      <c r="F25" s="314"/>
      <c r="G25" s="314"/>
      <c r="H25" s="315"/>
      <c r="I25" s="314"/>
      <c r="J25" s="395"/>
      <c r="K25" s="315"/>
      <c r="L25" s="390"/>
    </row>
    <row r="26" spans="1:25" ht="14.5" x14ac:dyDescent="0.35">
      <c r="A26" s="310"/>
      <c r="B26" s="844"/>
      <c r="C26" s="312"/>
      <c r="D26" s="312"/>
      <c r="E26" s="313"/>
      <c r="F26" s="314"/>
      <c r="G26" s="314"/>
      <c r="H26" s="315"/>
      <c r="I26" s="314"/>
      <c r="J26" s="395"/>
      <c r="K26" s="315"/>
      <c r="L26" s="390"/>
    </row>
    <row r="27" spans="1:25" ht="14.5" x14ac:dyDescent="0.35">
      <c r="A27" s="310"/>
      <c r="B27" s="844"/>
      <c r="C27" s="312"/>
      <c r="D27" s="312"/>
      <c r="E27" s="313"/>
      <c r="F27" s="314"/>
      <c r="G27" s="314"/>
      <c r="H27" s="315"/>
      <c r="I27" s="314"/>
      <c r="J27" s="395"/>
      <c r="K27" s="315"/>
      <c r="L27" s="390"/>
    </row>
    <row r="28" spans="1:25" ht="14.5" x14ac:dyDescent="0.35">
      <c r="A28" s="310"/>
      <c r="B28" s="844"/>
      <c r="C28" s="312"/>
      <c r="D28" s="312"/>
      <c r="E28" s="313"/>
      <c r="F28" s="314"/>
      <c r="G28" s="314"/>
      <c r="H28" s="315"/>
      <c r="I28" s="314"/>
      <c r="J28" s="395"/>
      <c r="K28" s="315"/>
      <c r="L28" s="390"/>
    </row>
    <row r="29" spans="1:25" ht="14.5" x14ac:dyDescent="0.35">
      <c r="A29" s="310"/>
      <c r="B29" s="844"/>
      <c r="C29" s="312"/>
      <c r="D29" s="312"/>
      <c r="E29" s="313"/>
      <c r="F29" s="314"/>
      <c r="G29" s="314"/>
      <c r="H29" s="315"/>
      <c r="I29" s="314"/>
      <c r="J29" s="395"/>
      <c r="K29" s="315"/>
      <c r="L29" s="390"/>
    </row>
    <row r="30" spans="1:25" ht="14.5" x14ac:dyDescent="0.35">
      <c r="A30" s="310"/>
      <c r="B30" s="844"/>
      <c r="C30" s="312"/>
      <c r="D30" s="312"/>
      <c r="E30" s="313"/>
      <c r="F30" s="314"/>
      <c r="G30" s="314"/>
      <c r="H30" s="315"/>
      <c r="I30" s="314"/>
      <c r="J30" s="395"/>
      <c r="K30" s="315"/>
      <c r="L30" s="390"/>
    </row>
    <row r="31" spans="1:25" ht="14.5" x14ac:dyDescent="0.35">
      <c r="A31" s="310"/>
      <c r="B31" s="844"/>
      <c r="C31" s="312"/>
      <c r="D31" s="312"/>
      <c r="E31" s="313"/>
      <c r="F31" s="314"/>
      <c r="G31" s="314"/>
      <c r="H31" s="315"/>
      <c r="I31" s="314"/>
      <c r="J31" s="395"/>
      <c r="K31" s="315"/>
      <c r="L31" s="390"/>
    </row>
    <row r="32" spans="1:25" ht="14.5" x14ac:dyDescent="0.35">
      <c r="A32" s="310"/>
      <c r="B32" s="844"/>
      <c r="C32" s="312"/>
      <c r="D32" s="312"/>
      <c r="E32" s="313"/>
      <c r="F32" s="314"/>
      <c r="G32" s="314"/>
      <c r="H32" s="315"/>
      <c r="I32" s="314"/>
      <c r="J32" s="395"/>
      <c r="K32" s="315"/>
      <c r="L32" s="390"/>
    </row>
    <row r="33" spans="1:12" ht="14.5" x14ac:dyDescent="0.35">
      <c r="A33" s="310"/>
      <c r="B33" s="844"/>
      <c r="C33" s="312"/>
      <c r="D33" s="312"/>
      <c r="E33" s="313"/>
      <c r="F33" s="314"/>
      <c r="G33" s="314"/>
      <c r="H33" s="315"/>
      <c r="I33" s="314"/>
      <c r="J33" s="395"/>
      <c r="K33" s="315"/>
      <c r="L33" s="390"/>
    </row>
    <row r="34" spans="1:12" ht="14.5" x14ac:dyDescent="0.35">
      <c r="A34" s="310"/>
      <c r="B34" s="844"/>
      <c r="C34" s="312"/>
      <c r="D34" s="312"/>
      <c r="E34" s="313"/>
      <c r="F34" s="314"/>
      <c r="G34" s="314"/>
      <c r="H34" s="315"/>
      <c r="I34" s="314"/>
      <c r="J34" s="395"/>
      <c r="K34" s="315"/>
      <c r="L34" s="390"/>
    </row>
    <row r="35" spans="1:12" ht="14.5" x14ac:dyDescent="0.35">
      <c r="A35" s="310"/>
      <c r="B35" s="844"/>
      <c r="C35" s="312"/>
      <c r="D35" s="312"/>
      <c r="E35" s="313"/>
      <c r="F35" s="314"/>
      <c r="G35" s="314"/>
      <c r="H35" s="315"/>
      <c r="I35" s="314"/>
      <c r="J35" s="395"/>
      <c r="K35" s="315"/>
      <c r="L35" s="390"/>
    </row>
    <row r="36" spans="1:12" ht="14.5" x14ac:dyDescent="0.35">
      <c r="A36" s="310"/>
      <c r="B36" s="844"/>
      <c r="C36" s="312"/>
      <c r="D36" s="312"/>
      <c r="E36" s="313"/>
      <c r="F36" s="314"/>
      <c r="G36" s="314"/>
      <c r="H36" s="315"/>
      <c r="I36" s="314"/>
      <c r="J36" s="395"/>
      <c r="K36" s="315"/>
      <c r="L36" s="390"/>
    </row>
    <row r="37" spans="1:12" ht="14.5" x14ac:dyDescent="0.35">
      <c r="A37" s="310"/>
      <c r="B37" s="844"/>
      <c r="C37" s="312"/>
      <c r="D37" s="312"/>
      <c r="E37" s="313"/>
      <c r="F37" s="314"/>
      <c r="G37" s="314"/>
      <c r="H37" s="315"/>
      <c r="I37" s="314"/>
      <c r="J37" s="395"/>
      <c r="K37" s="315"/>
      <c r="L37" s="390"/>
    </row>
    <row r="38" spans="1:12" ht="14.5" x14ac:dyDescent="0.35">
      <c r="A38" s="310"/>
      <c r="B38" s="844"/>
      <c r="C38" s="312"/>
      <c r="D38" s="312"/>
      <c r="E38" s="313"/>
      <c r="F38" s="314"/>
      <c r="G38" s="314"/>
      <c r="H38" s="315"/>
      <c r="I38" s="314"/>
      <c r="J38" s="395"/>
      <c r="K38" s="315"/>
      <c r="L38" s="390"/>
    </row>
    <row r="39" spans="1:12" ht="14.5" x14ac:dyDescent="0.35">
      <c r="A39" s="310"/>
      <c r="B39" s="844"/>
      <c r="C39" s="312"/>
      <c r="D39" s="312"/>
      <c r="E39" s="313"/>
      <c r="F39" s="314"/>
      <c r="G39" s="314"/>
      <c r="H39" s="315"/>
      <c r="I39" s="314"/>
      <c r="J39" s="395"/>
      <c r="K39" s="315"/>
      <c r="L39" s="390"/>
    </row>
    <row r="40" spans="1:12" ht="14.5" x14ac:dyDescent="0.35">
      <c r="A40" s="310"/>
      <c r="B40" s="844"/>
      <c r="C40" s="312"/>
      <c r="D40" s="312"/>
      <c r="E40" s="313"/>
      <c r="F40" s="314"/>
      <c r="G40" s="314"/>
      <c r="H40" s="315"/>
      <c r="I40" s="314"/>
      <c r="J40" s="395"/>
      <c r="K40" s="315"/>
      <c r="L40" s="390"/>
    </row>
    <row r="41" spans="1:12" ht="14.5" x14ac:dyDescent="0.35">
      <c r="A41" s="310"/>
      <c r="B41" s="844"/>
      <c r="C41" s="344"/>
      <c r="D41" s="122"/>
      <c r="E41" s="313"/>
      <c r="F41" s="314"/>
      <c r="G41" s="314"/>
      <c r="H41" s="315"/>
      <c r="I41" s="314"/>
      <c r="J41" s="395"/>
      <c r="K41" s="315"/>
      <c r="L41" s="390"/>
    </row>
    <row r="42" spans="1:12" ht="14.5" x14ac:dyDescent="0.35">
      <c r="A42" s="310"/>
      <c r="B42" s="844"/>
      <c r="C42" s="344"/>
      <c r="D42" s="122"/>
      <c r="E42" s="313"/>
      <c r="F42" s="314"/>
      <c r="G42" s="314"/>
      <c r="H42" s="315"/>
      <c r="I42" s="314"/>
      <c r="J42" s="395"/>
      <c r="K42" s="315"/>
      <c r="L42" s="390"/>
    </row>
    <row r="43" spans="1:12" ht="14.5" x14ac:dyDescent="0.35">
      <c r="A43" s="310"/>
      <c r="B43" s="844"/>
      <c r="C43" s="344"/>
      <c r="D43" s="393"/>
      <c r="E43" s="313"/>
      <c r="F43" s="314"/>
      <c r="G43" s="314"/>
      <c r="H43" s="315"/>
      <c r="I43" s="314"/>
      <c r="J43" s="395"/>
      <c r="K43" s="315"/>
      <c r="L43" s="390"/>
    </row>
    <row r="44" spans="1:12" ht="14.5" x14ac:dyDescent="0.35">
      <c r="A44" s="310"/>
      <c r="B44" s="844"/>
      <c r="C44" s="344"/>
      <c r="D44" s="347"/>
      <c r="E44" s="313"/>
      <c r="F44" s="314"/>
      <c r="G44" s="314"/>
      <c r="H44" s="315"/>
      <c r="I44" s="314"/>
      <c r="J44" s="395"/>
      <c r="K44" s="315"/>
      <c r="L44" s="390"/>
    </row>
    <row r="45" spans="1:12" ht="14.5" x14ac:dyDescent="0.35">
      <c r="A45" s="310"/>
      <c r="B45" s="844"/>
      <c r="C45" s="344"/>
      <c r="D45" s="347"/>
      <c r="E45" s="313"/>
      <c r="F45" s="314"/>
      <c r="G45" s="314"/>
      <c r="H45" s="315"/>
      <c r="I45" s="314"/>
      <c r="J45" s="395"/>
      <c r="K45" s="315"/>
      <c r="L45" s="390"/>
    </row>
    <row r="46" spans="1:12" ht="14.5" x14ac:dyDescent="0.35">
      <c r="A46" s="310"/>
      <c r="B46" s="844"/>
      <c r="C46" s="344"/>
      <c r="D46" s="122"/>
      <c r="E46" s="313"/>
      <c r="F46" s="314"/>
      <c r="G46" s="314"/>
      <c r="H46" s="315"/>
      <c r="I46" s="314"/>
      <c r="J46" s="395"/>
      <c r="K46" s="315"/>
      <c r="L46" s="390"/>
    </row>
    <row r="47" spans="1:12" ht="14.5" x14ac:dyDescent="0.35">
      <c r="A47" s="310"/>
      <c r="B47" s="844"/>
      <c r="C47" s="344"/>
      <c r="D47" s="122"/>
      <c r="E47" s="313"/>
      <c r="F47" s="314"/>
      <c r="G47" s="314"/>
      <c r="H47" s="315"/>
      <c r="I47" s="314"/>
      <c r="J47" s="395"/>
      <c r="K47" s="315"/>
      <c r="L47" s="390"/>
    </row>
    <row r="48" spans="1:12" ht="14.5" x14ac:dyDescent="0.35">
      <c r="A48" s="310"/>
      <c r="B48" s="844"/>
      <c r="C48" s="344"/>
      <c r="D48" s="122"/>
      <c r="E48" s="313"/>
      <c r="F48" s="314"/>
      <c r="G48" s="314"/>
      <c r="H48" s="315"/>
      <c r="I48" s="314"/>
      <c r="J48" s="395"/>
      <c r="K48" s="315"/>
      <c r="L48" s="390"/>
    </row>
    <row r="49" spans="1:12" ht="14.5" x14ac:dyDescent="0.35">
      <c r="A49" s="310"/>
      <c r="B49" s="844"/>
      <c r="C49" s="344"/>
      <c r="D49" s="122"/>
      <c r="E49" s="313"/>
      <c r="F49" s="314"/>
      <c r="G49" s="314"/>
      <c r="H49" s="315"/>
      <c r="I49" s="314"/>
      <c r="J49" s="395"/>
      <c r="K49" s="315"/>
      <c r="L49" s="390"/>
    </row>
    <row r="50" spans="1:12" ht="14.5" x14ac:dyDescent="0.35">
      <c r="A50" s="310"/>
      <c r="B50" s="844"/>
      <c r="C50" s="344"/>
      <c r="D50" s="393"/>
      <c r="E50" s="313"/>
      <c r="F50" s="314"/>
      <c r="G50" s="314"/>
      <c r="H50" s="315"/>
      <c r="I50" s="314"/>
      <c r="J50" s="395"/>
      <c r="K50" s="315"/>
      <c r="L50" s="390"/>
    </row>
    <row r="51" spans="1:12" ht="14.5" x14ac:dyDescent="0.35">
      <c r="A51" s="310"/>
      <c r="B51" s="844"/>
      <c r="C51" s="344"/>
      <c r="D51" s="122"/>
      <c r="E51" s="313"/>
      <c r="F51" s="314"/>
      <c r="G51" s="314"/>
      <c r="H51" s="315"/>
      <c r="I51" s="314"/>
      <c r="J51" s="395"/>
      <c r="K51" s="315"/>
      <c r="L51" s="390"/>
    </row>
    <row r="52" spans="1:12" ht="14.5" x14ac:dyDescent="0.35">
      <c r="A52" s="310"/>
      <c r="B52" s="844"/>
      <c r="C52" s="344"/>
      <c r="D52" s="122"/>
      <c r="E52" s="313"/>
      <c r="F52" s="314"/>
      <c r="G52" s="314"/>
      <c r="H52" s="315"/>
      <c r="I52" s="314"/>
      <c r="J52" s="395"/>
      <c r="K52" s="315"/>
      <c r="L52" s="390"/>
    </row>
    <row r="53" spans="1:12" ht="14.5" x14ac:dyDescent="0.35">
      <c r="A53" s="310"/>
      <c r="B53" s="844"/>
      <c r="C53" s="312"/>
      <c r="D53" s="312"/>
      <c r="E53" s="313"/>
      <c r="F53" s="314"/>
      <c r="G53" s="314"/>
      <c r="H53" s="315"/>
      <c r="I53" s="314"/>
      <c r="J53" s="395"/>
      <c r="K53" s="315"/>
      <c r="L53" s="390"/>
    </row>
    <row r="54" spans="1:12" ht="14.5" x14ac:dyDescent="0.35">
      <c r="A54" s="310"/>
      <c r="B54" s="844"/>
      <c r="C54" s="312"/>
      <c r="D54" s="312"/>
      <c r="E54" s="313"/>
      <c r="F54" s="314"/>
      <c r="G54" s="314"/>
      <c r="H54" s="315"/>
      <c r="I54" s="314"/>
      <c r="J54" s="395"/>
      <c r="K54" s="315"/>
      <c r="L54" s="390"/>
    </row>
    <row r="55" spans="1:12" ht="14.5" x14ac:dyDescent="0.35">
      <c r="A55" s="310"/>
      <c r="B55" s="844"/>
      <c r="C55" s="312"/>
      <c r="D55" s="312"/>
      <c r="E55" s="313"/>
      <c r="F55" s="314"/>
      <c r="G55" s="314"/>
      <c r="H55" s="315"/>
      <c r="I55" s="314"/>
      <c r="J55" s="395"/>
      <c r="K55" s="315"/>
      <c r="L55" s="390"/>
    </row>
    <row r="56" spans="1:12" ht="14.5" x14ac:dyDescent="0.35">
      <c r="A56" s="310"/>
      <c r="B56" s="844"/>
      <c r="C56" s="312"/>
      <c r="D56" s="312"/>
      <c r="E56" s="313"/>
      <c r="F56" s="314"/>
      <c r="G56" s="314"/>
      <c r="H56" s="315"/>
      <c r="I56" s="314"/>
      <c r="J56" s="395"/>
      <c r="K56" s="315"/>
      <c r="L56" s="390"/>
    </row>
    <row r="57" spans="1:12" ht="14.5" x14ac:dyDescent="0.35">
      <c r="A57" s="310"/>
      <c r="B57" s="844"/>
      <c r="C57" s="312"/>
      <c r="D57" s="312"/>
      <c r="E57" s="313"/>
      <c r="F57" s="314"/>
      <c r="G57" s="314"/>
      <c r="H57" s="315"/>
      <c r="I57" s="314"/>
      <c r="J57" s="395"/>
      <c r="K57" s="315"/>
      <c r="L57" s="390"/>
    </row>
    <row r="58" spans="1:12" ht="14.5" x14ac:dyDescent="0.35">
      <c r="A58" s="310"/>
      <c r="B58" s="844"/>
      <c r="C58" s="312"/>
      <c r="D58" s="312"/>
      <c r="E58" s="313"/>
      <c r="F58" s="314"/>
      <c r="G58" s="314"/>
      <c r="H58" s="315"/>
      <c r="I58" s="314"/>
      <c r="J58" s="395"/>
      <c r="K58" s="315"/>
      <c r="L58" s="390"/>
    </row>
    <row r="59" spans="1:12" ht="14.5" x14ac:dyDescent="0.35">
      <c r="A59" s="310"/>
      <c r="B59" s="844"/>
      <c r="C59" s="312"/>
      <c r="D59" s="312"/>
      <c r="E59" s="313"/>
      <c r="F59" s="314"/>
      <c r="G59" s="314"/>
      <c r="H59" s="315"/>
      <c r="I59" s="314"/>
      <c r="J59" s="395"/>
      <c r="K59" s="315"/>
      <c r="L59" s="390"/>
    </row>
    <row r="60" spans="1:12" x14ac:dyDescent="0.35">
      <c r="A60" s="565" t="s">
        <v>1096</v>
      </c>
      <c r="B60" s="566"/>
      <c r="C60" s="566"/>
      <c r="D60" s="566"/>
      <c r="E60" s="566"/>
      <c r="F60" s="566"/>
      <c r="G60" s="568"/>
      <c r="H60" s="640" t="s">
        <v>486</v>
      </c>
      <c r="I60" s="566"/>
      <c r="J60" s="566"/>
      <c r="K60" s="641"/>
      <c r="L60" s="568"/>
    </row>
    <row r="61" spans="1:12" s="138" customFormat="1" ht="14.5" customHeight="1" x14ac:dyDescent="0.35">
      <c r="A61" s="205" t="s">
        <v>350</v>
      </c>
      <c r="B61" s="337"/>
      <c r="C61" s="337"/>
      <c r="D61" s="337"/>
      <c r="E61" s="345"/>
      <c r="F61" s="345"/>
      <c r="G61" s="346"/>
      <c r="H61" s="622" t="e">
        <f>SUM(K14:K59)</f>
        <v>#NAME?</v>
      </c>
      <c r="I61" s="583"/>
      <c r="J61" s="583"/>
      <c r="K61" s="583"/>
      <c r="L61" s="584"/>
    </row>
    <row r="62" spans="1:12" x14ac:dyDescent="0.35">
      <c r="A62" s="565" t="s">
        <v>487</v>
      </c>
      <c r="B62" s="568"/>
      <c r="C62" s="139" t="s">
        <v>488</v>
      </c>
      <c r="D62" s="565" t="s">
        <v>489</v>
      </c>
      <c r="E62" s="568"/>
      <c r="F62" s="565" t="s">
        <v>490</v>
      </c>
      <c r="G62" s="568"/>
      <c r="H62" s="638" t="s">
        <v>491</v>
      </c>
      <c r="I62" s="581"/>
      <c r="J62" s="581"/>
      <c r="K62" s="639"/>
      <c r="L62" s="579"/>
    </row>
    <row r="63" spans="1:12" ht="14.5" customHeight="1" x14ac:dyDescent="0.35">
      <c r="A63" s="590" t="s">
        <v>248</v>
      </c>
      <c r="B63" s="591"/>
      <c r="C63" s="594" t="s">
        <v>247</v>
      </c>
      <c r="D63" s="598" t="e">
        <f>H61</f>
        <v>#NAME?</v>
      </c>
      <c r="E63" s="597"/>
      <c r="F63" s="634">
        <f>IF(C63="022",22%,0)</f>
        <v>0</v>
      </c>
      <c r="G63" s="635"/>
      <c r="H63" s="622" t="e">
        <f>H61</f>
        <v>#NAME?</v>
      </c>
      <c r="I63" s="583"/>
      <c r="J63" s="583"/>
      <c r="K63" s="583"/>
      <c r="L63" s="584"/>
    </row>
    <row r="64" spans="1:12" x14ac:dyDescent="0.35">
      <c r="A64" s="590"/>
      <c r="B64" s="591"/>
      <c r="C64" s="594"/>
      <c r="D64" s="598"/>
      <c r="E64" s="597"/>
      <c r="F64" s="634"/>
      <c r="G64" s="635"/>
      <c r="H64" s="638" t="s">
        <v>492</v>
      </c>
      <c r="I64" s="581"/>
      <c r="J64" s="581"/>
      <c r="K64" s="639"/>
      <c r="L64" s="579"/>
    </row>
    <row r="65" spans="1:15" ht="14.5" customHeight="1" x14ac:dyDescent="0.35">
      <c r="A65" s="590"/>
      <c r="B65" s="591"/>
      <c r="C65" s="594"/>
      <c r="D65" s="598"/>
      <c r="E65" s="597"/>
      <c r="F65" s="634"/>
      <c r="G65" s="635"/>
      <c r="H65" s="622">
        <f>SEK63*F63</f>
        <v>0</v>
      </c>
      <c r="I65" s="583"/>
      <c r="J65" s="583"/>
      <c r="K65" s="583"/>
      <c r="L65" s="584"/>
    </row>
    <row r="66" spans="1:15" x14ac:dyDescent="0.35">
      <c r="A66" s="590"/>
      <c r="B66" s="591"/>
      <c r="C66" s="594"/>
      <c r="D66" s="598"/>
      <c r="E66" s="597"/>
      <c r="F66" s="634"/>
      <c r="G66" s="635"/>
      <c r="H66" s="638" t="s">
        <v>493</v>
      </c>
      <c r="I66" s="581"/>
      <c r="J66" s="581"/>
      <c r="K66" s="639"/>
      <c r="L66" s="579"/>
    </row>
    <row r="67" spans="1:15" ht="14.5" customHeight="1" x14ac:dyDescent="0.35">
      <c r="A67" s="592"/>
      <c r="B67" s="593"/>
      <c r="C67" s="595"/>
      <c r="D67" s="599"/>
      <c r="E67" s="600"/>
      <c r="F67" s="636"/>
      <c r="G67" s="637"/>
      <c r="H67" s="622" t="e">
        <f>H61+H65</f>
        <v>#NAME?</v>
      </c>
      <c r="I67" s="583"/>
      <c r="J67" s="583"/>
      <c r="K67" s="583"/>
      <c r="L67" s="584"/>
    </row>
    <row r="68" spans="1:15" x14ac:dyDescent="0.35">
      <c r="A68" s="609" t="s">
        <v>494</v>
      </c>
      <c r="B68" s="610"/>
      <c r="C68" s="610"/>
      <c r="D68" s="610"/>
      <c r="E68" s="610"/>
      <c r="F68" s="610"/>
      <c r="G68" s="610"/>
      <c r="H68" s="624"/>
      <c r="I68" s="610"/>
      <c r="J68" s="610"/>
      <c r="K68" s="624"/>
      <c r="L68" s="612"/>
    </row>
    <row r="69" spans="1:15" s="140" customFormat="1" ht="10.5" customHeight="1" x14ac:dyDescent="0.35">
      <c r="A69" s="613" t="s">
        <v>495</v>
      </c>
      <c r="B69" s="614"/>
      <c r="C69" s="614"/>
      <c r="D69" s="614"/>
      <c r="E69" s="614"/>
      <c r="F69" s="614"/>
      <c r="G69" s="614"/>
      <c r="H69" s="626"/>
      <c r="I69" s="614"/>
      <c r="J69" s="614"/>
      <c r="K69" s="626"/>
      <c r="L69" s="616"/>
      <c r="N69" s="125"/>
      <c r="O69" s="125"/>
    </row>
    <row r="70" spans="1:15" s="141" customFormat="1" ht="7.5" customHeight="1" x14ac:dyDescent="0.35">
      <c r="A70" s="609" t="s">
        <v>496</v>
      </c>
      <c r="B70" s="618" t="s">
        <v>497</v>
      </c>
      <c r="C70" s="618"/>
      <c r="D70" s="618"/>
      <c r="E70" s="618"/>
      <c r="F70" s="610"/>
      <c r="G70" s="610"/>
      <c r="H70" s="610"/>
      <c r="I70" s="610"/>
      <c r="J70" s="610"/>
      <c r="K70" s="610"/>
      <c r="L70" s="612"/>
      <c r="N70" s="125"/>
      <c r="O70" s="125"/>
    </row>
    <row r="71" spans="1:15" ht="14.5" customHeight="1" x14ac:dyDescent="0.35">
      <c r="A71" s="613"/>
      <c r="B71" s="619"/>
      <c r="C71" s="619"/>
      <c r="D71" s="619"/>
      <c r="E71" s="619"/>
      <c r="F71" s="614"/>
      <c r="G71" s="614"/>
      <c r="H71" s="614"/>
      <c r="I71" s="614"/>
      <c r="J71" s="614"/>
      <c r="K71" s="614"/>
      <c r="L71" s="616"/>
    </row>
    <row r="72" spans="1:15" s="141" customFormat="1" ht="10" x14ac:dyDescent="0.35">
      <c r="A72" s="606" t="s">
        <v>498</v>
      </c>
      <c r="B72" s="606"/>
      <c r="C72" s="606"/>
      <c r="D72" s="606"/>
      <c r="E72" s="606"/>
      <c r="F72" s="606"/>
      <c r="G72" s="606"/>
      <c r="H72" s="620"/>
      <c r="I72" s="606"/>
      <c r="J72" s="606"/>
      <c r="K72" s="620"/>
      <c r="L72" s="606"/>
    </row>
    <row r="73" spans="1:15" x14ac:dyDescent="0.35">
      <c r="A73" s="606" t="s">
        <v>499</v>
      </c>
      <c r="B73" s="606"/>
      <c r="C73" s="606"/>
      <c r="D73" s="606"/>
      <c r="E73" s="606"/>
      <c r="F73" s="606"/>
      <c r="G73" s="606"/>
      <c r="H73" s="620"/>
      <c r="I73" s="606"/>
      <c r="J73" s="606"/>
      <c r="K73" s="620"/>
      <c r="L73" s="606"/>
    </row>
    <row r="74" spans="1:15" x14ac:dyDescent="0.35">
      <c r="A74" s="606" t="s">
        <v>500</v>
      </c>
      <c r="B74" s="607"/>
      <c r="C74" s="607"/>
      <c r="D74" s="607"/>
      <c r="E74" s="607"/>
      <c r="F74" s="607"/>
      <c r="G74" s="607"/>
      <c r="H74" s="621"/>
      <c r="I74" s="607"/>
      <c r="J74" s="607"/>
      <c r="K74" s="621"/>
      <c r="L74" s="607"/>
    </row>
    <row r="75" spans="1:15" x14ac:dyDescent="0.35">
      <c r="H75" s="147"/>
      <c r="K75" s="147"/>
    </row>
    <row r="76" spans="1:15" x14ac:dyDescent="0.35">
      <c r="H76" s="147"/>
      <c r="K76" s="147"/>
    </row>
    <row r="77" spans="1:15" x14ac:dyDescent="0.35">
      <c r="H77" s="147"/>
      <c r="K77" s="147"/>
    </row>
    <row r="78" spans="1:15" x14ac:dyDescent="0.35">
      <c r="H78" s="147"/>
      <c r="K78" s="147"/>
    </row>
    <row r="79" spans="1:15" x14ac:dyDescent="0.35">
      <c r="H79" s="147"/>
      <c r="K79" s="147"/>
    </row>
    <row r="80" spans="1:15" x14ac:dyDescent="0.35">
      <c r="H80" s="147"/>
      <c r="K80" s="147"/>
    </row>
    <row r="81" spans="8:11" x14ac:dyDescent="0.35">
      <c r="H81" s="147"/>
      <c r="K81" s="147"/>
    </row>
    <row r="82" spans="8:11" x14ac:dyDescent="0.35">
      <c r="H82" s="147"/>
      <c r="K82" s="147"/>
    </row>
    <row r="83" spans="8:11" x14ac:dyDescent="0.35">
      <c r="H83" s="147"/>
      <c r="K83" s="147"/>
    </row>
    <row r="84" spans="8:11" x14ac:dyDescent="0.35">
      <c r="H84" s="147"/>
      <c r="K84" s="147"/>
    </row>
    <row r="85" spans="8:11" x14ac:dyDescent="0.35">
      <c r="H85" s="147"/>
      <c r="K85" s="147"/>
    </row>
    <row r="86" spans="8:11" x14ac:dyDescent="0.35">
      <c r="H86" s="147"/>
      <c r="K86" s="147"/>
    </row>
    <row r="87" spans="8:11" x14ac:dyDescent="0.35">
      <c r="H87" s="147"/>
      <c r="K87" s="147"/>
    </row>
    <row r="88" spans="8:11" x14ac:dyDescent="0.35">
      <c r="H88" s="147"/>
      <c r="K88" s="147"/>
    </row>
    <row r="89" spans="8:11" x14ac:dyDescent="0.35">
      <c r="H89" s="147"/>
      <c r="K89" s="147"/>
    </row>
    <row r="90" spans="8:11" x14ac:dyDescent="0.35">
      <c r="H90" s="147"/>
      <c r="K90" s="147"/>
    </row>
    <row r="91" spans="8:11" x14ac:dyDescent="0.35">
      <c r="H91" s="147"/>
      <c r="K91" s="147"/>
    </row>
    <row r="92" spans="8:11" x14ac:dyDescent="0.35">
      <c r="H92" s="147"/>
      <c r="K92" s="147"/>
    </row>
    <row r="93" spans="8:11" x14ac:dyDescent="0.35">
      <c r="H93" s="147"/>
      <c r="K93" s="147"/>
    </row>
    <row r="94" spans="8:11" x14ac:dyDescent="0.35">
      <c r="H94" s="147"/>
      <c r="K94" s="147"/>
    </row>
    <row r="95" spans="8:11" x14ac:dyDescent="0.35">
      <c r="H95" s="147"/>
      <c r="K95" s="147"/>
    </row>
    <row r="96" spans="8:11" x14ac:dyDescent="0.35">
      <c r="H96" s="147"/>
      <c r="K96" s="147"/>
    </row>
    <row r="97" spans="8:11" x14ac:dyDescent="0.35">
      <c r="H97" s="147"/>
      <c r="K97" s="147"/>
    </row>
    <row r="98" spans="8:11" x14ac:dyDescent="0.35">
      <c r="H98" s="147"/>
      <c r="K98" s="147"/>
    </row>
    <row r="99" spans="8:11" x14ac:dyDescent="0.35">
      <c r="H99" s="147"/>
      <c r="K99" s="147"/>
    </row>
    <row r="100" spans="8:11" x14ac:dyDescent="0.35">
      <c r="H100" s="147"/>
      <c r="K100" s="147"/>
    </row>
    <row r="101" spans="8:11" x14ac:dyDescent="0.35">
      <c r="H101" s="147"/>
      <c r="K101" s="147"/>
    </row>
    <row r="102" spans="8:11" x14ac:dyDescent="0.35">
      <c r="H102" s="147"/>
      <c r="K102" s="147"/>
    </row>
    <row r="103" spans="8:11" x14ac:dyDescent="0.35">
      <c r="H103" s="147"/>
      <c r="K103" s="147"/>
    </row>
    <row r="104" spans="8:11" x14ac:dyDescent="0.35">
      <c r="H104" s="147"/>
      <c r="K104" s="147"/>
    </row>
    <row r="105" spans="8:11" x14ac:dyDescent="0.35">
      <c r="H105" s="147"/>
      <c r="K105" s="147"/>
    </row>
    <row r="106" spans="8:11" x14ac:dyDescent="0.35">
      <c r="H106" s="147"/>
      <c r="K106" s="147"/>
    </row>
    <row r="107" spans="8:11" x14ac:dyDescent="0.35">
      <c r="H107" s="147"/>
      <c r="K107" s="147"/>
    </row>
    <row r="108" spans="8:11" x14ac:dyDescent="0.35">
      <c r="H108" s="147"/>
      <c r="K108" s="147"/>
    </row>
    <row r="109" spans="8:11" x14ac:dyDescent="0.35">
      <c r="H109" s="147"/>
      <c r="K109" s="147"/>
    </row>
    <row r="110" spans="8:11" x14ac:dyDescent="0.35">
      <c r="H110" s="147"/>
      <c r="K110" s="147"/>
    </row>
    <row r="111" spans="8:11" x14ac:dyDescent="0.35">
      <c r="H111" s="147"/>
      <c r="K111" s="147"/>
    </row>
    <row r="112" spans="8:11" x14ac:dyDescent="0.35">
      <c r="H112" s="147"/>
      <c r="K112" s="147"/>
    </row>
    <row r="113" spans="8:11" x14ac:dyDescent="0.35">
      <c r="H113" s="147"/>
      <c r="K113" s="147"/>
    </row>
    <row r="114" spans="8:11" x14ac:dyDescent="0.35">
      <c r="H114" s="147"/>
      <c r="K114" s="147"/>
    </row>
    <row r="115" spans="8:11" x14ac:dyDescent="0.35">
      <c r="H115" s="147"/>
      <c r="K115" s="147"/>
    </row>
    <row r="116" spans="8:11" x14ac:dyDescent="0.35">
      <c r="H116" s="147"/>
      <c r="K116" s="147"/>
    </row>
    <row r="117" spans="8:11" x14ac:dyDescent="0.35">
      <c r="H117" s="147"/>
      <c r="K117" s="147"/>
    </row>
    <row r="118" spans="8:11" x14ac:dyDescent="0.35">
      <c r="H118" s="147"/>
      <c r="K118" s="147"/>
    </row>
    <row r="119" spans="8:11" x14ac:dyDescent="0.35">
      <c r="H119" s="147"/>
      <c r="K119" s="147"/>
    </row>
    <row r="120" spans="8:11" x14ac:dyDescent="0.35">
      <c r="H120" s="147"/>
      <c r="K120" s="147"/>
    </row>
    <row r="121" spans="8:11" x14ac:dyDescent="0.35">
      <c r="H121" s="147"/>
      <c r="K121" s="147"/>
    </row>
    <row r="122" spans="8:11" x14ac:dyDescent="0.35">
      <c r="H122" s="147"/>
      <c r="K122" s="147"/>
    </row>
    <row r="123" spans="8:11" x14ac:dyDescent="0.35">
      <c r="H123" s="147"/>
      <c r="K123" s="147"/>
    </row>
    <row r="124" spans="8:11" x14ac:dyDescent="0.35">
      <c r="H124" s="147"/>
      <c r="K124" s="147"/>
    </row>
    <row r="125" spans="8:11" x14ac:dyDescent="0.35">
      <c r="H125" s="147"/>
      <c r="K125" s="147"/>
    </row>
    <row r="126" spans="8:11" x14ac:dyDescent="0.35">
      <c r="H126" s="147"/>
      <c r="K126" s="147"/>
    </row>
    <row r="127" spans="8:11" x14ac:dyDescent="0.35">
      <c r="H127" s="147"/>
      <c r="K127" s="147"/>
    </row>
    <row r="128" spans="8:11" x14ac:dyDescent="0.35">
      <c r="H128" s="147"/>
      <c r="K128" s="147"/>
    </row>
    <row r="129" spans="8:11" x14ac:dyDescent="0.35">
      <c r="H129" s="147"/>
      <c r="K129" s="147"/>
    </row>
    <row r="130" spans="8:11" x14ac:dyDescent="0.35">
      <c r="H130" s="147"/>
      <c r="K130" s="147"/>
    </row>
    <row r="131" spans="8:11" x14ac:dyDescent="0.35">
      <c r="H131" s="147"/>
      <c r="K131" s="147"/>
    </row>
    <row r="132" spans="8:11" x14ac:dyDescent="0.35">
      <c r="H132" s="147"/>
      <c r="K132" s="147"/>
    </row>
    <row r="133" spans="8:11" x14ac:dyDescent="0.35">
      <c r="H133" s="147"/>
      <c r="K133" s="147"/>
    </row>
    <row r="134" spans="8:11" x14ac:dyDescent="0.35">
      <c r="H134" s="147"/>
      <c r="K134" s="147"/>
    </row>
    <row r="135" spans="8:11" x14ac:dyDescent="0.35">
      <c r="H135" s="147"/>
      <c r="K135" s="147"/>
    </row>
    <row r="136" spans="8:11" x14ac:dyDescent="0.35">
      <c r="H136" s="147"/>
      <c r="K136" s="147"/>
    </row>
    <row r="137" spans="8:11" x14ac:dyDescent="0.35">
      <c r="H137" s="147"/>
      <c r="K137" s="147"/>
    </row>
    <row r="138" spans="8:11" x14ac:dyDescent="0.35">
      <c r="H138" s="147"/>
      <c r="K138" s="147"/>
    </row>
    <row r="139" spans="8:11" x14ac:dyDescent="0.35">
      <c r="H139" s="147"/>
      <c r="K139" s="147"/>
    </row>
    <row r="140" spans="8:11" x14ac:dyDescent="0.35">
      <c r="H140" s="147"/>
      <c r="K140" s="147"/>
    </row>
    <row r="141" spans="8:11" x14ac:dyDescent="0.35">
      <c r="H141" s="147"/>
      <c r="K141" s="147"/>
    </row>
    <row r="142" spans="8:11" x14ac:dyDescent="0.35">
      <c r="H142" s="147"/>
      <c r="K142" s="147"/>
    </row>
    <row r="143" spans="8:11" x14ac:dyDescent="0.35">
      <c r="H143" s="147"/>
      <c r="K143" s="147"/>
    </row>
    <row r="144" spans="8:11" x14ac:dyDescent="0.35">
      <c r="H144" s="147"/>
      <c r="K144" s="147"/>
    </row>
    <row r="145" spans="8:11" x14ac:dyDescent="0.35">
      <c r="H145" s="147"/>
      <c r="K145" s="147"/>
    </row>
    <row r="146" spans="8:11" x14ac:dyDescent="0.35">
      <c r="H146" s="147"/>
      <c r="K146" s="147"/>
    </row>
    <row r="147" spans="8:11" x14ac:dyDescent="0.35">
      <c r="H147" s="147"/>
      <c r="K147" s="147"/>
    </row>
    <row r="148" spans="8:11" x14ac:dyDescent="0.35">
      <c r="H148" s="147"/>
      <c r="K148" s="147"/>
    </row>
    <row r="149" spans="8:11" x14ac:dyDescent="0.35">
      <c r="H149" s="147"/>
      <c r="K149" s="147"/>
    </row>
    <row r="150" spans="8:11" x14ac:dyDescent="0.35">
      <c r="H150" s="147"/>
      <c r="K150" s="147"/>
    </row>
    <row r="151" spans="8:11" x14ac:dyDescent="0.35">
      <c r="H151" s="147"/>
      <c r="K151" s="147"/>
    </row>
    <row r="152" spans="8:11" x14ac:dyDescent="0.35">
      <c r="H152" s="147"/>
      <c r="K152" s="147"/>
    </row>
    <row r="153" spans="8:11" x14ac:dyDescent="0.35">
      <c r="H153" s="147"/>
      <c r="K153" s="147"/>
    </row>
    <row r="154" spans="8:11" x14ac:dyDescent="0.35">
      <c r="H154" s="147"/>
      <c r="K154" s="147"/>
    </row>
    <row r="155" spans="8:11" x14ac:dyDescent="0.35">
      <c r="H155" s="147"/>
      <c r="K155" s="147"/>
    </row>
    <row r="156" spans="8:11" x14ac:dyDescent="0.35">
      <c r="H156" s="147"/>
      <c r="K156" s="147"/>
    </row>
    <row r="157" spans="8:11" x14ac:dyDescent="0.35">
      <c r="H157" s="147"/>
      <c r="K157" s="147"/>
    </row>
    <row r="158" spans="8:11" x14ac:dyDescent="0.35">
      <c r="H158" s="147"/>
      <c r="K158" s="147"/>
    </row>
    <row r="159" spans="8:11" x14ac:dyDescent="0.35">
      <c r="H159" s="147"/>
      <c r="K159" s="147"/>
    </row>
    <row r="160" spans="8:11" x14ac:dyDescent="0.35">
      <c r="H160" s="147"/>
      <c r="K160" s="147"/>
    </row>
    <row r="161" spans="8:11" x14ac:dyDescent="0.35">
      <c r="H161" s="147"/>
      <c r="K161" s="147"/>
    </row>
    <row r="162" spans="8:11" x14ac:dyDescent="0.35">
      <c r="H162" s="147"/>
      <c r="K162" s="147"/>
    </row>
    <row r="163" spans="8:11" x14ac:dyDescent="0.35">
      <c r="H163" s="147"/>
      <c r="K163" s="147"/>
    </row>
    <row r="164" spans="8:11" x14ac:dyDescent="0.35">
      <c r="H164" s="147"/>
      <c r="K164" s="147"/>
    </row>
    <row r="165" spans="8:11" x14ac:dyDescent="0.35">
      <c r="H165" s="147"/>
      <c r="K165" s="147"/>
    </row>
    <row r="166" spans="8:11" x14ac:dyDescent="0.35">
      <c r="H166" s="147"/>
      <c r="K166" s="147"/>
    </row>
    <row r="167" spans="8:11" x14ac:dyDescent="0.35">
      <c r="H167" s="147"/>
      <c r="K167" s="147"/>
    </row>
    <row r="168" spans="8:11" x14ac:dyDescent="0.35">
      <c r="H168" s="147"/>
      <c r="K168" s="147"/>
    </row>
    <row r="169" spans="8:11" x14ac:dyDescent="0.35">
      <c r="H169" s="147"/>
      <c r="K169" s="147"/>
    </row>
    <row r="170" spans="8:11" x14ac:dyDescent="0.35">
      <c r="H170" s="147"/>
      <c r="K170" s="147"/>
    </row>
    <row r="171" spans="8:11" x14ac:dyDescent="0.35">
      <c r="H171" s="147"/>
      <c r="K171" s="147"/>
    </row>
    <row r="172" spans="8:11" x14ac:dyDescent="0.35">
      <c r="H172" s="147"/>
      <c r="K172" s="147"/>
    </row>
    <row r="173" spans="8:11" x14ac:dyDescent="0.35">
      <c r="H173" s="147"/>
      <c r="K173" s="147"/>
    </row>
    <row r="174" spans="8:11" x14ac:dyDescent="0.35">
      <c r="H174" s="147"/>
      <c r="K174" s="147"/>
    </row>
    <row r="175" spans="8:11" x14ac:dyDescent="0.35">
      <c r="H175" s="147"/>
      <c r="K175" s="147"/>
    </row>
    <row r="176" spans="8:11" x14ac:dyDescent="0.35">
      <c r="H176" s="147"/>
      <c r="K176" s="147"/>
    </row>
    <row r="177" spans="8:11" x14ac:dyDescent="0.35">
      <c r="H177" s="147"/>
      <c r="K177" s="147"/>
    </row>
    <row r="178" spans="8:11" x14ac:dyDescent="0.35">
      <c r="H178" s="147"/>
      <c r="K178" s="147"/>
    </row>
    <row r="179" spans="8:11" x14ac:dyDescent="0.35">
      <c r="H179" s="147"/>
      <c r="K179" s="147"/>
    </row>
    <row r="180" spans="8:11" x14ac:dyDescent="0.35">
      <c r="H180" s="147"/>
      <c r="K180" s="147"/>
    </row>
    <row r="181" spans="8:11" x14ac:dyDescent="0.35">
      <c r="H181" s="147"/>
      <c r="K181" s="147"/>
    </row>
    <row r="182" spans="8:11" x14ac:dyDescent="0.35">
      <c r="H182" s="147"/>
      <c r="K182" s="147"/>
    </row>
    <row r="183" spans="8:11" x14ac:dyDescent="0.35">
      <c r="H183" s="147"/>
      <c r="K183" s="147"/>
    </row>
    <row r="184" spans="8:11" x14ac:dyDescent="0.35">
      <c r="H184" s="147"/>
      <c r="K184" s="147"/>
    </row>
    <row r="185" spans="8:11" x14ac:dyDescent="0.35">
      <c r="H185" s="147"/>
      <c r="K185" s="147"/>
    </row>
    <row r="186" spans="8:11" x14ac:dyDescent="0.35">
      <c r="H186" s="147"/>
      <c r="K186" s="147"/>
    </row>
    <row r="187" spans="8:11" x14ac:dyDescent="0.35">
      <c r="H187" s="147"/>
      <c r="K187" s="147"/>
    </row>
    <row r="188" spans="8:11" x14ac:dyDescent="0.35">
      <c r="H188" s="147"/>
      <c r="K188" s="147"/>
    </row>
    <row r="189" spans="8:11" x14ac:dyDescent="0.35">
      <c r="H189" s="147"/>
      <c r="K189" s="147"/>
    </row>
    <row r="190" spans="8:11" x14ac:dyDescent="0.35">
      <c r="H190" s="147"/>
      <c r="K190" s="147"/>
    </row>
    <row r="191" spans="8:11" x14ac:dyDescent="0.35">
      <c r="H191" s="147"/>
      <c r="K191" s="147"/>
    </row>
    <row r="192" spans="8:11" x14ac:dyDescent="0.35">
      <c r="H192" s="147"/>
      <c r="K192" s="147"/>
    </row>
    <row r="193" spans="4:11" x14ac:dyDescent="0.35">
      <c r="H193" s="147"/>
      <c r="K193" s="147"/>
    </row>
    <row r="194" spans="4:11" x14ac:dyDescent="0.35">
      <c r="H194" s="147"/>
      <c r="K194" s="147"/>
    </row>
    <row r="195" spans="4:11" x14ac:dyDescent="0.35">
      <c r="H195" s="147"/>
      <c r="K195" s="147"/>
    </row>
    <row r="196" spans="4:11" x14ac:dyDescent="0.35">
      <c r="H196" s="147"/>
      <c r="K196" s="147"/>
    </row>
    <row r="197" spans="4:11" x14ac:dyDescent="0.35">
      <c r="H197" s="147"/>
      <c r="K197" s="147"/>
    </row>
    <row r="198" spans="4:11" x14ac:dyDescent="0.35">
      <c r="H198" s="147"/>
      <c r="K198" s="147"/>
    </row>
    <row r="199" spans="4:11" x14ac:dyDescent="0.35">
      <c r="H199" s="147"/>
      <c r="K199" s="147"/>
    </row>
    <row r="200" spans="4:11" x14ac:dyDescent="0.35">
      <c r="H200" s="147"/>
      <c r="K200" s="147"/>
    </row>
    <row r="201" spans="4:11" x14ac:dyDescent="0.35">
      <c r="H201" s="147"/>
      <c r="K201" s="147"/>
    </row>
    <row r="202" spans="4:11" x14ac:dyDescent="0.35">
      <c r="H202" s="147"/>
      <c r="K202" s="147"/>
    </row>
    <row r="203" spans="4:11" x14ac:dyDescent="0.35">
      <c r="H203" s="147"/>
      <c r="K203" s="147"/>
    </row>
    <row r="204" spans="4:11" x14ac:dyDescent="0.35">
      <c r="H204" s="144"/>
      <c r="K204" s="144"/>
    </row>
    <row r="205" spans="4:11" x14ac:dyDescent="0.35">
      <c r="H205" s="144"/>
      <c r="K205" s="147"/>
    </row>
    <row r="206" spans="4:11" x14ac:dyDescent="0.35">
      <c r="H206" s="144"/>
      <c r="K206" s="144"/>
    </row>
    <row r="207" spans="4:11" x14ac:dyDescent="0.35">
      <c r="D207" s="148"/>
      <c r="E207" s="147"/>
      <c r="H207" s="144"/>
      <c r="K207" s="147"/>
    </row>
    <row r="208" spans="4:11" x14ac:dyDescent="0.35">
      <c r="D208" s="148"/>
      <c r="E208" s="147"/>
      <c r="H208" s="144"/>
      <c r="K208" s="144"/>
    </row>
    <row r="209" spans="4:11" x14ac:dyDescent="0.35">
      <c r="D209" s="148"/>
      <c r="E209" s="147"/>
      <c r="H209" s="144"/>
      <c r="K209" s="147"/>
    </row>
    <row r="210" spans="4:11" x14ac:dyDescent="0.35">
      <c r="D210" s="148"/>
      <c r="E210" s="147"/>
      <c r="H210" s="144"/>
      <c r="K210" s="144"/>
    </row>
    <row r="211" spans="4:11" x14ac:dyDescent="0.35">
      <c r="D211" s="148"/>
      <c r="E211" s="147"/>
      <c r="H211" s="144"/>
      <c r="K211" s="147"/>
    </row>
    <row r="212" spans="4:11" x14ac:dyDescent="0.35">
      <c r="K212" s="144"/>
    </row>
    <row r="213" spans="4:11" x14ac:dyDescent="0.35">
      <c r="K213" s="144"/>
    </row>
    <row r="214" spans="4:11" x14ac:dyDescent="0.35">
      <c r="D214" s="145"/>
      <c r="E214" s="144"/>
      <c r="K214" s="144"/>
    </row>
    <row r="215" spans="4:11" x14ac:dyDescent="0.35">
      <c r="D215" s="145"/>
      <c r="E215" s="144"/>
      <c r="K215" s="144"/>
    </row>
    <row r="216" spans="4:11" x14ac:dyDescent="0.35">
      <c r="D216" s="145"/>
      <c r="E216" s="144"/>
      <c r="K216" s="144"/>
    </row>
    <row r="217" spans="4:11" x14ac:dyDescent="0.35">
      <c r="D217" s="145"/>
      <c r="E217" s="144"/>
      <c r="K217" s="144"/>
    </row>
    <row r="218" spans="4:11" x14ac:dyDescent="0.35">
      <c r="D218" s="145"/>
      <c r="E218" s="144"/>
      <c r="K218" s="144"/>
    </row>
    <row r="219" spans="4:11" x14ac:dyDescent="0.35">
      <c r="D219" s="145"/>
      <c r="E219" s="144"/>
      <c r="K219" s="144"/>
    </row>
  </sheetData>
  <mergeCells count="38">
    <mergeCell ref="D63:E67"/>
    <mergeCell ref="F63:G67"/>
    <mergeCell ref="H64:L64"/>
    <mergeCell ref="H66:L66"/>
    <mergeCell ref="A74:L74"/>
    <mergeCell ref="A68:L68"/>
    <mergeCell ref="A69:L69"/>
    <mergeCell ref="A70:A71"/>
    <mergeCell ref="A72:L72"/>
    <mergeCell ref="A73:L73"/>
    <mergeCell ref="B70:E71"/>
    <mergeCell ref="F70:L71"/>
    <mergeCell ref="A9:B9"/>
    <mergeCell ref="C9:D9"/>
    <mergeCell ref="E9:F9"/>
    <mergeCell ref="K9:L9"/>
    <mergeCell ref="G9:J9"/>
    <mergeCell ref="A8:B8"/>
    <mergeCell ref="C8:D8"/>
    <mergeCell ref="E8:F8"/>
    <mergeCell ref="G8:I8"/>
    <mergeCell ref="K8:L8"/>
    <mergeCell ref="H61:L61"/>
    <mergeCell ref="H63:L63"/>
    <mergeCell ref="H65:L65"/>
    <mergeCell ref="H67:L67"/>
    <mergeCell ref="A10:L10"/>
    <mergeCell ref="B12:E12"/>
    <mergeCell ref="A60:B60"/>
    <mergeCell ref="C60:D60"/>
    <mergeCell ref="E60:G60"/>
    <mergeCell ref="H60:L60"/>
    <mergeCell ref="A62:B62"/>
    <mergeCell ref="D62:E62"/>
    <mergeCell ref="F62:G62"/>
    <mergeCell ref="H62:L62"/>
    <mergeCell ref="A63:B67"/>
    <mergeCell ref="C63:C67"/>
  </mergeCells>
  <dataValidations count="1">
    <dataValidation type="list" allowBlank="1" showInputMessage="1" showErrorMessage="1" sqref="K9:L9" xr:uid="{00000000-0002-0000-09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3"/>
  <dimension ref="A1:Y218"/>
  <sheetViews>
    <sheetView showGridLines="0" zoomScaleSheetLayoutView="100" workbookViewId="0">
      <pane ySplit="12" topLeftCell="A13" activePane="bottomLeft" state="frozen"/>
      <selection activeCell="A11" sqref="A11:K58"/>
      <selection pane="bottomLeft" activeCell="L74" sqref="L74:L120"/>
    </sheetView>
  </sheetViews>
  <sheetFormatPr defaultColWidth="10.7265625" defaultRowHeight="12.5" x14ac:dyDescent="0.35"/>
  <cols>
    <col min="1" max="1" width="10.54296875" style="125" customWidth="1"/>
    <col min="2" max="2" width="20.1796875" style="125" customWidth="1"/>
    <col min="3" max="3" width="12.7265625" style="125" customWidth="1"/>
    <col min="4" max="4" width="9.81640625" style="126" customWidth="1"/>
    <col min="5" max="5" width="18.7265625" style="125" customWidth="1"/>
    <col min="6" max="6" width="4.1796875" style="127" customWidth="1"/>
    <col min="7" max="8" width="11.453125" style="125" customWidth="1"/>
    <col min="9" max="10" width="11.453125" style="127" customWidth="1"/>
    <col min="11" max="11" width="11.453125" style="125" customWidth="1"/>
    <col min="12" max="12" width="5.54296875" style="125" customWidth="1"/>
    <col min="13" max="16384" width="10.7265625" style="125"/>
  </cols>
  <sheetData>
    <row r="1" spans="1:25" x14ac:dyDescent="0.35">
      <c r="A1" s="291"/>
      <c r="B1" s="291"/>
      <c r="F1" s="292"/>
      <c r="G1" s="355"/>
      <c r="H1" s="150"/>
      <c r="I1" s="150"/>
      <c r="J1" s="150"/>
      <c r="K1" s="150"/>
      <c r="L1" s="124"/>
    </row>
    <row r="2" spans="1:25" ht="13" x14ac:dyDescent="0.35">
      <c r="F2" s="292"/>
      <c r="G2" s="353"/>
      <c r="H2" s="288"/>
      <c r="I2" s="130"/>
      <c r="J2" s="130"/>
      <c r="K2" s="130"/>
      <c r="L2" s="128"/>
      <c r="Q2" s="130"/>
    </row>
    <row r="3" spans="1:25" ht="13" x14ac:dyDescent="0.35">
      <c r="F3" s="292"/>
      <c r="G3" s="353"/>
      <c r="H3" s="289"/>
      <c r="I3" s="125"/>
      <c r="J3" s="125"/>
      <c r="K3" s="130"/>
      <c r="L3" s="128"/>
      <c r="Q3" s="130"/>
    </row>
    <row r="4" spans="1:25" ht="13" x14ac:dyDescent="0.35">
      <c r="F4" s="292"/>
      <c r="G4" s="353"/>
      <c r="H4" s="289"/>
      <c r="I4" s="125"/>
      <c r="J4" s="125"/>
      <c r="K4" s="130"/>
      <c r="L4" s="128"/>
      <c r="Q4" s="130"/>
    </row>
    <row r="5" spans="1:25" ht="13" x14ac:dyDescent="0.35">
      <c r="F5" s="292"/>
      <c r="G5" s="353"/>
      <c r="H5" s="289"/>
      <c r="I5" s="125"/>
      <c r="J5" s="125"/>
      <c r="K5" s="130"/>
      <c r="L5" s="128"/>
      <c r="O5" s="130"/>
    </row>
    <row r="6" spans="1:25" ht="13" x14ac:dyDescent="0.35">
      <c r="F6" s="292"/>
      <c r="G6" s="353"/>
      <c r="H6" s="289"/>
      <c r="K6" s="130"/>
      <c r="L6" s="128"/>
    </row>
    <row r="7" spans="1:25" x14ac:dyDescent="0.35">
      <c r="A7" s="133"/>
      <c r="B7" s="133"/>
      <c r="C7" s="133"/>
      <c r="D7" s="134"/>
      <c r="E7" s="133"/>
      <c r="F7" s="293"/>
      <c r="G7" s="354"/>
      <c r="H7" s="290"/>
      <c r="I7" s="135"/>
      <c r="J7" s="135"/>
      <c r="K7" s="133"/>
      <c r="L7" s="136"/>
    </row>
    <row r="8" spans="1:25" x14ac:dyDescent="0.35">
      <c r="A8" s="578" t="s">
        <v>470</v>
      </c>
      <c r="B8" s="579"/>
      <c r="C8" s="578" t="s">
        <v>471</v>
      </c>
      <c r="D8" s="579"/>
      <c r="E8" s="578" t="s">
        <v>472</v>
      </c>
      <c r="F8" s="579"/>
      <c r="G8" s="578" t="s">
        <v>473</v>
      </c>
      <c r="H8" s="581"/>
      <c r="I8" s="581"/>
      <c r="J8" s="150"/>
      <c r="K8" s="565" t="s">
        <v>474</v>
      </c>
      <c r="L8" s="568"/>
    </row>
    <row r="9" spans="1:25" ht="14.5" customHeight="1" x14ac:dyDescent="0.35">
      <c r="A9" s="649" t="s">
        <v>475</v>
      </c>
      <c r="B9" s="650"/>
      <c r="C9" s="651">
        <v>45347</v>
      </c>
      <c r="D9" s="652"/>
      <c r="E9" s="653"/>
      <c r="F9" s="653"/>
      <c r="G9" s="646" t="s">
        <v>244</v>
      </c>
      <c r="H9" s="647"/>
      <c r="I9" s="647"/>
      <c r="J9" s="648"/>
      <c r="K9" s="649" t="s">
        <v>246</v>
      </c>
      <c r="L9" s="650"/>
    </row>
    <row r="10" spans="1:25" x14ac:dyDescent="0.35">
      <c r="A10" s="565" t="s">
        <v>476</v>
      </c>
      <c r="B10" s="566"/>
      <c r="C10" s="566"/>
      <c r="D10" s="566"/>
      <c r="E10" s="566"/>
      <c r="F10" s="566"/>
      <c r="G10" s="566"/>
      <c r="H10" s="566"/>
      <c r="I10" s="566"/>
      <c r="J10" s="566"/>
      <c r="K10" s="566"/>
      <c r="L10" s="568"/>
    </row>
    <row r="11" spans="1:25" x14ac:dyDescent="0.35">
      <c r="A11" s="132" t="s">
        <v>257</v>
      </c>
      <c r="B11" s="133"/>
      <c r="C11" s="133"/>
      <c r="D11" s="133"/>
      <c r="E11" s="133"/>
      <c r="F11" s="133"/>
      <c r="G11" s="133"/>
      <c r="H11" s="133"/>
      <c r="I11" s="133"/>
      <c r="J11" s="133"/>
      <c r="K11" s="133"/>
      <c r="L11" s="136"/>
    </row>
    <row r="12" spans="1:25" ht="31.5" customHeight="1" x14ac:dyDescent="0.35">
      <c r="A12" s="142" t="s">
        <v>477</v>
      </c>
      <c r="B12" s="569" t="s">
        <v>478</v>
      </c>
      <c r="C12" s="570"/>
      <c r="D12" s="570"/>
      <c r="E12" s="571"/>
      <c r="F12" s="143" t="s">
        <v>479</v>
      </c>
      <c r="G12" s="142" t="s">
        <v>480</v>
      </c>
      <c r="H12" s="142" t="s">
        <v>481</v>
      </c>
      <c r="I12" s="142" t="s">
        <v>482</v>
      </c>
      <c r="J12" s="142" t="s">
        <v>1190</v>
      </c>
      <c r="K12" s="142" t="s">
        <v>483</v>
      </c>
      <c r="L12" s="142" t="s">
        <v>484</v>
      </c>
    </row>
    <row r="13" spans="1:25" ht="13" customHeight="1" x14ac:dyDescent="0.35">
      <c r="A13" s="316"/>
      <c r="B13" s="257" t="s">
        <v>1102</v>
      </c>
      <c r="C13" s="317"/>
      <c r="D13" s="317"/>
      <c r="E13" s="318"/>
      <c r="F13" s="319"/>
      <c r="G13" s="320"/>
      <c r="H13" s="321"/>
      <c r="I13" s="320"/>
      <c r="J13" s="394"/>
      <c r="K13" s="321"/>
      <c r="L13" s="405"/>
      <c r="O13" s="130"/>
    </row>
    <row r="14" spans="1:25" ht="14.5" x14ac:dyDescent="0.35">
      <c r="A14" s="310" t="str">
        <f t="array" ref="A14">IFERROR(INDEX(productsSku, SMALL(IF(productsQty&lt;&gt;0, ROW(productsQty)-ROW('BHPC MANAGER'!$CD$10)+1), ROW(M1))), "")</f>
        <v/>
      </c>
      <c r="B14" s="311" t="str">
        <f t="array" ref="B14">IFERROR(INDEX(productsDescription, SMALL(IF(productsQty&lt;&gt;0, ROW(productsQty)-ROW('BHPC MANAGER'!$CD$10)+1), ROW(M1))), "")</f>
        <v/>
      </c>
      <c r="C14" s="312"/>
      <c r="D14" s="312"/>
      <c r="E14" s="313"/>
      <c r="F14" s="314" t="str">
        <f t="shared" ref="F14:F39" si="0">IF(A14="","","PC")</f>
        <v/>
      </c>
      <c r="G14" s="314" t="str">
        <f t="array" ref="G14">IFERROR(INDEX(productsQty, SMALL(IF(productsQty&lt;&gt;0, ROW(productsQty)-ROW('BHPC MANAGER'!$CD$10)+1), ROW(M1))), "")</f>
        <v/>
      </c>
      <c r="H14" s="315" t="str">
        <f t="array" ref="H14">IFERROR(INDEX(productsSalePrice, SMALL(IF(productsQty&lt;&gt;0, ROW(productsQty)-ROW('BHPC MANAGER'!$CD$10)+1), ROW(M1))), "")</f>
        <v/>
      </c>
      <c r="I14" s="314" t="str">
        <f t="array" ref="I14">IFERROR(INDEX(productsCartons, SMALL(IF(productsQty&lt;&gt;0, ROW(productsQty)-ROW('BHPC MANAGER'!$CD$10)+1), ROW(M1))), "")</f>
        <v/>
      </c>
      <c r="J14" s="395"/>
      <c r="K14" s="315" t="str">
        <f t="shared" ref="K14:K39" si="1">IF(A14="","",G14*H14)</f>
        <v/>
      </c>
      <c r="L14" s="390" t="str">
        <f t="shared" ref="L14:L39" si="2">IF(A14="","",$C$69)</f>
        <v/>
      </c>
      <c r="O14" s="127"/>
      <c r="T14" s="61"/>
      <c r="U14" s="61"/>
      <c r="V14" s="146"/>
      <c r="W14" s="61"/>
      <c r="X14" s="146"/>
      <c r="Y14" s="61"/>
    </row>
    <row r="15" spans="1:25" ht="14.5" x14ac:dyDescent="0.35">
      <c r="A15" s="310" t="str">
        <f t="array" ref="A15">IFERROR(INDEX(productsSku, SMALL(IF(productsQty&lt;&gt;0, ROW(productsQty)-ROW('BHPC MANAGER'!$CD$10)+1), ROW(M2))), "")</f>
        <v/>
      </c>
      <c r="B15" s="311" t="str">
        <f t="array" ref="B15">IFERROR(INDEX(productsDescription, SMALL(IF(productsQty&lt;&gt;0, ROW(productsQty)-ROW('BHPC MANAGER'!$CD$10)+1), ROW(M2))), "")</f>
        <v/>
      </c>
      <c r="C15" s="312"/>
      <c r="D15" s="312"/>
      <c r="E15" s="313"/>
      <c r="F15" s="314" t="str">
        <f t="shared" si="0"/>
        <v/>
      </c>
      <c r="G15" s="314" t="str">
        <f t="array" ref="G15">IFERROR(INDEX(productsQty, SMALL(IF(productsQty&lt;&gt;0, ROW(productsQty)-ROW('BHPC MANAGER'!$CD$10)+1), ROW(M2))), "")</f>
        <v/>
      </c>
      <c r="H15" s="315" t="str">
        <f t="array" ref="H15">IFERROR(INDEX(productsSalePrice, SMALL(IF(productsQty&lt;&gt;0, ROW(productsQty)-ROW('BHPC MANAGER'!$CD$10)+1), ROW(M2))), "")</f>
        <v/>
      </c>
      <c r="I15" s="314" t="str">
        <f t="array" ref="I15">IFERROR(INDEX(productsCartons, SMALL(IF(productsQty&lt;&gt;0, ROW(productsQty)-ROW('BHPC MANAGER'!$CD$10)+1), ROW(M2))), "")</f>
        <v/>
      </c>
      <c r="J15" s="395"/>
      <c r="K15" s="315" t="str">
        <f t="shared" si="1"/>
        <v/>
      </c>
      <c r="L15" s="390" t="str">
        <f t="shared" si="2"/>
        <v/>
      </c>
      <c r="O15" s="130"/>
    </row>
    <row r="16" spans="1:25" ht="14.5" x14ac:dyDescent="0.35">
      <c r="A16" s="310" t="str">
        <f t="array" ref="A16">IFERROR(INDEX(productsSku, SMALL(IF(productsQty&lt;&gt;0, ROW(productsQty)-ROW('BHPC MANAGER'!$CD$10)+1), ROW(M3))), "")</f>
        <v/>
      </c>
      <c r="B16" s="311" t="str">
        <f t="array" ref="B16">IFERROR(INDEX(productsDescription, SMALL(IF(productsQty&lt;&gt;0, ROW(productsQty)-ROW('BHPC MANAGER'!$CD$10)+1), ROW(M3))), "")</f>
        <v/>
      </c>
      <c r="C16" s="312"/>
      <c r="D16" s="312"/>
      <c r="E16" s="313"/>
      <c r="F16" s="314" t="str">
        <f t="shared" si="0"/>
        <v/>
      </c>
      <c r="G16" s="314" t="str">
        <f t="array" ref="G16">IFERROR(INDEX(productsQty, SMALL(IF(productsQty&lt;&gt;0, ROW(productsQty)-ROW('BHPC MANAGER'!$CD$10)+1), ROW(M3))), "")</f>
        <v/>
      </c>
      <c r="H16" s="315" t="str">
        <f t="array" ref="H16">IFERROR(INDEX(productsSalePrice, SMALL(IF(productsQty&lt;&gt;0, ROW(productsQty)-ROW('BHPC MANAGER'!$CD$10)+1), ROW(M3))), "")</f>
        <v/>
      </c>
      <c r="I16" s="314" t="str">
        <f t="array" ref="I16">IFERROR(INDEX(productsCartons, SMALL(IF(productsQty&lt;&gt;0, ROW(productsQty)-ROW('BHPC MANAGER'!$CD$10)+1), ROW(M3))), "")</f>
        <v/>
      </c>
      <c r="J16" s="395"/>
      <c r="K16" s="315" t="str">
        <f t="shared" si="1"/>
        <v/>
      </c>
      <c r="L16" s="390" t="str">
        <f t="shared" si="2"/>
        <v/>
      </c>
      <c r="O16" s="127"/>
      <c r="T16" s="61"/>
      <c r="U16" s="61"/>
      <c r="V16" s="146"/>
      <c r="W16" s="61"/>
      <c r="X16" s="146"/>
      <c r="Y16" s="61"/>
    </row>
    <row r="17" spans="1:25" ht="14.5" x14ac:dyDescent="0.35">
      <c r="A17" s="310" t="str">
        <f t="array" ref="A17">IFERROR(INDEX(productsSku, SMALL(IF(productsQty&lt;&gt;0, ROW(productsQty)-ROW('BHPC MANAGER'!$CD$10)+1), ROW(M4))), "")</f>
        <v/>
      </c>
      <c r="B17" s="311" t="str">
        <f t="array" ref="B17">IFERROR(INDEX(productsDescription, SMALL(IF(productsQty&lt;&gt;0, ROW(productsQty)-ROW('BHPC MANAGER'!$CD$10)+1), ROW(M4))), "")</f>
        <v/>
      </c>
      <c r="C17" s="312"/>
      <c r="D17" s="312"/>
      <c r="E17" s="313"/>
      <c r="F17" s="314" t="str">
        <f t="shared" si="0"/>
        <v/>
      </c>
      <c r="G17" s="314" t="str">
        <f t="array" ref="G17">IFERROR(INDEX(productsQty, SMALL(IF(productsQty&lt;&gt;0, ROW(productsQty)-ROW('BHPC MANAGER'!$CD$10)+1), ROW(M4))), "")</f>
        <v/>
      </c>
      <c r="H17" s="315" t="str">
        <f t="array" ref="H17">IFERROR(INDEX(productsSalePrice, SMALL(IF(productsQty&lt;&gt;0, ROW(productsQty)-ROW('BHPC MANAGER'!$CD$10)+1), ROW(M4))), "")</f>
        <v/>
      </c>
      <c r="I17" s="314" t="str">
        <f t="array" ref="I17">IFERROR(INDEX(productsCartons, SMALL(IF(productsQty&lt;&gt;0, ROW(productsQty)-ROW('BHPC MANAGER'!$CD$10)+1), ROW(M4))), "")</f>
        <v/>
      </c>
      <c r="J17" s="395"/>
      <c r="K17" s="315" t="str">
        <f t="shared" si="1"/>
        <v/>
      </c>
      <c r="L17" s="390" t="str">
        <f t="shared" si="2"/>
        <v/>
      </c>
      <c r="O17" s="130"/>
    </row>
    <row r="18" spans="1:25" ht="14.5" x14ac:dyDescent="0.35">
      <c r="A18" s="310" t="str">
        <f t="array" ref="A18">IFERROR(INDEX(productsSku, SMALL(IF(productsQty&lt;&gt;0, ROW(productsQty)-ROW('BHPC MANAGER'!$CD$10)+1), ROW(M5))), "")</f>
        <v/>
      </c>
      <c r="B18" s="311" t="str">
        <f t="array" ref="B18">IFERROR(INDEX(productsDescription, SMALL(IF(productsQty&lt;&gt;0, ROW(productsQty)-ROW('BHPC MANAGER'!$CD$10)+1), ROW(M5))), "")</f>
        <v/>
      </c>
      <c r="C18" s="312"/>
      <c r="D18" s="312"/>
      <c r="E18" s="313"/>
      <c r="F18" s="314" t="str">
        <f t="shared" si="0"/>
        <v/>
      </c>
      <c r="G18" s="314" t="str">
        <f t="array" ref="G18">IFERROR(INDEX(productsQty, SMALL(IF(productsQty&lt;&gt;0, ROW(productsQty)-ROW('BHPC MANAGER'!$CD$10)+1), ROW(M5))), "")</f>
        <v/>
      </c>
      <c r="H18" s="315" t="str">
        <f t="array" ref="H18">IFERROR(INDEX(productsSalePrice, SMALL(IF(productsQty&lt;&gt;0, ROW(productsQty)-ROW('BHPC MANAGER'!$CD$10)+1), ROW(M5))), "")</f>
        <v/>
      </c>
      <c r="I18" s="314" t="str">
        <f t="array" ref="I18">IFERROR(INDEX(productsCartons, SMALL(IF(productsQty&lt;&gt;0, ROW(productsQty)-ROW('BHPC MANAGER'!$CD$10)+1), ROW(M5))), "")</f>
        <v/>
      </c>
      <c r="J18" s="395"/>
      <c r="K18" s="315" t="str">
        <f t="shared" si="1"/>
        <v/>
      </c>
      <c r="L18" s="390" t="str">
        <f t="shared" si="2"/>
        <v/>
      </c>
      <c r="O18" s="127"/>
      <c r="T18" s="61"/>
      <c r="U18" s="61"/>
      <c r="V18" s="146"/>
      <c r="W18" s="61"/>
      <c r="X18" s="146"/>
      <c r="Y18" s="61"/>
    </row>
    <row r="19" spans="1:25" ht="14.5" x14ac:dyDescent="0.35">
      <c r="A19" s="310" t="str">
        <f t="array" ref="A19">IFERROR(INDEX(productsSku, SMALL(IF(productsQty&lt;&gt;0, ROW(productsQty)-ROW('BHPC MANAGER'!$CD$10)+1), ROW(M6))), "")</f>
        <v/>
      </c>
      <c r="B19" s="311" t="str">
        <f t="array" ref="B19">IFERROR(INDEX(productsDescription, SMALL(IF(productsQty&lt;&gt;0, ROW(productsQty)-ROW('BHPC MANAGER'!$CD$10)+1), ROW(M6))), "")</f>
        <v/>
      </c>
      <c r="C19" s="312"/>
      <c r="D19" s="312"/>
      <c r="E19" s="313"/>
      <c r="F19" s="314" t="str">
        <f t="shared" si="0"/>
        <v/>
      </c>
      <c r="G19" s="314" t="str">
        <f t="array" ref="G19">IFERROR(INDEX(productsQty, SMALL(IF(productsQty&lt;&gt;0, ROW(productsQty)-ROW('BHPC MANAGER'!$CD$10)+1), ROW(M6))), "")</f>
        <v/>
      </c>
      <c r="H19" s="315" t="str">
        <f t="array" ref="H19">IFERROR(INDEX(productsSalePrice, SMALL(IF(productsQty&lt;&gt;0, ROW(productsQty)-ROW('BHPC MANAGER'!$CD$10)+1), ROW(M6))), "")</f>
        <v/>
      </c>
      <c r="I19" s="314" t="str">
        <f t="array" ref="I19">IFERROR(INDEX(productsCartons, SMALL(IF(productsQty&lt;&gt;0, ROW(productsQty)-ROW('BHPC MANAGER'!$CD$10)+1), ROW(M6))), "")</f>
        <v/>
      </c>
      <c r="J19" s="395"/>
      <c r="K19" s="315" t="str">
        <f t="shared" si="1"/>
        <v/>
      </c>
      <c r="L19" s="390" t="str">
        <f t="shared" si="2"/>
        <v/>
      </c>
    </row>
    <row r="20" spans="1:25" ht="14.5" x14ac:dyDescent="0.35">
      <c r="A20" s="310" t="str">
        <f t="array" ref="A20">IFERROR(INDEX(productsSku, SMALL(IF(productsQty&lt;&gt;0, ROW(productsQty)-ROW('BHPC MANAGER'!$CD$10)+1), ROW(M7))), "")</f>
        <v/>
      </c>
      <c r="B20" s="311" t="str">
        <f t="array" ref="B20">IFERROR(INDEX(productsDescription, SMALL(IF(productsQty&lt;&gt;0, ROW(productsQty)-ROW('BHPC MANAGER'!$CD$10)+1), ROW(M7))), "")</f>
        <v/>
      </c>
      <c r="C20" s="312"/>
      <c r="D20" s="312"/>
      <c r="E20" s="313"/>
      <c r="F20" s="314" t="str">
        <f t="shared" si="0"/>
        <v/>
      </c>
      <c r="G20" s="314" t="str">
        <f t="array" ref="G20">IFERROR(INDEX(productsQty, SMALL(IF(productsQty&lt;&gt;0, ROW(productsQty)-ROW('BHPC MANAGER'!$CD$10)+1), ROW(M7))), "")</f>
        <v/>
      </c>
      <c r="H20" s="315" t="str">
        <f t="array" ref="H20">IFERROR(INDEX(productsSalePrice, SMALL(IF(productsQty&lt;&gt;0, ROW(productsQty)-ROW('BHPC MANAGER'!$CD$10)+1), ROW(M7))), "")</f>
        <v/>
      </c>
      <c r="I20" s="314" t="str">
        <f t="array" ref="I20">IFERROR(INDEX(productsCartons, SMALL(IF(productsQty&lt;&gt;0, ROW(productsQty)-ROW('BHPC MANAGER'!$CD$10)+1), ROW(M7))), "")</f>
        <v/>
      </c>
      <c r="J20" s="395"/>
      <c r="K20" s="315" t="str">
        <f t="shared" si="1"/>
        <v/>
      </c>
      <c r="L20" s="390" t="str">
        <f t="shared" si="2"/>
        <v/>
      </c>
    </row>
    <row r="21" spans="1:25" ht="14.5" x14ac:dyDescent="0.35">
      <c r="A21" s="310" t="str">
        <f t="array" ref="A21">IFERROR(INDEX(productsSku, SMALL(IF(productsQty&lt;&gt;0, ROW(productsQty)-ROW('BHPC MANAGER'!$CD$10)+1), ROW(M8))), "")</f>
        <v/>
      </c>
      <c r="B21" s="311" t="str">
        <f t="array" ref="B21">IFERROR(INDEX(productsDescription, SMALL(IF(productsQty&lt;&gt;0, ROW(productsQty)-ROW('BHPC MANAGER'!$CD$10)+1), ROW(M8))), "")</f>
        <v/>
      </c>
      <c r="C21" s="312"/>
      <c r="D21" s="312"/>
      <c r="E21" s="313"/>
      <c r="F21" s="314" t="str">
        <f t="shared" si="0"/>
        <v/>
      </c>
      <c r="G21" s="314" t="str">
        <f t="array" ref="G21">IFERROR(INDEX(productsQty, SMALL(IF(productsQty&lt;&gt;0, ROW(productsQty)-ROW('BHPC MANAGER'!$CD$10)+1), ROW(M8))), "")</f>
        <v/>
      </c>
      <c r="H21" s="315" t="str">
        <f t="array" ref="H21">IFERROR(INDEX(productsSalePrice, SMALL(IF(productsQty&lt;&gt;0, ROW(productsQty)-ROW('BHPC MANAGER'!$CD$10)+1), ROW(M8))), "")</f>
        <v/>
      </c>
      <c r="I21" s="314" t="str">
        <f t="array" ref="I21">IFERROR(INDEX(productsCartons, SMALL(IF(productsQty&lt;&gt;0, ROW(productsQty)-ROW('BHPC MANAGER'!$CD$10)+1), ROW(M8))), "")</f>
        <v/>
      </c>
      <c r="J21" s="395"/>
      <c r="K21" s="315" t="str">
        <f t="shared" si="1"/>
        <v/>
      </c>
      <c r="L21" s="390" t="str">
        <f t="shared" si="2"/>
        <v/>
      </c>
    </row>
    <row r="22" spans="1:25" ht="14.5" x14ac:dyDescent="0.35">
      <c r="A22" s="310" t="str">
        <f t="array" ref="A22">IFERROR(INDEX(productsSku, SMALL(IF(productsQty&lt;&gt;0, ROW(productsQty)-ROW('BHPC MANAGER'!$CD$10)+1), ROW(M9))), "")</f>
        <v/>
      </c>
      <c r="B22" s="311" t="str">
        <f t="array" ref="B22">IFERROR(INDEX(productsDescription, SMALL(IF(productsQty&lt;&gt;0, ROW(productsQty)-ROW('BHPC MANAGER'!$CD$10)+1), ROW(M9))), "")</f>
        <v/>
      </c>
      <c r="C22" s="312"/>
      <c r="D22" s="312"/>
      <c r="E22" s="313"/>
      <c r="F22" s="314" t="str">
        <f t="shared" si="0"/>
        <v/>
      </c>
      <c r="G22" s="314" t="str">
        <f t="array" ref="G22">IFERROR(INDEX(productsQty, SMALL(IF(productsQty&lt;&gt;0, ROW(productsQty)-ROW('BHPC MANAGER'!$CD$10)+1), ROW(M9))), "")</f>
        <v/>
      </c>
      <c r="H22" s="315" t="str">
        <f t="array" ref="H22">IFERROR(INDEX(productsSalePrice, SMALL(IF(productsQty&lt;&gt;0, ROW(productsQty)-ROW('BHPC MANAGER'!$CD$10)+1), ROW(M9))), "")</f>
        <v/>
      </c>
      <c r="I22" s="314" t="str">
        <f t="array" ref="I22">IFERROR(INDEX(productsCartons, SMALL(IF(productsQty&lt;&gt;0, ROW(productsQty)-ROW('BHPC MANAGER'!$CD$10)+1), ROW(M9))), "")</f>
        <v/>
      </c>
      <c r="J22" s="395"/>
      <c r="K22" s="315" t="str">
        <f t="shared" si="1"/>
        <v/>
      </c>
      <c r="L22" s="390" t="str">
        <f t="shared" si="2"/>
        <v/>
      </c>
    </row>
    <row r="23" spans="1:25" ht="14.5" x14ac:dyDescent="0.35">
      <c r="A23" s="310" t="str">
        <f t="array" ref="A23">IFERROR(INDEX(productsSku, SMALL(IF(productsQty&lt;&gt;0, ROW(productsQty)-ROW('BHPC MANAGER'!$CD$10)+1), ROW(M10))), "")</f>
        <v/>
      </c>
      <c r="B23" s="311" t="str">
        <f t="array" ref="B23">IFERROR(INDEX(productsDescription, SMALL(IF(productsQty&lt;&gt;0, ROW(productsQty)-ROW('BHPC MANAGER'!$CD$10)+1), ROW(M10))), "")</f>
        <v/>
      </c>
      <c r="C23" s="312"/>
      <c r="D23" s="312"/>
      <c r="E23" s="313"/>
      <c r="F23" s="314" t="str">
        <f t="shared" si="0"/>
        <v/>
      </c>
      <c r="G23" s="314" t="str">
        <f t="array" ref="G23">IFERROR(INDEX(productsQty, SMALL(IF(productsQty&lt;&gt;0, ROW(productsQty)-ROW('BHPC MANAGER'!$CD$10)+1), ROW(M10))), "")</f>
        <v/>
      </c>
      <c r="H23" s="315" t="str">
        <f t="array" ref="H23">IFERROR(INDEX(productsSalePrice, SMALL(IF(productsQty&lt;&gt;0, ROW(productsQty)-ROW('BHPC MANAGER'!$CD$10)+1), ROW(M10))), "")</f>
        <v/>
      </c>
      <c r="I23" s="314" t="str">
        <f t="array" ref="I23">IFERROR(INDEX(productsCartons, SMALL(IF(productsQty&lt;&gt;0, ROW(productsQty)-ROW('BHPC MANAGER'!$CD$10)+1), ROW(M10))), "")</f>
        <v/>
      </c>
      <c r="J23" s="395"/>
      <c r="K23" s="315" t="str">
        <f t="shared" si="1"/>
        <v/>
      </c>
      <c r="L23" s="390" t="str">
        <f t="shared" si="2"/>
        <v/>
      </c>
    </row>
    <row r="24" spans="1:25" ht="14.5" x14ac:dyDescent="0.35">
      <c r="A24" s="310" t="str">
        <f t="array" ref="A24">IFERROR(INDEX(productsSku, SMALL(IF(productsQty&lt;&gt;0, ROW(productsQty)-ROW('BHPC MANAGER'!$CD$10)+1), ROW(M11))), "")</f>
        <v/>
      </c>
      <c r="B24" s="311" t="str">
        <f t="array" ref="B24">IFERROR(INDEX(productsDescription, SMALL(IF(productsQty&lt;&gt;0, ROW(productsQty)-ROW('BHPC MANAGER'!$CD$10)+1), ROW(M11))), "")</f>
        <v/>
      </c>
      <c r="C24" s="312"/>
      <c r="D24" s="312"/>
      <c r="E24" s="313"/>
      <c r="F24" s="314" t="str">
        <f t="shared" si="0"/>
        <v/>
      </c>
      <c r="G24" s="314" t="str">
        <f t="array" ref="G24">IFERROR(INDEX(productsQty, SMALL(IF(productsQty&lt;&gt;0, ROW(productsQty)-ROW('BHPC MANAGER'!$CD$10)+1), ROW(M11))), "")</f>
        <v/>
      </c>
      <c r="H24" s="315" t="str">
        <f t="array" ref="H24">IFERROR(INDEX(productsSalePrice, SMALL(IF(productsQty&lt;&gt;0, ROW(productsQty)-ROW('BHPC MANAGER'!$CD$10)+1), ROW(M11))), "")</f>
        <v/>
      </c>
      <c r="I24" s="314" t="str">
        <f t="array" ref="I24">IFERROR(INDEX(productsCartons, SMALL(IF(productsQty&lt;&gt;0, ROW(productsQty)-ROW('BHPC MANAGER'!$CD$10)+1), ROW(M11))), "")</f>
        <v/>
      </c>
      <c r="J24" s="395"/>
      <c r="K24" s="315" t="str">
        <f t="shared" si="1"/>
        <v/>
      </c>
      <c r="L24" s="390" t="str">
        <f t="shared" si="2"/>
        <v/>
      </c>
    </row>
    <row r="25" spans="1:25" ht="14.5" x14ac:dyDescent="0.35">
      <c r="A25" s="310" t="str">
        <f t="array" ref="A25">IFERROR(INDEX(productsSku, SMALL(IF(productsQty&lt;&gt;0, ROW(productsQty)-ROW('BHPC MANAGER'!$CD$10)+1), ROW(M12))), "")</f>
        <v/>
      </c>
      <c r="B25" s="311" t="str">
        <f t="array" ref="B25">IFERROR(INDEX(productsDescription, SMALL(IF(productsQty&lt;&gt;0, ROW(productsQty)-ROW('BHPC MANAGER'!$CD$10)+1), ROW(M12))), "")</f>
        <v/>
      </c>
      <c r="C25" s="312"/>
      <c r="D25" s="312"/>
      <c r="E25" s="313"/>
      <c r="F25" s="314" t="str">
        <f t="shared" si="0"/>
        <v/>
      </c>
      <c r="G25" s="314" t="str">
        <f t="array" ref="G25">IFERROR(INDEX(productsQty, SMALL(IF(productsQty&lt;&gt;0, ROW(productsQty)-ROW('BHPC MANAGER'!$CD$10)+1), ROW(M12))), "")</f>
        <v/>
      </c>
      <c r="H25" s="315" t="str">
        <f t="array" ref="H25">IFERROR(INDEX(productsSalePrice, SMALL(IF(productsQty&lt;&gt;0, ROW(productsQty)-ROW('BHPC MANAGER'!$CD$10)+1), ROW(M12))), "")</f>
        <v/>
      </c>
      <c r="I25" s="314" t="str">
        <f t="array" ref="I25">IFERROR(INDEX(productsCartons, SMALL(IF(productsQty&lt;&gt;0, ROW(productsQty)-ROW('BHPC MANAGER'!$CD$10)+1), ROW(M12))), "")</f>
        <v/>
      </c>
      <c r="J25" s="395"/>
      <c r="K25" s="315" t="str">
        <f t="shared" si="1"/>
        <v/>
      </c>
      <c r="L25" s="390" t="str">
        <f t="shared" si="2"/>
        <v/>
      </c>
    </row>
    <row r="26" spans="1:25" ht="14.5" x14ac:dyDescent="0.35">
      <c r="A26" s="310" t="str">
        <f t="array" ref="A26">IFERROR(INDEX(productsSku, SMALL(IF(productsQty&lt;&gt;0, ROW(productsQty)-ROW('BHPC MANAGER'!$CD$10)+1), ROW(M13))), "")</f>
        <v/>
      </c>
      <c r="B26" s="311" t="str">
        <f t="array" ref="B26">IFERROR(INDEX(productsDescription, SMALL(IF(productsQty&lt;&gt;0, ROW(productsQty)-ROW('BHPC MANAGER'!$CD$10)+1), ROW(M13))), "")</f>
        <v/>
      </c>
      <c r="C26" s="312"/>
      <c r="D26" s="312"/>
      <c r="E26" s="313"/>
      <c r="F26" s="314" t="str">
        <f t="shared" si="0"/>
        <v/>
      </c>
      <c r="G26" s="314" t="str">
        <f t="array" ref="G26">IFERROR(INDEX(productsQty, SMALL(IF(productsQty&lt;&gt;0, ROW(productsQty)-ROW('BHPC MANAGER'!$CD$10)+1), ROW(M13))), "")</f>
        <v/>
      </c>
      <c r="H26" s="315" t="str">
        <f t="array" ref="H26">IFERROR(INDEX(productsSalePrice, SMALL(IF(productsQty&lt;&gt;0, ROW(productsQty)-ROW('BHPC MANAGER'!$CD$10)+1), ROW(M13))), "")</f>
        <v/>
      </c>
      <c r="I26" s="314" t="str">
        <f t="array" ref="I26">IFERROR(INDEX(productsCartons, SMALL(IF(productsQty&lt;&gt;0, ROW(productsQty)-ROW('BHPC MANAGER'!$CD$10)+1), ROW(M13))), "")</f>
        <v/>
      </c>
      <c r="J26" s="395"/>
      <c r="K26" s="315" t="str">
        <f t="shared" si="1"/>
        <v/>
      </c>
      <c r="L26" s="390" t="str">
        <f t="shared" si="2"/>
        <v/>
      </c>
    </row>
    <row r="27" spans="1:25" ht="14.5" x14ac:dyDescent="0.35">
      <c r="A27" s="310" t="str">
        <f t="array" ref="A27">IFERROR(INDEX(productsSku, SMALL(IF(productsQty&lt;&gt;0, ROW(productsQty)-ROW('BHPC MANAGER'!$CD$10)+1), ROW(M14))), "")</f>
        <v/>
      </c>
      <c r="B27" s="311" t="str">
        <f t="array" ref="B27">IFERROR(INDEX(productsDescription, SMALL(IF(productsQty&lt;&gt;0, ROW(productsQty)-ROW('BHPC MANAGER'!$CD$10)+1), ROW(M14))), "")</f>
        <v/>
      </c>
      <c r="C27" s="312"/>
      <c r="D27" s="312"/>
      <c r="E27" s="313"/>
      <c r="F27" s="314" t="str">
        <f t="shared" si="0"/>
        <v/>
      </c>
      <c r="G27" s="314" t="str">
        <f t="array" ref="G27">IFERROR(INDEX(productsQty, SMALL(IF(productsQty&lt;&gt;0, ROW(productsQty)-ROW('BHPC MANAGER'!$CD$10)+1), ROW(M14))), "")</f>
        <v/>
      </c>
      <c r="H27" s="315" t="str">
        <f t="array" ref="H27">IFERROR(INDEX(productsSalePrice, SMALL(IF(productsQty&lt;&gt;0, ROW(productsQty)-ROW('BHPC MANAGER'!$CD$10)+1), ROW(M14))), "")</f>
        <v/>
      </c>
      <c r="I27" s="314" t="str">
        <f t="array" ref="I27">IFERROR(INDEX(productsCartons, SMALL(IF(productsQty&lt;&gt;0, ROW(productsQty)-ROW('BHPC MANAGER'!$CD$10)+1), ROW(M14))), "")</f>
        <v/>
      </c>
      <c r="J27" s="395"/>
      <c r="K27" s="315" t="str">
        <f t="shared" si="1"/>
        <v/>
      </c>
      <c r="L27" s="390" t="str">
        <f t="shared" si="2"/>
        <v/>
      </c>
    </row>
    <row r="28" spans="1:25" ht="14.5" x14ac:dyDescent="0.35">
      <c r="A28" s="310" t="str">
        <f t="array" ref="A28">IFERROR(INDEX(productsSku, SMALL(IF(productsQty&lt;&gt;0, ROW(productsQty)-ROW('BHPC MANAGER'!$CD$10)+1), ROW(M15))), "")</f>
        <v/>
      </c>
      <c r="B28" s="311" t="str">
        <f t="array" ref="B28">IFERROR(INDEX(productsDescription, SMALL(IF(productsQty&lt;&gt;0, ROW(productsQty)-ROW('BHPC MANAGER'!$CD$10)+1), ROW(M15))), "")</f>
        <v/>
      </c>
      <c r="C28" s="312"/>
      <c r="D28" s="312"/>
      <c r="E28" s="313"/>
      <c r="F28" s="314" t="str">
        <f t="shared" si="0"/>
        <v/>
      </c>
      <c r="G28" s="314" t="str">
        <f t="array" ref="G28">IFERROR(INDEX(productsQty, SMALL(IF(productsQty&lt;&gt;0, ROW(productsQty)-ROW('BHPC MANAGER'!$CD$10)+1), ROW(M15))), "")</f>
        <v/>
      </c>
      <c r="H28" s="315" t="str">
        <f t="array" ref="H28">IFERROR(INDEX(productsSalePrice, SMALL(IF(productsQty&lt;&gt;0, ROW(productsQty)-ROW('BHPC MANAGER'!$CD$10)+1), ROW(M15))), "")</f>
        <v/>
      </c>
      <c r="I28" s="314" t="str">
        <f t="array" ref="I28">IFERROR(INDEX(productsCartons, SMALL(IF(productsQty&lt;&gt;0, ROW(productsQty)-ROW('BHPC MANAGER'!$CD$10)+1), ROW(M15))), "")</f>
        <v/>
      </c>
      <c r="J28" s="395"/>
      <c r="K28" s="315" t="str">
        <f t="shared" si="1"/>
        <v/>
      </c>
      <c r="L28" s="390" t="str">
        <f t="shared" si="2"/>
        <v/>
      </c>
    </row>
    <row r="29" spans="1:25" ht="14.5" x14ac:dyDescent="0.35">
      <c r="A29" s="310" t="str">
        <f t="array" ref="A29">IFERROR(INDEX(productsSku, SMALL(IF(productsQty&lt;&gt;0, ROW(productsQty)-ROW('BHPC MANAGER'!$CD$10)+1), ROW(M16))), "")</f>
        <v/>
      </c>
      <c r="B29" s="311" t="str">
        <f t="array" ref="B29">IFERROR(INDEX(productsDescription, SMALL(IF(productsQty&lt;&gt;0, ROW(productsQty)-ROW('BHPC MANAGER'!$CD$10)+1), ROW(M16))), "")</f>
        <v/>
      </c>
      <c r="C29" s="312"/>
      <c r="D29" s="312"/>
      <c r="E29" s="313"/>
      <c r="F29" s="314" t="str">
        <f t="shared" si="0"/>
        <v/>
      </c>
      <c r="G29" s="314" t="str">
        <f t="array" ref="G29">IFERROR(INDEX(productsQty, SMALL(IF(productsQty&lt;&gt;0, ROW(productsQty)-ROW('BHPC MANAGER'!$CD$10)+1), ROW(M16))), "")</f>
        <v/>
      </c>
      <c r="H29" s="315" t="str">
        <f t="array" ref="H29">IFERROR(INDEX(productsSalePrice, SMALL(IF(productsQty&lt;&gt;0, ROW(productsQty)-ROW('BHPC MANAGER'!$CD$10)+1), ROW(M16))), "")</f>
        <v/>
      </c>
      <c r="I29" s="314" t="str">
        <f t="array" ref="I29">IFERROR(INDEX(productsCartons, SMALL(IF(productsQty&lt;&gt;0, ROW(productsQty)-ROW('BHPC MANAGER'!$CD$10)+1), ROW(M16))), "")</f>
        <v/>
      </c>
      <c r="J29" s="395"/>
      <c r="K29" s="315" t="str">
        <f t="shared" si="1"/>
        <v/>
      </c>
      <c r="L29" s="390" t="str">
        <f t="shared" si="2"/>
        <v/>
      </c>
    </row>
    <row r="30" spans="1:25" ht="14.5" x14ac:dyDescent="0.35">
      <c r="A30" s="310" t="str">
        <f t="array" ref="A30">IFERROR(INDEX(productsSku, SMALL(IF(productsQty&lt;&gt;0, ROW(productsQty)-ROW('BHPC MANAGER'!$CD$10)+1), ROW(M17))), "")</f>
        <v/>
      </c>
      <c r="B30" s="311" t="str">
        <f t="array" ref="B30">IFERROR(INDEX(productsDescription, SMALL(IF(productsQty&lt;&gt;0, ROW(productsQty)-ROW('BHPC MANAGER'!$CD$10)+1), ROW(M17))), "")</f>
        <v/>
      </c>
      <c r="C30" s="312"/>
      <c r="D30" s="312"/>
      <c r="E30" s="313"/>
      <c r="F30" s="314" t="str">
        <f t="shared" si="0"/>
        <v/>
      </c>
      <c r="G30" s="314" t="str">
        <f t="array" ref="G30">IFERROR(INDEX(productsQty, SMALL(IF(productsQty&lt;&gt;0, ROW(productsQty)-ROW('BHPC MANAGER'!$CD$10)+1), ROW(M17))), "")</f>
        <v/>
      </c>
      <c r="H30" s="315" t="str">
        <f t="array" ref="H30">IFERROR(INDEX(productsSalePrice, SMALL(IF(productsQty&lt;&gt;0, ROW(productsQty)-ROW('BHPC MANAGER'!$CD$10)+1), ROW(M17))), "")</f>
        <v/>
      </c>
      <c r="I30" s="314" t="str">
        <f t="array" ref="I30">IFERROR(INDEX(productsCartons, SMALL(IF(productsQty&lt;&gt;0, ROW(productsQty)-ROW('BHPC MANAGER'!$CD$10)+1), ROW(M17))), "")</f>
        <v/>
      </c>
      <c r="J30" s="395"/>
      <c r="K30" s="315" t="str">
        <f t="shared" si="1"/>
        <v/>
      </c>
      <c r="L30" s="390" t="str">
        <f t="shared" si="2"/>
        <v/>
      </c>
    </row>
    <row r="31" spans="1:25" ht="14.5" x14ac:dyDescent="0.35">
      <c r="A31" s="310" t="str">
        <f t="array" ref="A31">IFERROR(INDEX(productsSku, SMALL(IF(productsQty&lt;&gt;0, ROW(productsQty)-ROW('BHPC MANAGER'!$CD$10)+1), ROW(M18))), "")</f>
        <v/>
      </c>
      <c r="B31" s="311" t="str">
        <f t="array" ref="B31">IFERROR(INDEX(productsDescription, SMALL(IF(productsQty&lt;&gt;0, ROW(productsQty)-ROW('BHPC MANAGER'!$CD$10)+1), ROW(M18))), "")</f>
        <v/>
      </c>
      <c r="C31" s="312"/>
      <c r="D31" s="312"/>
      <c r="E31" s="313"/>
      <c r="F31" s="314" t="str">
        <f t="shared" si="0"/>
        <v/>
      </c>
      <c r="G31" s="314" t="str">
        <f t="array" ref="G31">IFERROR(INDEX(productsQty, SMALL(IF(productsQty&lt;&gt;0, ROW(productsQty)-ROW('BHPC MANAGER'!$CD$10)+1), ROW(M18))), "")</f>
        <v/>
      </c>
      <c r="H31" s="315" t="str">
        <f t="array" ref="H31">IFERROR(INDEX(productsSalePrice, SMALL(IF(productsQty&lt;&gt;0, ROW(productsQty)-ROW('BHPC MANAGER'!$CD$10)+1), ROW(M18))), "")</f>
        <v/>
      </c>
      <c r="I31" s="314" t="str">
        <f t="array" ref="I31">IFERROR(INDEX(productsCartons, SMALL(IF(productsQty&lt;&gt;0, ROW(productsQty)-ROW('BHPC MANAGER'!$CD$10)+1), ROW(M18))), "")</f>
        <v/>
      </c>
      <c r="J31" s="395"/>
      <c r="K31" s="315" t="str">
        <f t="shared" si="1"/>
        <v/>
      </c>
      <c r="L31" s="390" t="str">
        <f t="shared" si="2"/>
        <v/>
      </c>
    </row>
    <row r="32" spans="1:25" ht="14.5" x14ac:dyDescent="0.35">
      <c r="A32" s="310" t="str">
        <f t="array" ref="A32">IFERROR(INDEX(productsSku, SMALL(IF(productsQty&lt;&gt;0, ROW(productsQty)-ROW('BHPC MANAGER'!$CD$10)+1), ROW(M19))), "")</f>
        <v/>
      </c>
      <c r="B32" s="311" t="str">
        <f t="array" ref="B32">IFERROR(INDEX(productsDescription, SMALL(IF(productsQty&lt;&gt;0, ROW(productsQty)-ROW('BHPC MANAGER'!$CD$10)+1), ROW(M19))), "")</f>
        <v/>
      </c>
      <c r="C32" s="312"/>
      <c r="D32" s="312"/>
      <c r="E32" s="313"/>
      <c r="F32" s="314" t="str">
        <f t="shared" si="0"/>
        <v/>
      </c>
      <c r="G32" s="314" t="str">
        <f t="array" ref="G32">IFERROR(INDEX(productsQty, SMALL(IF(productsQty&lt;&gt;0, ROW(productsQty)-ROW('BHPC MANAGER'!$CD$10)+1), ROW(M19))), "")</f>
        <v/>
      </c>
      <c r="H32" s="315" t="str">
        <f t="array" ref="H32">IFERROR(INDEX(productsSalePrice, SMALL(IF(productsQty&lt;&gt;0, ROW(productsQty)-ROW('BHPC MANAGER'!$CD$10)+1), ROW(M19))), "")</f>
        <v/>
      </c>
      <c r="I32" s="314" t="str">
        <f t="array" ref="I32">IFERROR(INDEX(productsCartons, SMALL(IF(productsQty&lt;&gt;0, ROW(productsQty)-ROW('BHPC MANAGER'!$CD$10)+1), ROW(M19))), "")</f>
        <v/>
      </c>
      <c r="J32" s="395"/>
      <c r="K32" s="315" t="str">
        <f t="shared" si="1"/>
        <v/>
      </c>
      <c r="L32" s="390" t="str">
        <f t="shared" si="2"/>
        <v/>
      </c>
    </row>
    <row r="33" spans="1:12" ht="14.5" x14ac:dyDescent="0.35">
      <c r="A33" s="310" t="str">
        <f t="array" ref="A33">IFERROR(INDEX(productsSku, SMALL(IF(productsQty&lt;&gt;0, ROW(productsQty)-ROW('BHPC MANAGER'!$CD$10)+1), ROW(M20))), "")</f>
        <v/>
      </c>
      <c r="B33" s="311" t="str">
        <f t="array" ref="B33">IFERROR(INDEX(productsDescription, SMALL(IF(productsQty&lt;&gt;0, ROW(productsQty)-ROW('BHPC MANAGER'!$CD$10)+1), ROW(M20))), "")</f>
        <v/>
      </c>
      <c r="C33" s="312"/>
      <c r="D33" s="312"/>
      <c r="E33" s="313"/>
      <c r="F33" s="314" t="str">
        <f t="shared" si="0"/>
        <v/>
      </c>
      <c r="G33" s="314" t="str">
        <f t="array" ref="G33">IFERROR(INDEX(productsQty, SMALL(IF(productsQty&lt;&gt;0, ROW(productsQty)-ROW('BHPC MANAGER'!$CD$10)+1), ROW(M20))), "")</f>
        <v/>
      </c>
      <c r="H33" s="315" t="str">
        <f t="array" ref="H33">IFERROR(INDEX(productsSalePrice, SMALL(IF(productsQty&lt;&gt;0, ROW(productsQty)-ROW('BHPC MANAGER'!$CD$10)+1), ROW(M20))), "")</f>
        <v/>
      </c>
      <c r="I33" s="314" t="str">
        <f t="array" ref="I33">IFERROR(INDEX(productsCartons, SMALL(IF(productsQty&lt;&gt;0, ROW(productsQty)-ROW('BHPC MANAGER'!$CD$10)+1), ROW(M20))), "")</f>
        <v/>
      </c>
      <c r="J33" s="395"/>
      <c r="K33" s="315" t="str">
        <f t="shared" si="1"/>
        <v/>
      </c>
      <c r="L33" s="390" t="str">
        <f t="shared" si="2"/>
        <v/>
      </c>
    </row>
    <row r="34" spans="1:12" ht="14.5" x14ac:dyDescent="0.35">
      <c r="A34" s="310" t="str">
        <f t="array" ref="A34">IFERROR(INDEX(productsSku, SMALL(IF(productsQty&lt;&gt;0, ROW(productsQty)-ROW('BHPC MANAGER'!$CD$10)+1), ROW(M21))), "")</f>
        <v/>
      </c>
      <c r="B34" s="311" t="str">
        <f t="array" ref="B34">IFERROR(INDEX(productsDescription, SMALL(IF(productsQty&lt;&gt;0, ROW(productsQty)-ROW('BHPC MANAGER'!$CD$10)+1), ROW(M21))), "")</f>
        <v/>
      </c>
      <c r="C34" s="312"/>
      <c r="D34" s="312"/>
      <c r="E34" s="313"/>
      <c r="F34" s="314" t="str">
        <f t="shared" si="0"/>
        <v/>
      </c>
      <c r="G34" s="314" t="str">
        <f t="array" ref="G34">IFERROR(INDEX(productsQty, SMALL(IF(productsQty&lt;&gt;0, ROW(productsQty)-ROW('BHPC MANAGER'!$CD$10)+1), ROW(M21))), "")</f>
        <v/>
      </c>
      <c r="H34" s="315" t="str">
        <f t="array" ref="H34">IFERROR(INDEX(productsSalePrice, SMALL(IF(productsQty&lt;&gt;0, ROW(productsQty)-ROW('BHPC MANAGER'!$CD$10)+1), ROW(M21))), "")</f>
        <v/>
      </c>
      <c r="I34" s="314" t="str">
        <f t="array" ref="I34">IFERROR(INDEX(productsCartons, SMALL(IF(productsQty&lt;&gt;0, ROW(productsQty)-ROW('BHPC MANAGER'!$CD$10)+1), ROW(M21))), "")</f>
        <v/>
      </c>
      <c r="J34" s="395"/>
      <c r="K34" s="315" t="str">
        <f t="shared" si="1"/>
        <v/>
      </c>
      <c r="L34" s="390" t="str">
        <f t="shared" si="2"/>
        <v/>
      </c>
    </row>
    <row r="35" spans="1:12" ht="14.5" x14ac:dyDescent="0.35">
      <c r="A35" s="310" t="str">
        <f t="array" ref="A35">IFERROR(INDEX(productsSku, SMALL(IF(productsQty&lt;&gt;0, ROW(productsQty)-ROW('BHPC MANAGER'!$CD$10)+1), ROW(M22))), "")</f>
        <v/>
      </c>
      <c r="B35" s="311" t="str">
        <f t="array" ref="B35">IFERROR(INDEX(productsDescription, SMALL(IF(productsQty&lt;&gt;0, ROW(productsQty)-ROW('BHPC MANAGER'!$CD$10)+1), ROW(M22))), "")</f>
        <v/>
      </c>
      <c r="C35" s="312"/>
      <c r="D35" s="312"/>
      <c r="E35" s="313"/>
      <c r="F35" s="314" t="str">
        <f t="shared" si="0"/>
        <v/>
      </c>
      <c r="G35" s="314" t="str">
        <f t="array" ref="G35">IFERROR(INDEX(productsQty, SMALL(IF(productsQty&lt;&gt;0, ROW(productsQty)-ROW('BHPC MANAGER'!$CD$10)+1), ROW(M22))), "")</f>
        <v/>
      </c>
      <c r="H35" s="315" t="str">
        <f t="array" ref="H35">IFERROR(INDEX(productsSalePrice, SMALL(IF(productsQty&lt;&gt;0, ROW(productsQty)-ROW('BHPC MANAGER'!$CD$10)+1), ROW(M22))), "")</f>
        <v/>
      </c>
      <c r="I35" s="314" t="str">
        <f t="array" ref="I35">IFERROR(INDEX(productsCartons, SMALL(IF(productsQty&lt;&gt;0, ROW(productsQty)-ROW('BHPC MANAGER'!$CD$10)+1), ROW(M22))), "")</f>
        <v/>
      </c>
      <c r="J35" s="395"/>
      <c r="K35" s="315" t="str">
        <f t="shared" si="1"/>
        <v/>
      </c>
      <c r="L35" s="390" t="str">
        <f t="shared" si="2"/>
        <v/>
      </c>
    </row>
    <row r="36" spans="1:12" ht="14.5" x14ac:dyDescent="0.35">
      <c r="A36" s="310" t="str">
        <f t="array" ref="A36">IFERROR(INDEX(productsSku, SMALL(IF(productsQty&lt;&gt;0, ROW(productsQty)-ROW('BHPC MANAGER'!$CD$10)+1), ROW(M23))), "")</f>
        <v/>
      </c>
      <c r="B36" s="311" t="str">
        <f t="array" ref="B36">IFERROR(INDEX(productsDescription, SMALL(IF(productsQty&lt;&gt;0, ROW(productsQty)-ROW('BHPC MANAGER'!$CD$10)+1), ROW(M23))), "")</f>
        <v/>
      </c>
      <c r="C36" s="312"/>
      <c r="D36" s="312"/>
      <c r="E36" s="313"/>
      <c r="F36" s="314" t="str">
        <f t="shared" si="0"/>
        <v/>
      </c>
      <c r="G36" s="314" t="str">
        <f t="array" ref="G36">IFERROR(INDEX(productsQty, SMALL(IF(productsQty&lt;&gt;0, ROW(productsQty)-ROW('BHPC MANAGER'!$CD$10)+1), ROW(M23))), "")</f>
        <v/>
      </c>
      <c r="H36" s="315" t="str">
        <f t="array" ref="H36">IFERROR(INDEX(productsSalePrice, SMALL(IF(productsQty&lt;&gt;0, ROW(productsQty)-ROW('BHPC MANAGER'!$CD$10)+1), ROW(M23))), "")</f>
        <v/>
      </c>
      <c r="I36" s="314" t="str">
        <f t="array" ref="I36">IFERROR(INDEX(productsCartons, SMALL(IF(productsQty&lt;&gt;0, ROW(productsQty)-ROW('BHPC MANAGER'!$CD$10)+1), ROW(M23))), "")</f>
        <v/>
      </c>
      <c r="J36" s="395"/>
      <c r="K36" s="315" t="str">
        <f t="shared" si="1"/>
        <v/>
      </c>
      <c r="L36" s="390" t="str">
        <f t="shared" si="2"/>
        <v/>
      </c>
    </row>
    <row r="37" spans="1:12" ht="14.5" x14ac:dyDescent="0.35">
      <c r="A37" s="310" t="str">
        <f t="array" ref="A37">IFERROR(INDEX(productsSku, SMALL(IF(productsQty&lt;&gt;0, ROW(productsQty)-ROW('BHPC MANAGER'!$CD$10)+1), ROW(M24))), "")</f>
        <v/>
      </c>
      <c r="B37" s="311" t="str">
        <f t="array" ref="B37">IFERROR(INDEX(productsDescription, SMALL(IF(productsQty&lt;&gt;0, ROW(productsQty)-ROW('BHPC MANAGER'!$CD$10)+1), ROW(M24))), "")</f>
        <v/>
      </c>
      <c r="C37" s="312"/>
      <c r="D37" s="312"/>
      <c r="E37" s="313"/>
      <c r="F37" s="314" t="str">
        <f t="shared" si="0"/>
        <v/>
      </c>
      <c r="G37" s="314" t="str">
        <f t="array" ref="G37">IFERROR(INDEX(productsQty, SMALL(IF(productsQty&lt;&gt;0, ROW(productsQty)-ROW('BHPC MANAGER'!$CD$10)+1), ROW(M24))), "")</f>
        <v/>
      </c>
      <c r="H37" s="315" t="str">
        <f t="array" ref="H37">IFERROR(INDEX(productsSalePrice, SMALL(IF(productsQty&lt;&gt;0, ROW(productsQty)-ROW('BHPC MANAGER'!$CD$10)+1), ROW(M24))), "")</f>
        <v/>
      </c>
      <c r="I37" s="314" t="str">
        <f t="array" ref="I37">IFERROR(INDEX(productsCartons, SMALL(IF(productsQty&lt;&gt;0, ROW(productsQty)-ROW('BHPC MANAGER'!$CD$10)+1), ROW(M24))), "")</f>
        <v/>
      </c>
      <c r="J37" s="395"/>
      <c r="K37" s="315" t="str">
        <f t="shared" si="1"/>
        <v/>
      </c>
      <c r="L37" s="390" t="str">
        <f t="shared" si="2"/>
        <v/>
      </c>
    </row>
    <row r="38" spans="1:12" ht="14.5" x14ac:dyDescent="0.35">
      <c r="A38" s="310" t="str">
        <f t="array" ref="A38">IFERROR(INDEX(productsSku, SMALL(IF(productsQty&lt;&gt;0, ROW(productsQty)-ROW('BHPC MANAGER'!$CD$10)+1), ROW(M25))), "")</f>
        <v/>
      </c>
      <c r="B38" s="311" t="str">
        <f t="array" ref="B38">IFERROR(INDEX(productsDescription, SMALL(IF(productsQty&lt;&gt;0, ROW(productsQty)-ROW('BHPC MANAGER'!$CD$10)+1), ROW(M25))), "")</f>
        <v/>
      </c>
      <c r="C38" s="312"/>
      <c r="D38" s="312"/>
      <c r="E38" s="313"/>
      <c r="F38" s="314" t="str">
        <f t="shared" si="0"/>
        <v/>
      </c>
      <c r="G38" s="314" t="str">
        <f t="array" ref="G38">IFERROR(INDEX(productsQty, SMALL(IF(productsQty&lt;&gt;0, ROW(productsQty)-ROW('BHPC MANAGER'!$CD$10)+1), ROW(M25))), "")</f>
        <v/>
      </c>
      <c r="H38" s="315" t="str">
        <f t="array" ref="H38">IFERROR(INDEX(productsSalePrice, SMALL(IF(productsQty&lt;&gt;0, ROW(productsQty)-ROW('BHPC MANAGER'!$CD$10)+1), ROW(M25))), "")</f>
        <v/>
      </c>
      <c r="I38" s="314" t="str">
        <f t="array" ref="I38">IFERROR(INDEX(productsCartons, SMALL(IF(productsQty&lt;&gt;0, ROW(productsQty)-ROW('BHPC MANAGER'!$CD$10)+1), ROW(M25))), "")</f>
        <v/>
      </c>
      <c r="J38" s="395"/>
      <c r="K38" s="315" t="str">
        <f t="shared" si="1"/>
        <v/>
      </c>
      <c r="L38" s="390" t="str">
        <f t="shared" si="2"/>
        <v/>
      </c>
    </row>
    <row r="39" spans="1:12" ht="14.5" x14ac:dyDescent="0.35">
      <c r="A39" s="310" t="str">
        <f t="array" ref="A39">IFERROR(INDEX(productsSku, SMALL(IF(productsQty&lt;&gt;0, ROW(productsQty)-ROW('BHPC MANAGER'!$CD$10)+1), ROW(M26))), "")</f>
        <v/>
      </c>
      <c r="B39" s="311" t="str">
        <f t="array" ref="B39">IFERROR(INDEX(productsDescription, SMALL(IF(productsQty&lt;&gt;0, ROW(productsQty)-ROW('BHPC MANAGER'!$CD$10)+1), ROW(M26))), "")</f>
        <v/>
      </c>
      <c r="C39" s="312"/>
      <c r="D39" s="312"/>
      <c r="E39" s="313"/>
      <c r="F39" s="314" t="str">
        <f t="shared" si="0"/>
        <v/>
      </c>
      <c r="G39" s="314" t="str">
        <f t="array" ref="G39">IFERROR(INDEX(productsQty, SMALL(IF(productsQty&lt;&gt;0, ROW(productsQty)-ROW('BHPC MANAGER'!$CD$10)+1), ROW(M26))), "")</f>
        <v/>
      </c>
      <c r="H39" s="315" t="str">
        <f t="array" ref="H39">IFERROR(INDEX(productsSalePrice, SMALL(IF(productsQty&lt;&gt;0, ROW(productsQty)-ROW('BHPC MANAGER'!$CD$10)+1), ROW(M26))), "")</f>
        <v/>
      </c>
      <c r="I39" s="314" t="str">
        <f t="array" ref="I39">IFERROR(INDEX(productsCartons, SMALL(IF(productsQty&lt;&gt;0, ROW(productsQty)-ROW('BHPC MANAGER'!$CD$10)+1), ROW(M26))), "")</f>
        <v/>
      </c>
      <c r="J39" s="395"/>
      <c r="K39" s="315" t="str">
        <f t="shared" si="1"/>
        <v/>
      </c>
      <c r="L39" s="390" t="str">
        <f t="shared" si="2"/>
        <v/>
      </c>
    </row>
    <row r="40" spans="1:12" ht="14.5" x14ac:dyDescent="0.35">
      <c r="A40" s="310"/>
      <c r="B40" s="311"/>
      <c r="C40" s="312"/>
      <c r="D40" s="312"/>
      <c r="E40" s="313"/>
      <c r="F40" s="314"/>
      <c r="G40" s="314"/>
      <c r="H40" s="315"/>
      <c r="I40" s="314"/>
      <c r="J40" s="395"/>
      <c r="K40" s="315"/>
      <c r="L40" s="390"/>
    </row>
    <row r="41" spans="1:12" ht="14.5" x14ac:dyDescent="0.35">
      <c r="A41" s="310"/>
      <c r="B41" s="311"/>
      <c r="C41" s="312"/>
      <c r="D41" s="312"/>
      <c r="E41" s="313"/>
      <c r="F41" s="314"/>
      <c r="G41" s="314"/>
      <c r="H41" s="315"/>
      <c r="I41" s="314"/>
      <c r="J41" s="395"/>
      <c r="K41" s="315"/>
      <c r="L41" s="390"/>
    </row>
    <row r="42" spans="1:12" ht="14.5" x14ac:dyDescent="0.35">
      <c r="A42" s="310"/>
      <c r="B42" s="311"/>
      <c r="C42" s="312"/>
      <c r="D42" s="312"/>
      <c r="E42" s="313"/>
      <c r="F42" s="314"/>
      <c r="G42" s="314"/>
      <c r="H42" s="315"/>
      <c r="I42" s="314"/>
      <c r="J42" s="395"/>
      <c r="K42" s="315"/>
      <c r="L42" s="390"/>
    </row>
    <row r="43" spans="1:12" ht="14.5" x14ac:dyDescent="0.35">
      <c r="A43" s="310"/>
      <c r="B43" s="311"/>
      <c r="C43" s="312"/>
      <c r="D43" s="312"/>
      <c r="E43" s="313"/>
      <c r="F43" s="314"/>
      <c r="G43" s="314"/>
      <c r="H43" s="315"/>
      <c r="I43" s="314"/>
      <c r="J43" s="395"/>
      <c r="K43" s="315"/>
      <c r="L43" s="390"/>
    </row>
    <row r="44" spans="1:12" ht="14.5" x14ac:dyDescent="0.35">
      <c r="A44" s="310"/>
      <c r="B44" s="311"/>
      <c r="C44" s="312"/>
      <c r="D44" s="312"/>
      <c r="E44" s="313"/>
      <c r="F44" s="314"/>
      <c r="G44" s="314"/>
      <c r="H44" s="315"/>
      <c r="I44" s="314"/>
      <c r="J44" s="395"/>
      <c r="K44" s="315"/>
      <c r="L44" s="390"/>
    </row>
    <row r="45" spans="1:12" ht="14.5" x14ac:dyDescent="0.35">
      <c r="A45" s="310"/>
      <c r="B45" s="311"/>
      <c r="C45" s="312"/>
      <c r="D45" s="312"/>
      <c r="E45" s="313"/>
      <c r="F45" s="314"/>
      <c r="G45" s="314"/>
      <c r="H45" s="315"/>
      <c r="I45" s="314"/>
      <c r="J45" s="395"/>
      <c r="K45" s="315"/>
      <c r="L45" s="390"/>
    </row>
    <row r="46" spans="1:12" ht="14.5" x14ac:dyDescent="0.35">
      <c r="A46" s="310" t="str">
        <f t="array" ref="A46">IFERROR(INDEX(productsSku, SMALL(IF(productsQty&lt;&gt;0, ROW(productsQty)-ROW('BHPC MANAGER'!$CD$10)+1), ROW(M27))), "")</f>
        <v/>
      </c>
      <c r="B46" s="311" t="str">
        <f t="array" ref="B46">IFERROR(INDEX(productsDescription, SMALL(IF(productsQty&lt;&gt;0, ROW(productsQty)-ROW('BHPC MANAGER'!$CD$10)+1), ROW(M27))), "")</f>
        <v/>
      </c>
      <c r="C46" s="312"/>
      <c r="D46" s="312"/>
      <c r="E46" s="313"/>
      <c r="F46" s="314" t="str">
        <f t="shared" ref="F46:F55" si="3">IF(A46="","","PC")</f>
        <v/>
      </c>
      <c r="G46" s="314" t="str">
        <f t="array" ref="G46">IFERROR(INDEX(productsQty, SMALL(IF(productsQty&lt;&gt;0, ROW(productsQty)-ROW('BHPC MANAGER'!$CD$10)+1), ROW(M27))), "")</f>
        <v/>
      </c>
      <c r="H46" s="315" t="str">
        <f t="array" ref="H46">IFERROR(INDEX(productsSalePrice, SMALL(IF(productsQty&lt;&gt;0, ROW(productsQty)-ROW('BHPC MANAGER'!$CD$10)+1), ROW(M27))), "")</f>
        <v/>
      </c>
      <c r="I46" s="314" t="str">
        <f t="array" ref="I46">IFERROR(INDEX(productsCartons, SMALL(IF(productsQty&lt;&gt;0, ROW(productsQty)-ROW('BHPC MANAGER'!$CD$10)+1), ROW(M27))), "")</f>
        <v/>
      </c>
      <c r="J46" s="395"/>
      <c r="K46" s="315" t="str">
        <f t="shared" ref="K46:K55" si="4">IF(A46="","",G46*H46)</f>
        <v/>
      </c>
      <c r="L46" s="390" t="str">
        <f t="shared" ref="L46:L55" si="5">IF(A46="","",$C$69)</f>
        <v/>
      </c>
    </row>
    <row r="47" spans="1:12" ht="14.5" x14ac:dyDescent="0.35">
      <c r="A47" s="310" t="str">
        <f t="array" ref="A47">IFERROR(INDEX(productsSku, SMALL(IF(productsQty&lt;&gt;0, ROW(productsQty)-ROW('BHPC MANAGER'!$CD$10)+1), ROW(M28))), "")</f>
        <v/>
      </c>
      <c r="B47" s="311" t="str">
        <f t="array" ref="B47">IFERROR(INDEX(productsDescription, SMALL(IF(productsQty&lt;&gt;0, ROW(productsQty)-ROW('BHPC MANAGER'!$CD$10)+1), ROW(M28))), "")</f>
        <v/>
      </c>
      <c r="C47" s="312"/>
      <c r="D47" s="312"/>
      <c r="E47" s="313"/>
      <c r="F47" s="314" t="str">
        <f t="shared" si="3"/>
        <v/>
      </c>
      <c r="G47" s="314" t="str">
        <f t="array" ref="G47">IFERROR(INDEX(productsQty, SMALL(IF(productsQty&lt;&gt;0, ROW(productsQty)-ROW('BHPC MANAGER'!$CD$10)+1), ROW(M28))), "")</f>
        <v/>
      </c>
      <c r="H47" s="315" t="str">
        <f t="array" ref="H47">IFERROR(INDEX(productsSalePrice, SMALL(IF(productsQty&lt;&gt;0, ROW(productsQty)-ROW('BHPC MANAGER'!$CD$10)+1), ROW(M28))), "")</f>
        <v/>
      </c>
      <c r="I47" s="314" t="str">
        <f t="array" ref="I47">IFERROR(INDEX(productsCartons, SMALL(IF(productsQty&lt;&gt;0, ROW(productsQty)-ROW('BHPC MANAGER'!$CD$10)+1), ROW(M28))), "")</f>
        <v/>
      </c>
      <c r="J47" s="395"/>
      <c r="K47" s="315" t="str">
        <f t="shared" si="4"/>
        <v/>
      </c>
      <c r="L47" s="390" t="str">
        <f t="shared" si="5"/>
        <v/>
      </c>
    </row>
    <row r="48" spans="1:12" ht="14.5" x14ac:dyDescent="0.35">
      <c r="A48" s="310" t="str">
        <f t="array" ref="A48">IFERROR(INDEX(productsSku, SMALL(IF(productsQty&lt;&gt;0, ROW(productsQty)-ROW('BHPC MANAGER'!$CD$10)+1), ROW(M29))), "")</f>
        <v/>
      </c>
      <c r="B48" s="311" t="str">
        <f t="array" ref="B48">IFERROR(INDEX(productsDescription, SMALL(IF(productsQty&lt;&gt;0, ROW(productsQty)-ROW('BHPC MANAGER'!$CD$10)+1), ROW(M29))), "")</f>
        <v/>
      </c>
      <c r="C48" s="312"/>
      <c r="D48" s="312"/>
      <c r="E48" s="313"/>
      <c r="F48" s="314" t="str">
        <f t="shared" si="3"/>
        <v/>
      </c>
      <c r="G48" s="314" t="str">
        <f t="array" ref="G48">IFERROR(INDEX(productsQty, SMALL(IF(productsQty&lt;&gt;0, ROW(productsQty)-ROW('BHPC MANAGER'!$CD$10)+1), ROW(M29))), "")</f>
        <v/>
      </c>
      <c r="H48" s="315" t="str">
        <f t="array" ref="H48">IFERROR(INDEX(productsSalePrice, SMALL(IF(productsQty&lt;&gt;0, ROW(productsQty)-ROW('BHPC MANAGER'!$CD$10)+1), ROW(M29))), "")</f>
        <v/>
      </c>
      <c r="I48" s="314" t="str">
        <f t="array" ref="I48">IFERROR(INDEX(productsCartons, SMALL(IF(productsQty&lt;&gt;0, ROW(productsQty)-ROW('BHPC MANAGER'!$CD$10)+1), ROW(M29))), "")</f>
        <v/>
      </c>
      <c r="J48" s="395"/>
      <c r="K48" s="315" t="str">
        <f t="shared" si="4"/>
        <v/>
      </c>
      <c r="L48" s="390" t="str">
        <f t="shared" si="5"/>
        <v/>
      </c>
    </row>
    <row r="49" spans="1:12" ht="14.5" x14ac:dyDescent="0.35">
      <c r="A49" s="310" t="str">
        <f t="array" ref="A49">IFERROR(INDEX(productsSku, SMALL(IF(productsQty&lt;&gt;0, ROW(productsQty)-ROW('BHPC MANAGER'!$CD$10)+1), ROW(M30))), "")</f>
        <v/>
      </c>
      <c r="B49" s="311" t="str">
        <f t="array" ref="B49">IFERROR(INDEX(productsDescription, SMALL(IF(productsQty&lt;&gt;0, ROW(productsQty)-ROW('BHPC MANAGER'!$CD$10)+1), ROW(M30))), "")</f>
        <v/>
      </c>
      <c r="C49" s="312"/>
      <c r="D49" s="312"/>
      <c r="E49" s="313"/>
      <c r="F49" s="314" t="str">
        <f t="shared" si="3"/>
        <v/>
      </c>
      <c r="G49" s="314" t="str">
        <f t="array" ref="G49">IFERROR(INDEX(productsQty, SMALL(IF(productsQty&lt;&gt;0, ROW(productsQty)-ROW('BHPC MANAGER'!$CD$10)+1), ROW(M30))), "")</f>
        <v/>
      </c>
      <c r="H49" s="315" t="str">
        <f t="array" ref="H49">IFERROR(INDEX(productsSalePrice, SMALL(IF(productsQty&lt;&gt;0, ROW(productsQty)-ROW('BHPC MANAGER'!$CD$10)+1), ROW(M30))), "")</f>
        <v/>
      </c>
      <c r="I49" s="314" t="str">
        <f t="array" ref="I49">IFERROR(INDEX(productsCartons, SMALL(IF(productsQty&lt;&gt;0, ROW(productsQty)-ROW('BHPC MANAGER'!$CD$10)+1), ROW(M30))), "")</f>
        <v/>
      </c>
      <c r="J49" s="395"/>
      <c r="K49" s="315" t="str">
        <f t="shared" si="4"/>
        <v/>
      </c>
      <c r="L49" s="390" t="str">
        <f t="shared" si="5"/>
        <v/>
      </c>
    </row>
    <row r="50" spans="1:12" ht="14.5" x14ac:dyDescent="0.35">
      <c r="A50" s="310" t="str">
        <f t="array" ref="A50">IFERROR(INDEX(productsSku, SMALL(IF(productsQty&lt;&gt;0, ROW(productsQty)-ROW('BHPC MANAGER'!$CD$10)+1), ROW(M31))), "")</f>
        <v/>
      </c>
      <c r="B50" s="311" t="str">
        <f t="array" ref="B50">IFERROR(INDEX(productsDescription, SMALL(IF(productsQty&lt;&gt;0, ROW(productsQty)-ROW('BHPC MANAGER'!$CD$10)+1), ROW(M31))), "")</f>
        <v/>
      </c>
      <c r="C50" s="312"/>
      <c r="D50" s="312"/>
      <c r="E50" s="313"/>
      <c r="F50" s="314" t="str">
        <f t="shared" si="3"/>
        <v/>
      </c>
      <c r="G50" s="314" t="str">
        <f t="array" ref="G50">IFERROR(INDEX(productsQty, SMALL(IF(productsQty&lt;&gt;0, ROW(productsQty)-ROW('BHPC MANAGER'!$CD$10)+1), ROW(M31))), "")</f>
        <v/>
      </c>
      <c r="H50" s="315" t="str">
        <f t="array" ref="H50">IFERROR(INDEX(productsSalePrice, SMALL(IF(productsQty&lt;&gt;0, ROW(productsQty)-ROW('BHPC MANAGER'!$CD$10)+1), ROW(M31))), "")</f>
        <v/>
      </c>
      <c r="I50" s="314" t="str">
        <f t="array" ref="I50">IFERROR(INDEX(productsCartons, SMALL(IF(productsQty&lt;&gt;0, ROW(productsQty)-ROW('BHPC MANAGER'!$CD$10)+1), ROW(M31))), "")</f>
        <v/>
      </c>
      <c r="J50" s="395"/>
      <c r="K50" s="315" t="str">
        <f t="shared" si="4"/>
        <v/>
      </c>
      <c r="L50" s="390" t="str">
        <f t="shared" si="5"/>
        <v/>
      </c>
    </row>
    <row r="51" spans="1:12" ht="14.5" x14ac:dyDescent="0.35">
      <c r="A51" s="310" t="str">
        <f t="array" ref="A51">IFERROR(INDEX(productsSku, SMALL(IF(productsQty&lt;&gt;0, ROW(productsQty)-ROW('BHPC MANAGER'!$CD$10)+1), ROW(M32))), "")</f>
        <v/>
      </c>
      <c r="B51" s="311" t="str">
        <f t="array" ref="B51">IFERROR(INDEX(productsDescription, SMALL(IF(productsQty&lt;&gt;0, ROW(productsQty)-ROW('BHPC MANAGER'!$CD$10)+1), ROW(M32))), "")</f>
        <v/>
      </c>
      <c r="C51" s="312"/>
      <c r="D51" s="312"/>
      <c r="E51" s="313"/>
      <c r="F51" s="314" t="str">
        <f t="shared" si="3"/>
        <v/>
      </c>
      <c r="G51" s="314" t="str">
        <f t="array" ref="G51">IFERROR(INDEX(productsQty, SMALL(IF(productsQty&lt;&gt;0, ROW(productsQty)-ROW('BHPC MANAGER'!$CD$10)+1), ROW(M32))), "")</f>
        <v/>
      </c>
      <c r="H51" s="315" t="str">
        <f t="array" ref="H51">IFERROR(INDEX(productsSalePrice, SMALL(IF(productsQty&lt;&gt;0, ROW(productsQty)-ROW('BHPC MANAGER'!$CD$10)+1), ROW(M32))), "")</f>
        <v/>
      </c>
      <c r="I51" s="314" t="str">
        <f t="array" ref="I51">IFERROR(INDEX(productsCartons, SMALL(IF(productsQty&lt;&gt;0, ROW(productsQty)-ROW('BHPC MANAGER'!$CD$10)+1), ROW(M32))), "")</f>
        <v/>
      </c>
      <c r="J51" s="395"/>
      <c r="K51" s="315" t="str">
        <f t="shared" si="4"/>
        <v/>
      </c>
      <c r="L51" s="390" t="str">
        <f t="shared" si="5"/>
        <v/>
      </c>
    </row>
    <row r="52" spans="1:12" ht="14.5" x14ac:dyDescent="0.35">
      <c r="A52" s="310" t="str">
        <f t="array" ref="A52">IFERROR(INDEX(productsSku, SMALL(IF(productsQty&lt;&gt;0, ROW(productsQty)-ROW('BHPC MANAGER'!$CD$10)+1), ROW(M33))), "")</f>
        <v/>
      </c>
      <c r="B52" s="311" t="str">
        <f t="array" ref="B52">IFERROR(INDEX(productsDescription, SMALL(IF(productsQty&lt;&gt;0, ROW(productsQty)-ROW('BHPC MANAGER'!$CD$10)+1), ROW(M33))), "")</f>
        <v/>
      </c>
      <c r="C52" s="312"/>
      <c r="D52" s="312"/>
      <c r="E52" s="313"/>
      <c r="F52" s="314" t="str">
        <f t="shared" si="3"/>
        <v/>
      </c>
      <c r="G52" s="314" t="str">
        <f t="array" ref="G52">IFERROR(INDEX(productsQty, SMALL(IF(productsQty&lt;&gt;0, ROW(productsQty)-ROW('BHPC MANAGER'!$CD$10)+1), ROW(M33))), "")</f>
        <v/>
      </c>
      <c r="H52" s="315" t="str">
        <f t="array" ref="H52">IFERROR(INDEX(productsSalePrice, SMALL(IF(productsQty&lt;&gt;0, ROW(productsQty)-ROW('BHPC MANAGER'!$CD$10)+1), ROW(M33))), "")</f>
        <v/>
      </c>
      <c r="I52" s="314" t="str">
        <f t="array" ref="I52">IFERROR(INDEX(productsCartons, SMALL(IF(productsQty&lt;&gt;0, ROW(productsQty)-ROW('BHPC MANAGER'!$CD$10)+1), ROW(M33))), "")</f>
        <v/>
      </c>
      <c r="J52" s="395"/>
      <c r="K52" s="315" t="str">
        <f t="shared" si="4"/>
        <v/>
      </c>
      <c r="L52" s="390" t="str">
        <f t="shared" si="5"/>
        <v/>
      </c>
    </row>
    <row r="53" spans="1:12" ht="14.5" x14ac:dyDescent="0.35">
      <c r="A53" s="310" t="str">
        <f t="array" ref="A53">IFERROR(INDEX(productsSku, SMALL(IF(productsQty&lt;&gt;0, ROW(productsQty)-ROW('BHPC MANAGER'!$CD$10)+1), ROW(M34))), "")</f>
        <v/>
      </c>
      <c r="B53" s="311" t="str">
        <f t="array" ref="B53">IFERROR(INDEX(productsDescription, SMALL(IF(productsQty&lt;&gt;0, ROW(productsQty)-ROW('BHPC MANAGER'!$CD$10)+1), ROW(M34))), "")</f>
        <v/>
      </c>
      <c r="C53" s="312"/>
      <c r="D53" s="312"/>
      <c r="E53" s="313"/>
      <c r="F53" s="314" t="str">
        <f t="shared" si="3"/>
        <v/>
      </c>
      <c r="G53" s="314" t="str">
        <f t="array" ref="G53">IFERROR(INDEX(productsQty, SMALL(IF(productsQty&lt;&gt;0, ROW(productsQty)-ROW('BHPC MANAGER'!$CD$10)+1), ROW(M34))), "")</f>
        <v/>
      </c>
      <c r="H53" s="315" t="str">
        <f t="array" ref="H53">IFERROR(INDEX(productsSalePrice, SMALL(IF(productsQty&lt;&gt;0, ROW(productsQty)-ROW('BHPC MANAGER'!$CD$10)+1), ROW(M34))), "")</f>
        <v/>
      </c>
      <c r="I53" s="314" t="str">
        <f t="array" ref="I53">IFERROR(INDEX(productsCartons, SMALL(IF(productsQty&lt;&gt;0, ROW(productsQty)-ROW('BHPC MANAGER'!$CD$10)+1), ROW(M34))), "")</f>
        <v/>
      </c>
      <c r="J53" s="395"/>
      <c r="K53" s="315" t="str">
        <f t="shared" si="4"/>
        <v/>
      </c>
      <c r="L53" s="390" t="str">
        <f t="shared" si="5"/>
        <v/>
      </c>
    </row>
    <row r="54" spans="1:12" ht="14.5" x14ac:dyDescent="0.35">
      <c r="A54" s="310" t="str">
        <f t="array" ref="A54">IFERROR(INDEX(productsSku, SMALL(IF(productsQty&lt;&gt;0, ROW(productsQty)-ROW('BHPC MANAGER'!$CD$10)+1), ROW(M35))), "")</f>
        <v/>
      </c>
      <c r="B54" s="311" t="str">
        <f t="array" ref="B54">IFERROR(INDEX(productsDescription, SMALL(IF(productsQty&lt;&gt;0, ROW(productsQty)-ROW('BHPC MANAGER'!$CD$10)+1), ROW(M35))), "")</f>
        <v/>
      </c>
      <c r="C54" s="312"/>
      <c r="D54" s="312"/>
      <c r="E54" s="313"/>
      <c r="F54" s="314" t="str">
        <f t="shared" si="3"/>
        <v/>
      </c>
      <c r="G54" s="314" t="str">
        <f t="array" ref="G54">IFERROR(INDEX(productsQty, SMALL(IF(productsQty&lt;&gt;0, ROW(productsQty)-ROW('BHPC MANAGER'!$CD$10)+1), ROW(M35))), "")</f>
        <v/>
      </c>
      <c r="H54" s="315" t="str">
        <f t="array" ref="H54">IFERROR(INDEX(productsSalePrice, SMALL(IF(productsQty&lt;&gt;0, ROW(productsQty)-ROW('BHPC MANAGER'!$CD$10)+1), ROW(M35))), "")</f>
        <v/>
      </c>
      <c r="I54" s="314" t="str">
        <f t="array" ref="I54">IFERROR(INDEX(productsCartons, SMALL(IF(productsQty&lt;&gt;0, ROW(productsQty)-ROW('BHPC MANAGER'!$CD$10)+1), ROW(M35))), "")</f>
        <v/>
      </c>
      <c r="J54" s="395"/>
      <c r="K54" s="315" t="str">
        <f t="shared" si="4"/>
        <v/>
      </c>
      <c r="L54" s="390" t="str">
        <f t="shared" si="5"/>
        <v/>
      </c>
    </row>
    <row r="55" spans="1:12" ht="14.5" x14ac:dyDescent="0.35">
      <c r="A55" s="310" t="str">
        <f t="array" ref="A55">IFERROR(INDEX(productsSku, SMALL(IF(productsQty&lt;&gt;0, ROW(productsQty)-ROW('BHPC MANAGER'!$CD$10)+1), ROW(M36))), "")</f>
        <v/>
      </c>
      <c r="B55" s="311" t="str">
        <f t="array" ref="B55">IFERROR(INDEX(productsDescription, SMALL(IF(productsQty&lt;&gt;0, ROW(productsQty)-ROW('BHPC MANAGER'!$CD$10)+1), ROW(M36))), "")</f>
        <v/>
      </c>
      <c r="C55" s="312"/>
      <c r="D55" s="312"/>
      <c r="E55" s="313"/>
      <c r="F55" s="314" t="str">
        <f t="shared" si="3"/>
        <v/>
      </c>
      <c r="G55" s="314" t="str">
        <f t="array" ref="G55">IFERROR(INDEX(productsQty, SMALL(IF(productsQty&lt;&gt;0, ROW(productsQty)-ROW('BHPC MANAGER'!$CD$10)+1), ROW(M36))), "")</f>
        <v/>
      </c>
      <c r="H55" s="315" t="str">
        <f t="array" ref="H55">IFERROR(INDEX(productsSalePrice, SMALL(IF(productsQty&lt;&gt;0, ROW(productsQty)-ROW('BHPC MANAGER'!$CD$10)+1), ROW(M36))), "")</f>
        <v/>
      </c>
      <c r="I55" s="314" t="str">
        <f t="array" ref="I55">IFERROR(INDEX(productsCartons, SMALL(IF(productsQty&lt;&gt;0, ROW(productsQty)-ROW('BHPC MANAGER'!$CD$10)+1), ROW(M36))), "")</f>
        <v/>
      </c>
      <c r="J55" s="395"/>
      <c r="K55" s="315" t="str">
        <f t="shared" si="4"/>
        <v/>
      </c>
      <c r="L55" s="390" t="str">
        <f t="shared" si="5"/>
        <v/>
      </c>
    </row>
    <row r="56" spans="1:12" ht="14.5" x14ac:dyDescent="0.35">
      <c r="A56" s="310"/>
      <c r="B56" s="311"/>
      <c r="C56" s="312"/>
      <c r="D56" s="312"/>
      <c r="E56" s="313"/>
      <c r="F56" s="314"/>
      <c r="G56" s="314"/>
      <c r="H56" s="315"/>
      <c r="I56" s="314"/>
      <c r="J56" s="395"/>
      <c r="K56" s="315"/>
      <c r="L56" s="390"/>
    </row>
    <row r="57" spans="1:12" ht="14.5" x14ac:dyDescent="0.35">
      <c r="A57" s="310"/>
      <c r="B57" s="311"/>
      <c r="C57" s="312"/>
      <c r="D57" s="312"/>
      <c r="E57" s="313"/>
      <c r="F57" s="314"/>
      <c r="G57" s="314"/>
      <c r="H57" s="315"/>
      <c r="I57" s="314"/>
      <c r="J57" s="395"/>
      <c r="K57" s="315"/>
      <c r="L57" s="390"/>
    </row>
    <row r="58" spans="1:12" ht="14.5" x14ac:dyDescent="0.35">
      <c r="A58" s="310"/>
      <c r="B58" s="311"/>
      <c r="C58" s="312"/>
      <c r="D58" s="312"/>
      <c r="E58" s="313"/>
      <c r="F58" s="314"/>
      <c r="G58" s="314"/>
      <c r="H58" s="315"/>
      <c r="I58" s="314"/>
      <c r="J58" s="395"/>
      <c r="K58" s="315"/>
      <c r="L58" s="390"/>
    </row>
    <row r="59" spans="1:12" ht="14.5" x14ac:dyDescent="0.35">
      <c r="A59" s="310"/>
      <c r="B59" s="311"/>
      <c r="C59" s="312"/>
      <c r="D59" s="312"/>
      <c r="E59" s="313"/>
      <c r="F59" s="314"/>
      <c r="G59" s="314"/>
      <c r="H59" s="315"/>
      <c r="I59" s="314"/>
      <c r="J59" s="395"/>
      <c r="K59" s="315"/>
      <c r="L59" s="390"/>
    </row>
    <row r="60" spans="1:12" ht="14.5" x14ac:dyDescent="0.35">
      <c r="A60" s="310"/>
      <c r="B60" s="311"/>
      <c r="C60" s="312"/>
      <c r="D60" s="312"/>
      <c r="E60" s="313"/>
      <c r="F60" s="314"/>
      <c r="G60" s="314"/>
      <c r="H60" s="315"/>
      <c r="I60" s="314"/>
      <c r="J60" s="395"/>
      <c r="K60" s="315"/>
      <c r="L60" s="390"/>
    </row>
    <row r="61" spans="1:12" ht="14.5" x14ac:dyDescent="0.35">
      <c r="A61" s="310"/>
      <c r="B61" s="311"/>
      <c r="C61" s="312"/>
      <c r="D61" s="312"/>
      <c r="E61" s="313"/>
      <c r="F61" s="314"/>
      <c r="G61" s="314"/>
      <c r="H61" s="315"/>
      <c r="I61" s="314"/>
      <c r="J61" s="395"/>
      <c r="K61" s="315"/>
      <c r="L61" s="390"/>
    </row>
    <row r="62" spans="1:12" ht="14.5" x14ac:dyDescent="0.35">
      <c r="A62" s="310"/>
      <c r="B62" s="311"/>
      <c r="C62" s="312"/>
      <c r="D62" s="312"/>
      <c r="E62" s="313"/>
      <c r="F62" s="314"/>
      <c r="G62" s="314"/>
      <c r="H62" s="315"/>
      <c r="I62" s="314"/>
      <c r="J62" s="395"/>
      <c r="K62" s="315"/>
      <c r="L62" s="390"/>
    </row>
    <row r="63" spans="1:12" ht="14.5" x14ac:dyDescent="0.35">
      <c r="A63" s="310"/>
      <c r="B63" s="311"/>
      <c r="C63" s="312"/>
      <c r="D63" s="312"/>
      <c r="E63" s="313"/>
      <c r="F63" s="314"/>
      <c r="G63" s="314"/>
      <c r="H63" s="315"/>
      <c r="I63" s="314"/>
      <c r="J63" s="395"/>
      <c r="K63" s="315"/>
      <c r="L63" s="390"/>
    </row>
    <row r="64" spans="1:12" ht="14.5" x14ac:dyDescent="0.35">
      <c r="A64" s="310"/>
      <c r="B64" s="311"/>
      <c r="C64" s="312"/>
      <c r="D64" s="312"/>
      <c r="E64" s="313"/>
      <c r="F64" s="314"/>
      <c r="G64" s="314"/>
      <c r="H64" s="315"/>
      <c r="I64" s="314"/>
      <c r="J64" s="395"/>
      <c r="K64" s="315"/>
      <c r="L64" s="390"/>
    </row>
    <row r="65" spans="1:12" ht="14.5" x14ac:dyDescent="0.35">
      <c r="A65" s="310"/>
      <c r="B65" s="311"/>
      <c r="C65" s="312"/>
      <c r="D65" s="312"/>
      <c r="E65" s="313"/>
      <c r="F65" s="314"/>
      <c r="G65" s="314"/>
      <c r="H65" s="315"/>
      <c r="I65" s="314"/>
      <c r="J65" s="395"/>
      <c r="K65" s="315"/>
      <c r="L65" s="390"/>
    </row>
    <row r="66" spans="1:12" x14ac:dyDescent="0.35">
      <c r="A66" s="565"/>
      <c r="B66" s="568"/>
      <c r="C66" s="565"/>
      <c r="D66" s="568"/>
      <c r="E66" s="565" t="s">
        <v>501</v>
      </c>
      <c r="F66" s="566"/>
      <c r="G66" s="568"/>
      <c r="H66" s="640" t="s">
        <v>486</v>
      </c>
      <c r="I66" s="566"/>
      <c r="J66" s="566"/>
      <c r="K66" s="641"/>
      <c r="L66" s="568"/>
    </row>
    <row r="67" spans="1:12" s="138" customFormat="1" ht="14.5" customHeight="1" x14ac:dyDescent="0.35">
      <c r="A67" s="563"/>
      <c r="B67" s="564"/>
      <c r="C67" s="563"/>
      <c r="D67" s="564"/>
      <c r="E67" s="658">
        <f>SUM($K$13:$K$65)</f>
        <v>0</v>
      </c>
      <c r="F67" s="659"/>
      <c r="G67" s="660"/>
      <c r="H67" s="622">
        <f>SUM(K14:K65)</f>
        <v>0</v>
      </c>
      <c r="I67" s="583"/>
      <c r="J67" s="583"/>
      <c r="K67" s="583"/>
      <c r="L67" s="584"/>
    </row>
    <row r="68" spans="1:12" x14ac:dyDescent="0.35">
      <c r="A68" s="565" t="s">
        <v>487</v>
      </c>
      <c r="B68" s="568"/>
      <c r="C68" s="139" t="s">
        <v>488</v>
      </c>
      <c r="D68" s="565" t="s">
        <v>489</v>
      </c>
      <c r="E68" s="568"/>
      <c r="F68" s="565" t="s">
        <v>490</v>
      </c>
      <c r="G68" s="568"/>
      <c r="H68" s="638" t="s">
        <v>491</v>
      </c>
      <c r="I68" s="581"/>
      <c r="J68" s="581"/>
      <c r="K68" s="639"/>
      <c r="L68" s="579"/>
    </row>
    <row r="69" spans="1:12" ht="14.5" customHeight="1" x14ac:dyDescent="0.35">
      <c r="A69" s="590" t="str">
        <f>A124</f>
        <v>CESS. CEE AR. 41 L 427</v>
      </c>
      <c r="B69" s="591"/>
      <c r="C69" s="594" t="str">
        <f>C124</f>
        <v>061</v>
      </c>
      <c r="D69" s="661">
        <f>H67</f>
        <v>0</v>
      </c>
      <c r="E69" s="662"/>
      <c r="F69" s="634">
        <f>IF(C69="022",22%,0)</f>
        <v>0</v>
      </c>
      <c r="G69" s="635"/>
      <c r="H69" s="622">
        <f>H67</f>
        <v>0</v>
      </c>
      <c r="I69" s="583"/>
      <c r="J69" s="583"/>
      <c r="K69" s="583"/>
      <c r="L69" s="584"/>
    </row>
    <row r="70" spans="1:12" x14ac:dyDescent="0.35">
      <c r="A70" s="590"/>
      <c r="B70" s="591"/>
      <c r="C70" s="643"/>
      <c r="D70" s="661"/>
      <c r="E70" s="662"/>
      <c r="F70" s="634"/>
      <c r="G70" s="635"/>
      <c r="H70" s="638" t="s">
        <v>492</v>
      </c>
      <c r="I70" s="581"/>
      <c r="J70" s="581"/>
      <c r="K70" s="639"/>
      <c r="L70" s="579"/>
    </row>
    <row r="71" spans="1:12" ht="14.5" customHeight="1" x14ac:dyDescent="0.35">
      <c r="A71" s="590"/>
      <c r="B71" s="591"/>
      <c r="C71" s="643"/>
      <c r="D71" s="661"/>
      <c r="E71" s="662"/>
      <c r="F71" s="634"/>
      <c r="G71" s="635"/>
      <c r="H71" s="622">
        <f>SEK69*F69</f>
        <v>0</v>
      </c>
      <c r="I71" s="583"/>
      <c r="J71" s="583"/>
      <c r="K71" s="583"/>
      <c r="L71" s="584"/>
    </row>
    <row r="72" spans="1:12" x14ac:dyDescent="0.35">
      <c r="A72" s="590"/>
      <c r="B72" s="591"/>
      <c r="C72" s="643"/>
      <c r="D72" s="661"/>
      <c r="E72" s="662"/>
      <c r="F72" s="634"/>
      <c r="G72" s="635"/>
      <c r="H72" s="638" t="s">
        <v>493</v>
      </c>
      <c r="I72" s="581"/>
      <c r="J72" s="581"/>
      <c r="K72" s="639"/>
      <c r="L72" s="579"/>
    </row>
    <row r="73" spans="1:12" ht="14.5" customHeight="1" x14ac:dyDescent="0.35">
      <c r="A73" s="592"/>
      <c r="B73" s="593"/>
      <c r="C73" s="644"/>
      <c r="D73" s="663"/>
      <c r="E73" s="664"/>
      <c r="F73" s="636"/>
      <c r="G73" s="637"/>
      <c r="H73" s="622">
        <f>H67+H71</f>
        <v>0</v>
      </c>
      <c r="I73" s="583"/>
      <c r="J73" s="583"/>
      <c r="K73" s="583"/>
      <c r="L73" s="584"/>
    </row>
    <row r="74" spans="1:12" ht="14.5" x14ac:dyDescent="0.35">
      <c r="A74" s="316"/>
      <c r="B74" s="258" t="s">
        <v>502</v>
      </c>
      <c r="C74" s="317"/>
      <c r="D74" s="317"/>
      <c r="E74" s="318"/>
      <c r="F74" s="319"/>
      <c r="G74" s="320"/>
      <c r="H74" s="321"/>
      <c r="I74" s="320"/>
      <c r="J74" s="394"/>
      <c r="K74" s="321"/>
      <c r="L74" s="405"/>
    </row>
    <row r="75" spans="1:12" ht="14.5" x14ac:dyDescent="0.35">
      <c r="A75" s="310" t="str">
        <f t="array" ref="A75">IFERROR(INDEX(productsSku, SMALL(IF(productsQty&lt;&gt;0, ROW(productsQty)-ROW('BHPC MANAGER'!$CD$10)+1), ROW(M69))), "")</f>
        <v/>
      </c>
      <c r="B75" s="311" t="str">
        <f t="array" ref="B75">IFERROR(INDEX(productsDescription, SMALL(IF(productsQty&lt;&gt;0, ROW(productsQty)-ROW('BHPC MANAGER'!$CD$10)+1), ROW(M69))), "")</f>
        <v/>
      </c>
      <c r="C75" s="312"/>
      <c r="D75" s="312"/>
      <c r="E75" s="313"/>
      <c r="F75" s="314" t="str">
        <f t="shared" ref="F75:F110" si="6">IF(A75="","","PC")</f>
        <v/>
      </c>
      <c r="G75" s="314" t="str">
        <f t="array" ref="G75">IFERROR(INDEX(productsQty, SMALL(IF(productsQty&lt;&gt;0, ROW(productsQty)-ROW('BHPC MANAGER'!$CD$10)+1), ROW(M69))), "")</f>
        <v/>
      </c>
      <c r="H75" s="315" t="str">
        <f t="array" ref="H75">IFERROR(INDEX(productsSalePrice, SMALL(IF(productsQty&lt;&gt;0, ROW(productsQty)-ROW('BHPC MANAGER'!$CD$10)+1), ROW(M69))), "")</f>
        <v/>
      </c>
      <c r="I75" s="314" t="str">
        <f t="array" ref="I75">IFERROR(INDEX(productsCartons, SMALL(IF(productsQty&lt;&gt;0, ROW(productsQty)-ROW('BHPC MANAGER'!$CD$10)+1), ROW(M69))), "")</f>
        <v/>
      </c>
      <c r="J75" s="395"/>
      <c r="K75" s="315" t="str">
        <f t="shared" ref="K75:K110" si="7">IF(A75="","",G75*H75)</f>
        <v/>
      </c>
      <c r="L75" s="390" t="str">
        <f t="shared" ref="L75:L110" si="8">IF(A75="","",$C$69)</f>
        <v/>
      </c>
    </row>
    <row r="76" spans="1:12" ht="14.5" x14ac:dyDescent="0.35">
      <c r="A76" s="310" t="str">
        <f t="array" ref="A76">IFERROR(INDEX(productsSku, SMALL(IF(productsQty&lt;&gt;0, ROW(productsQty)-ROW('BHPC MANAGER'!$CD$10)+1), ROW(M70))), "")</f>
        <v/>
      </c>
      <c r="B76" s="311" t="str">
        <f t="array" ref="B76">IFERROR(INDEX(productsDescription, SMALL(IF(productsQty&lt;&gt;0, ROW(productsQty)-ROW('BHPC MANAGER'!$CD$10)+1), ROW(M70))), "")</f>
        <v/>
      </c>
      <c r="C76" s="312"/>
      <c r="D76" s="312"/>
      <c r="E76" s="313"/>
      <c r="F76" s="314" t="str">
        <f t="shared" si="6"/>
        <v/>
      </c>
      <c r="G76" s="314" t="str">
        <f t="array" ref="G76">IFERROR(INDEX(productsQty, SMALL(IF(productsQty&lt;&gt;0, ROW(productsQty)-ROW('BHPC MANAGER'!$CD$10)+1), ROW(M70))), "")</f>
        <v/>
      </c>
      <c r="H76" s="315" t="str">
        <f t="array" ref="H76">IFERROR(INDEX(productsSalePrice, SMALL(IF(productsQty&lt;&gt;0, ROW(productsQty)-ROW('BHPC MANAGER'!$CD$10)+1), ROW(M70))), "")</f>
        <v/>
      </c>
      <c r="I76" s="314" t="str">
        <f t="array" ref="I76">IFERROR(INDEX(productsCartons, SMALL(IF(productsQty&lt;&gt;0, ROW(productsQty)-ROW('BHPC MANAGER'!$CD$10)+1), ROW(M70))), "")</f>
        <v/>
      </c>
      <c r="J76" s="395"/>
      <c r="K76" s="315" t="str">
        <f t="shared" si="7"/>
        <v/>
      </c>
      <c r="L76" s="390" t="str">
        <f t="shared" si="8"/>
        <v/>
      </c>
    </row>
    <row r="77" spans="1:12" ht="14.5" x14ac:dyDescent="0.35">
      <c r="A77" s="310" t="str">
        <f t="array" ref="A77">IFERROR(INDEX(productsSku, SMALL(IF(productsQty&lt;&gt;0, ROW(productsQty)-ROW('BHPC MANAGER'!$CD$10)+1), ROW(M71))), "")</f>
        <v/>
      </c>
      <c r="B77" s="311" t="str">
        <f t="array" ref="B77">IFERROR(INDEX(productsDescription, SMALL(IF(productsQty&lt;&gt;0, ROW(productsQty)-ROW('BHPC MANAGER'!$CD$10)+1), ROW(M71))), "")</f>
        <v/>
      </c>
      <c r="C77" s="312"/>
      <c r="D77" s="312"/>
      <c r="E77" s="313"/>
      <c r="F77" s="314" t="str">
        <f t="shared" si="6"/>
        <v/>
      </c>
      <c r="G77" s="314" t="str">
        <f t="array" ref="G77">IFERROR(INDEX(productsQty, SMALL(IF(productsQty&lt;&gt;0, ROW(productsQty)-ROW('BHPC MANAGER'!$CD$10)+1), ROW(M71))), "")</f>
        <v/>
      </c>
      <c r="H77" s="315" t="str">
        <f t="array" ref="H77">IFERROR(INDEX(productsSalePrice, SMALL(IF(productsQty&lt;&gt;0, ROW(productsQty)-ROW('BHPC MANAGER'!$CD$10)+1), ROW(M71))), "")</f>
        <v/>
      </c>
      <c r="I77" s="314" t="str">
        <f t="array" ref="I77">IFERROR(INDEX(productsCartons, SMALL(IF(productsQty&lt;&gt;0, ROW(productsQty)-ROW('BHPC MANAGER'!$CD$10)+1), ROW(M71))), "")</f>
        <v/>
      </c>
      <c r="J77" s="395"/>
      <c r="K77" s="315" t="str">
        <f t="shared" si="7"/>
        <v/>
      </c>
      <c r="L77" s="390" t="str">
        <f t="shared" si="8"/>
        <v/>
      </c>
    </row>
    <row r="78" spans="1:12" ht="14.5" x14ac:dyDescent="0.35">
      <c r="A78" s="310" t="str">
        <f t="array" ref="A78">IFERROR(INDEX(productsSku, SMALL(IF(productsQty&lt;&gt;0, ROW(productsQty)-ROW('BHPC MANAGER'!$CD$10)+1), ROW(M72))), "")</f>
        <v/>
      </c>
      <c r="B78" s="311" t="str">
        <f t="array" ref="B78">IFERROR(INDEX(productsDescription, SMALL(IF(productsQty&lt;&gt;0, ROW(productsQty)-ROW('BHPC MANAGER'!$CD$10)+1), ROW(M72))), "")</f>
        <v/>
      </c>
      <c r="C78" s="312"/>
      <c r="D78" s="312"/>
      <c r="E78" s="313"/>
      <c r="F78" s="314" t="str">
        <f t="shared" si="6"/>
        <v/>
      </c>
      <c r="G78" s="314" t="str">
        <f t="array" ref="G78">IFERROR(INDEX(productsQty, SMALL(IF(productsQty&lt;&gt;0, ROW(productsQty)-ROW('BHPC MANAGER'!$CD$10)+1), ROW(M72))), "")</f>
        <v/>
      </c>
      <c r="H78" s="315" t="str">
        <f t="array" ref="H78">IFERROR(INDEX(productsSalePrice, SMALL(IF(productsQty&lt;&gt;0, ROW(productsQty)-ROW('BHPC MANAGER'!$CD$10)+1), ROW(M72))), "")</f>
        <v/>
      </c>
      <c r="I78" s="314" t="str">
        <f t="array" ref="I78">IFERROR(INDEX(productsCartons, SMALL(IF(productsQty&lt;&gt;0, ROW(productsQty)-ROW('BHPC MANAGER'!$CD$10)+1), ROW(M72))), "")</f>
        <v/>
      </c>
      <c r="J78" s="395"/>
      <c r="K78" s="315" t="str">
        <f t="shared" si="7"/>
        <v/>
      </c>
      <c r="L78" s="390" t="str">
        <f t="shared" si="8"/>
        <v/>
      </c>
    </row>
    <row r="79" spans="1:12" ht="14.5" x14ac:dyDescent="0.35">
      <c r="A79" s="310" t="str">
        <f t="array" ref="A79">IFERROR(INDEX(productsSku, SMALL(IF(productsQty&lt;&gt;0, ROW(productsQty)-ROW('BHPC MANAGER'!$CD$10)+1), ROW(M73))), "")</f>
        <v/>
      </c>
      <c r="B79" s="311" t="str">
        <f t="array" ref="B79">IFERROR(INDEX(productsDescription, SMALL(IF(productsQty&lt;&gt;0, ROW(productsQty)-ROW('BHPC MANAGER'!$CD$10)+1), ROW(M73))), "")</f>
        <v/>
      </c>
      <c r="C79" s="312"/>
      <c r="D79" s="312"/>
      <c r="E79" s="313"/>
      <c r="F79" s="314" t="str">
        <f t="shared" si="6"/>
        <v/>
      </c>
      <c r="G79" s="314" t="str">
        <f t="array" ref="G79">IFERROR(INDEX(productsQty, SMALL(IF(productsQty&lt;&gt;0, ROW(productsQty)-ROW('BHPC MANAGER'!$CD$10)+1), ROW(M73))), "")</f>
        <v/>
      </c>
      <c r="H79" s="315" t="str">
        <f t="array" ref="H79">IFERROR(INDEX(productsSalePrice, SMALL(IF(productsQty&lt;&gt;0, ROW(productsQty)-ROW('BHPC MANAGER'!$CD$10)+1), ROW(M73))), "")</f>
        <v/>
      </c>
      <c r="I79" s="314" t="str">
        <f t="array" ref="I79">IFERROR(INDEX(productsCartons, SMALL(IF(productsQty&lt;&gt;0, ROW(productsQty)-ROW('BHPC MANAGER'!$CD$10)+1), ROW(M73))), "")</f>
        <v/>
      </c>
      <c r="J79" s="395"/>
      <c r="K79" s="315" t="str">
        <f t="shared" si="7"/>
        <v/>
      </c>
      <c r="L79" s="390" t="str">
        <f t="shared" si="8"/>
        <v/>
      </c>
    </row>
    <row r="80" spans="1:12" ht="14.5" x14ac:dyDescent="0.35">
      <c r="A80" s="310" t="str">
        <f t="array" ref="A80">IFERROR(INDEX(productsSku, SMALL(IF(productsQty&lt;&gt;0, ROW(productsQty)-ROW('BHPC MANAGER'!$CD$10)+1), ROW(#REF!))), "")</f>
        <v/>
      </c>
      <c r="B80" s="311" t="str">
        <f t="array" ref="B80">IFERROR(INDEX(productsDescription, SMALL(IF(productsQty&lt;&gt;0, ROW(productsQty)-ROW('BHPC MANAGER'!$CD$10)+1), ROW(#REF!))), "")</f>
        <v/>
      </c>
      <c r="C80" s="312"/>
      <c r="D80" s="312"/>
      <c r="E80" s="313"/>
      <c r="F80" s="314" t="str">
        <f t="shared" si="6"/>
        <v/>
      </c>
      <c r="G80" s="314" t="str">
        <f t="array" ref="G80">IFERROR(INDEX(productsQty, SMALL(IF(productsQty&lt;&gt;0, ROW(productsQty)-ROW('BHPC MANAGER'!$CD$10)+1), ROW(#REF!))), "")</f>
        <v/>
      </c>
      <c r="H80" s="315" t="str">
        <f t="array" ref="H80">IFERROR(INDEX(productsSalePrice, SMALL(IF(productsQty&lt;&gt;0, ROW(productsQty)-ROW('BHPC MANAGER'!$CD$10)+1), ROW(#REF!))), "")</f>
        <v/>
      </c>
      <c r="I80" s="314" t="str">
        <f t="array" ref="I80">IFERROR(INDEX(productsCartons, SMALL(IF(productsQty&lt;&gt;0, ROW(productsQty)-ROW('BHPC MANAGER'!$CD$10)+1), ROW(#REF!))), "")</f>
        <v/>
      </c>
      <c r="J80" s="395"/>
      <c r="K80" s="315" t="str">
        <f t="shared" si="7"/>
        <v/>
      </c>
      <c r="L80" s="390" t="str">
        <f t="shared" si="8"/>
        <v/>
      </c>
    </row>
    <row r="81" spans="1:12" ht="14.5" x14ac:dyDescent="0.35">
      <c r="A81" s="310" t="str">
        <f t="array" ref="A81">IFERROR(INDEX(productsSku, SMALL(IF(productsQty&lt;&gt;0, ROW(productsQty)-ROW('BHPC MANAGER'!$CD$10)+1), ROW(#REF!))), "")</f>
        <v/>
      </c>
      <c r="B81" s="311" t="str">
        <f t="array" ref="B81">IFERROR(INDEX(productsDescription, SMALL(IF(productsQty&lt;&gt;0, ROW(productsQty)-ROW('BHPC MANAGER'!$CD$10)+1), ROW(#REF!))), "")</f>
        <v/>
      </c>
      <c r="C81" s="312"/>
      <c r="D81" s="312"/>
      <c r="E81" s="313"/>
      <c r="F81" s="314" t="str">
        <f t="shared" si="6"/>
        <v/>
      </c>
      <c r="G81" s="314" t="str">
        <f t="array" ref="G81">IFERROR(INDEX(productsQty, SMALL(IF(productsQty&lt;&gt;0, ROW(productsQty)-ROW('BHPC MANAGER'!$CD$10)+1), ROW(#REF!))), "")</f>
        <v/>
      </c>
      <c r="H81" s="315" t="str">
        <f t="array" ref="H81">IFERROR(INDEX(productsSalePrice, SMALL(IF(productsQty&lt;&gt;0, ROW(productsQty)-ROW('BHPC MANAGER'!$CD$10)+1), ROW(#REF!))), "")</f>
        <v/>
      </c>
      <c r="I81" s="314" t="str">
        <f t="array" ref="I81">IFERROR(INDEX(productsCartons, SMALL(IF(productsQty&lt;&gt;0, ROW(productsQty)-ROW('BHPC MANAGER'!$CD$10)+1), ROW(#REF!))), "")</f>
        <v/>
      </c>
      <c r="J81" s="395"/>
      <c r="K81" s="315" t="str">
        <f t="shared" si="7"/>
        <v/>
      </c>
      <c r="L81" s="390" t="str">
        <f t="shared" si="8"/>
        <v/>
      </c>
    </row>
    <row r="82" spans="1:12" ht="14.5" x14ac:dyDescent="0.35">
      <c r="A82" s="310" t="str">
        <f t="array" ref="A82">IFERROR(INDEX(productsSku, SMALL(IF(productsQty&lt;&gt;0, ROW(productsQty)-ROW('BHPC MANAGER'!$CD$10)+1), ROW(#REF!))), "")</f>
        <v/>
      </c>
      <c r="B82" s="311" t="str">
        <f t="array" ref="B82">IFERROR(INDEX(productsDescription, SMALL(IF(productsQty&lt;&gt;0, ROW(productsQty)-ROW('BHPC MANAGER'!$CD$10)+1), ROW(#REF!))), "")</f>
        <v/>
      </c>
      <c r="C82" s="312"/>
      <c r="D82" s="312"/>
      <c r="E82" s="313"/>
      <c r="F82" s="314" t="str">
        <f t="shared" si="6"/>
        <v/>
      </c>
      <c r="G82" s="314" t="str">
        <f t="array" ref="G82">IFERROR(INDEX(productsQty, SMALL(IF(productsQty&lt;&gt;0, ROW(productsQty)-ROW('BHPC MANAGER'!$CD$10)+1), ROW(#REF!))), "")</f>
        <v/>
      </c>
      <c r="H82" s="315" t="str">
        <f t="array" ref="H82">IFERROR(INDEX(productsSalePrice, SMALL(IF(productsQty&lt;&gt;0, ROW(productsQty)-ROW('BHPC MANAGER'!$CD$10)+1), ROW(#REF!))), "")</f>
        <v/>
      </c>
      <c r="I82" s="314" t="str">
        <f t="array" ref="I82">IFERROR(INDEX(productsCartons, SMALL(IF(productsQty&lt;&gt;0, ROW(productsQty)-ROW('BHPC MANAGER'!$CD$10)+1), ROW(#REF!))), "")</f>
        <v/>
      </c>
      <c r="J82" s="395"/>
      <c r="K82" s="315" t="str">
        <f t="shared" si="7"/>
        <v/>
      </c>
      <c r="L82" s="390" t="str">
        <f t="shared" si="8"/>
        <v/>
      </c>
    </row>
    <row r="83" spans="1:12" ht="14.5" x14ac:dyDescent="0.35">
      <c r="A83" s="310" t="str">
        <f t="array" ref="A83">IFERROR(INDEX(productsSku, SMALL(IF(productsQty&lt;&gt;0, ROW(productsQty)-ROW('BHPC MANAGER'!$CD$10)+1), ROW(#REF!))), "")</f>
        <v/>
      </c>
      <c r="B83" s="311" t="str">
        <f t="array" ref="B83">IFERROR(INDEX(productsDescription, SMALL(IF(productsQty&lt;&gt;0, ROW(productsQty)-ROW('BHPC MANAGER'!$CD$10)+1), ROW(#REF!))), "")</f>
        <v/>
      </c>
      <c r="C83" s="312"/>
      <c r="D83" s="312"/>
      <c r="E83" s="313"/>
      <c r="F83" s="314" t="str">
        <f t="shared" si="6"/>
        <v/>
      </c>
      <c r="G83" s="314" t="str">
        <f t="array" ref="G83">IFERROR(INDEX(productsQty, SMALL(IF(productsQty&lt;&gt;0, ROW(productsQty)-ROW('BHPC MANAGER'!$CD$10)+1), ROW(#REF!))), "")</f>
        <v/>
      </c>
      <c r="H83" s="315" t="str">
        <f t="array" ref="H83">IFERROR(INDEX(productsSalePrice, SMALL(IF(productsQty&lt;&gt;0, ROW(productsQty)-ROW('BHPC MANAGER'!$CD$10)+1), ROW(#REF!))), "")</f>
        <v/>
      </c>
      <c r="I83" s="314" t="str">
        <f t="array" ref="I83">IFERROR(INDEX(productsCartons, SMALL(IF(productsQty&lt;&gt;0, ROW(productsQty)-ROW('BHPC MANAGER'!$CD$10)+1), ROW(#REF!))), "")</f>
        <v/>
      </c>
      <c r="J83" s="395"/>
      <c r="K83" s="315" t="str">
        <f t="shared" si="7"/>
        <v/>
      </c>
      <c r="L83" s="390" t="str">
        <f t="shared" si="8"/>
        <v/>
      </c>
    </row>
    <row r="84" spans="1:12" ht="14.5" x14ac:dyDescent="0.35">
      <c r="A84" s="310" t="str">
        <f t="array" ref="A84">IFERROR(INDEX(productsSku, SMALL(IF(productsQty&lt;&gt;0, ROW(productsQty)-ROW('BHPC MANAGER'!$CD$10)+1), ROW(#REF!))), "")</f>
        <v/>
      </c>
      <c r="B84" s="311" t="str">
        <f t="array" ref="B84">IFERROR(INDEX(productsDescription, SMALL(IF(productsQty&lt;&gt;0, ROW(productsQty)-ROW('BHPC MANAGER'!$CD$10)+1), ROW(#REF!))), "")</f>
        <v/>
      </c>
      <c r="C84" s="312"/>
      <c r="D84" s="312"/>
      <c r="E84" s="313"/>
      <c r="F84" s="314" t="str">
        <f t="shared" si="6"/>
        <v/>
      </c>
      <c r="G84" s="314" t="str">
        <f t="array" ref="G84">IFERROR(INDEX(productsQty, SMALL(IF(productsQty&lt;&gt;0, ROW(productsQty)-ROW('BHPC MANAGER'!$CD$10)+1), ROW(#REF!))), "")</f>
        <v/>
      </c>
      <c r="H84" s="315" t="str">
        <f t="array" ref="H84">IFERROR(INDEX(productsSalePrice, SMALL(IF(productsQty&lt;&gt;0, ROW(productsQty)-ROW('BHPC MANAGER'!$CD$10)+1), ROW(#REF!))), "")</f>
        <v/>
      </c>
      <c r="I84" s="314" t="str">
        <f t="array" ref="I84">IFERROR(INDEX(productsCartons, SMALL(IF(productsQty&lt;&gt;0, ROW(productsQty)-ROW('BHPC MANAGER'!$CD$10)+1), ROW(#REF!))), "")</f>
        <v/>
      </c>
      <c r="J84" s="395"/>
      <c r="K84" s="315" t="str">
        <f t="shared" si="7"/>
        <v/>
      </c>
      <c r="L84" s="390" t="str">
        <f t="shared" si="8"/>
        <v/>
      </c>
    </row>
    <row r="85" spans="1:12" ht="14.5" x14ac:dyDescent="0.35">
      <c r="A85" s="310" t="str">
        <f t="array" ref="A85">IFERROR(INDEX(productsSku, SMALL(IF(productsQty&lt;&gt;0, ROW(productsQty)-ROW('BHPC MANAGER'!$CD$10)+1), ROW(#REF!))), "")</f>
        <v/>
      </c>
      <c r="B85" s="311" t="str">
        <f t="array" ref="B85">IFERROR(INDEX(productsDescription, SMALL(IF(productsQty&lt;&gt;0, ROW(productsQty)-ROW('BHPC MANAGER'!$CD$10)+1), ROW(#REF!))), "")</f>
        <v/>
      </c>
      <c r="C85" s="312"/>
      <c r="D85" s="312"/>
      <c r="E85" s="313"/>
      <c r="F85" s="314" t="str">
        <f t="shared" si="6"/>
        <v/>
      </c>
      <c r="G85" s="314" t="str">
        <f t="array" ref="G85">IFERROR(INDEX(productsQty, SMALL(IF(productsQty&lt;&gt;0, ROW(productsQty)-ROW('BHPC MANAGER'!$CD$10)+1), ROW(#REF!))), "")</f>
        <v/>
      </c>
      <c r="H85" s="315" t="str">
        <f t="array" ref="H85">IFERROR(INDEX(productsSalePrice, SMALL(IF(productsQty&lt;&gt;0, ROW(productsQty)-ROW('BHPC MANAGER'!$CD$10)+1), ROW(#REF!))), "")</f>
        <v/>
      </c>
      <c r="I85" s="314" t="str">
        <f t="array" ref="I85">IFERROR(INDEX(productsCartons, SMALL(IF(productsQty&lt;&gt;0, ROW(productsQty)-ROW('BHPC MANAGER'!$CD$10)+1), ROW(#REF!))), "")</f>
        <v/>
      </c>
      <c r="J85" s="395"/>
      <c r="K85" s="315" t="str">
        <f t="shared" si="7"/>
        <v/>
      </c>
      <c r="L85" s="390" t="str">
        <f t="shared" si="8"/>
        <v/>
      </c>
    </row>
    <row r="86" spans="1:12" ht="14.5" x14ac:dyDescent="0.35">
      <c r="A86" s="310" t="str">
        <f t="array" ref="A86">IFERROR(INDEX(productsSku, SMALL(IF(productsQty&lt;&gt;0, ROW(productsQty)-ROW('BHPC MANAGER'!$CD$10)+1), ROW(#REF!))), "")</f>
        <v/>
      </c>
      <c r="B86" s="311" t="str">
        <f t="array" ref="B86">IFERROR(INDEX(productsDescription, SMALL(IF(productsQty&lt;&gt;0, ROW(productsQty)-ROW('BHPC MANAGER'!$CD$10)+1), ROW(#REF!))), "")</f>
        <v/>
      </c>
      <c r="C86" s="312"/>
      <c r="D86" s="312"/>
      <c r="E86" s="313"/>
      <c r="F86" s="314" t="str">
        <f t="shared" si="6"/>
        <v/>
      </c>
      <c r="G86" s="314" t="str">
        <f t="array" ref="G86">IFERROR(INDEX(productsQty, SMALL(IF(productsQty&lt;&gt;0, ROW(productsQty)-ROW('BHPC MANAGER'!$CD$10)+1), ROW(#REF!))), "")</f>
        <v/>
      </c>
      <c r="H86" s="315" t="str">
        <f t="array" ref="H86">IFERROR(INDEX(productsSalePrice, SMALL(IF(productsQty&lt;&gt;0, ROW(productsQty)-ROW('BHPC MANAGER'!$CD$10)+1), ROW(#REF!))), "")</f>
        <v/>
      </c>
      <c r="I86" s="314" t="str">
        <f t="array" ref="I86">IFERROR(INDEX(productsCartons, SMALL(IF(productsQty&lt;&gt;0, ROW(productsQty)-ROW('BHPC MANAGER'!$CD$10)+1), ROW(#REF!))), "")</f>
        <v/>
      </c>
      <c r="J86" s="395"/>
      <c r="K86" s="315" t="str">
        <f t="shared" si="7"/>
        <v/>
      </c>
      <c r="L86" s="390" t="str">
        <f t="shared" si="8"/>
        <v/>
      </c>
    </row>
    <row r="87" spans="1:12" ht="14.5" x14ac:dyDescent="0.35">
      <c r="A87" s="310" t="str">
        <f t="array" ref="A87">IFERROR(INDEX(productsSku, SMALL(IF(productsQty&lt;&gt;0, ROW(productsQty)-ROW('BHPC MANAGER'!$CD$10)+1), ROW(M74))), "")</f>
        <v/>
      </c>
      <c r="B87" s="311" t="str">
        <f t="array" ref="B87">IFERROR(INDEX(productsDescription, SMALL(IF(productsQty&lt;&gt;0, ROW(productsQty)-ROW('BHPC MANAGER'!$CD$10)+1), ROW(M74))), "")</f>
        <v/>
      </c>
      <c r="C87" s="312"/>
      <c r="D87" s="312"/>
      <c r="E87" s="313"/>
      <c r="F87" s="314" t="str">
        <f t="shared" si="6"/>
        <v/>
      </c>
      <c r="G87" s="314" t="str">
        <f t="array" ref="G87">IFERROR(INDEX(productsQty, SMALL(IF(productsQty&lt;&gt;0, ROW(productsQty)-ROW('BHPC MANAGER'!$CD$10)+1), ROW(M74))), "")</f>
        <v/>
      </c>
      <c r="H87" s="315" t="str">
        <f t="array" ref="H87">IFERROR(INDEX(productsSalePrice, SMALL(IF(productsQty&lt;&gt;0, ROW(productsQty)-ROW('BHPC MANAGER'!$CD$10)+1), ROW(M74))), "")</f>
        <v/>
      </c>
      <c r="I87" s="314" t="str">
        <f t="array" ref="I87">IFERROR(INDEX(productsCartons, SMALL(IF(productsQty&lt;&gt;0, ROW(productsQty)-ROW('BHPC MANAGER'!$CD$10)+1), ROW(M74))), "")</f>
        <v/>
      </c>
      <c r="J87" s="395"/>
      <c r="K87" s="315" t="str">
        <f t="shared" si="7"/>
        <v/>
      </c>
      <c r="L87" s="390" t="str">
        <f t="shared" si="8"/>
        <v/>
      </c>
    </row>
    <row r="88" spans="1:12" ht="14.5" x14ac:dyDescent="0.35">
      <c r="A88" s="310" t="str">
        <f t="array" ref="A88">IFERROR(INDEX(productsSku, SMALL(IF(productsQty&lt;&gt;0, ROW(productsQty)-ROW('BHPC MANAGER'!$CD$10)+1), ROW(M75))), "")</f>
        <v/>
      </c>
      <c r="B88" s="311" t="str">
        <f t="array" ref="B88">IFERROR(INDEX(productsDescription, SMALL(IF(productsQty&lt;&gt;0, ROW(productsQty)-ROW('BHPC MANAGER'!$CD$10)+1), ROW(M75))), "")</f>
        <v/>
      </c>
      <c r="C88" s="312"/>
      <c r="D88" s="312"/>
      <c r="E88" s="313"/>
      <c r="F88" s="314" t="str">
        <f t="shared" si="6"/>
        <v/>
      </c>
      <c r="G88" s="314" t="str">
        <f t="array" ref="G88">IFERROR(INDEX(productsQty, SMALL(IF(productsQty&lt;&gt;0, ROW(productsQty)-ROW('BHPC MANAGER'!$CD$10)+1), ROW(M75))), "")</f>
        <v/>
      </c>
      <c r="H88" s="315" t="str">
        <f t="array" ref="H88">IFERROR(INDEX(productsSalePrice, SMALL(IF(productsQty&lt;&gt;0, ROW(productsQty)-ROW('BHPC MANAGER'!$CD$10)+1), ROW(M75))), "")</f>
        <v/>
      </c>
      <c r="I88" s="314" t="str">
        <f t="array" ref="I88">IFERROR(INDEX(productsCartons, SMALL(IF(productsQty&lt;&gt;0, ROW(productsQty)-ROW('BHPC MANAGER'!$CD$10)+1), ROW(M75))), "")</f>
        <v/>
      </c>
      <c r="J88" s="395"/>
      <c r="K88" s="315" t="str">
        <f t="shared" si="7"/>
        <v/>
      </c>
      <c r="L88" s="390" t="str">
        <f t="shared" si="8"/>
        <v/>
      </c>
    </row>
    <row r="89" spans="1:12" ht="14.5" x14ac:dyDescent="0.35">
      <c r="A89" s="310" t="str">
        <f t="array" ref="A89">IFERROR(INDEX(productsSku, SMALL(IF(productsQty&lt;&gt;0, ROW(productsQty)-ROW('BHPC MANAGER'!$CD$10)+1), ROW(M76))), "")</f>
        <v/>
      </c>
      <c r="B89" s="311" t="str">
        <f t="array" ref="B89">IFERROR(INDEX(productsDescription, SMALL(IF(productsQty&lt;&gt;0, ROW(productsQty)-ROW('BHPC MANAGER'!$CD$10)+1), ROW(M76))), "")</f>
        <v/>
      </c>
      <c r="C89" s="312"/>
      <c r="D89" s="312"/>
      <c r="E89" s="313"/>
      <c r="F89" s="314" t="str">
        <f t="shared" si="6"/>
        <v/>
      </c>
      <c r="G89" s="314" t="str">
        <f t="array" ref="G89">IFERROR(INDEX(productsQty, SMALL(IF(productsQty&lt;&gt;0, ROW(productsQty)-ROW('BHPC MANAGER'!$CD$10)+1), ROW(M76))), "")</f>
        <v/>
      </c>
      <c r="H89" s="315" t="str">
        <f t="array" ref="H89">IFERROR(INDEX(productsSalePrice, SMALL(IF(productsQty&lt;&gt;0, ROW(productsQty)-ROW('BHPC MANAGER'!$CD$10)+1), ROW(M76))), "")</f>
        <v/>
      </c>
      <c r="I89" s="314" t="str">
        <f t="array" ref="I89">IFERROR(INDEX(productsCartons, SMALL(IF(productsQty&lt;&gt;0, ROW(productsQty)-ROW('BHPC MANAGER'!$CD$10)+1), ROW(M76))), "")</f>
        <v/>
      </c>
      <c r="J89" s="395"/>
      <c r="K89" s="315" t="str">
        <f t="shared" si="7"/>
        <v/>
      </c>
      <c r="L89" s="390" t="str">
        <f t="shared" si="8"/>
        <v/>
      </c>
    </row>
    <row r="90" spans="1:12" ht="14.5" x14ac:dyDescent="0.35">
      <c r="A90" s="310" t="str">
        <f t="array" ref="A90">IFERROR(INDEX(productsSku, SMALL(IF(productsQty&lt;&gt;0, ROW(productsQty)-ROW('BHPC MANAGER'!$CD$10)+1), ROW(M77))), "")</f>
        <v/>
      </c>
      <c r="B90" s="311" t="str">
        <f t="array" ref="B90">IFERROR(INDEX(productsDescription, SMALL(IF(productsQty&lt;&gt;0, ROW(productsQty)-ROW('BHPC MANAGER'!$CD$10)+1), ROW(M77))), "")</f>
        <v/>
      </c>
      <c r="C90" s="312"/>
      <c r="D90" s="312"/>
      <c r="E90" s="313"/>
      <c r="F90" s="314" t="str">
        <f t="shared" si="6"/>
        <v/>
      </c>
      <c r="G90" s="314" t="str">
        <f t="array" ref="G90">IFERROR(INDEX(productsQty, SMALL(IF(productsQty&lt;&gt;0, ROW(productsQty)-ROW('BHPC MANAGER'!$CD$10)+1), ROW(M77))), "")</f>
        <v/>
      </c>
      <c r="H90" s="315" t="str">
        <f t="array" ref="H90">IFERROR(INDEX(productsSalePrice, SMALL(IF(productsQty&lt;&gt;0, ROW(productsQty)-ROW('BHPC MANAGER'!$CD$10)+1), ROW(M77))), "")</f>
        <v/>
      </c>
      <c r="I90" s="314" t="str">
        <f t="array" ref="I90">IFERROR(INDEX(productsCartons, SMALL(IF(productsQty&lt;&gt;0, ROW(productsQty)-ROW('BHPC MANAGER'!$CD$10)+1), ROW(M77))), "")</f>
        <v/>
      </c>
      <c r="J90" s="395"/>
      <c r="K90" s="315" t="str">
        <f t="shared" si="7"/>
        <v/>
      </c>
      <c r="L90" s="390" t="str">
        <f t="shared" si="8"/>
        <v/>
      </c>
    </row>
    <row r="91" spans="1:12" ht="14.5" x14ac:dyDescent="0.35">
      <c r="A91" s="310" t="str">
        <f t="array" ref="A91">IFERROR(INDEX(productsSku, SMALL(IF(productsQty&lt;&gt;0, ROW(productsQty)-ROW('BHPC MANAGER'!$CD$10)+1), ROW(M78))), "")</f>
        <v/>
      </c>
      <c r="B91" s="311" t="str">
        <f t="array" ref="B91">IFERROR(INDEX(productsDescription, SMALL(IF(productsQty&lt;&gt;0, ROW(productsQty)-ROW('BHPC MANAGER'!$CD$10)+1), ROW(M78))), "")</f>
        <v/>
      </c>
      <c r="C91" s="312"/>
      <c r="D91" s="312"/>
      <c r="E91" s="313"/>
      <c r="F91" s="314" t="str">
        <f t="shared" si="6"/>
        <v/>
      </c>
      <c r="G91" s="314" t="str">
        <f t="array" ref="G91">IFERROR(INDEX(productsQty, SMALL(IF(productsQty&lt;&gt;0, ROW(productsQty)-ROW('BHPC MANAGER'!$CD$10)+1), ROW(M78))), "")</f>
        <v/>
      </c>
      <c r="H91" s="315" t="str">
        <f t="array" ref="H91">IFERROR(INDEX(productsSalePrice, SMALL(IF(productsQty&lt;&gt;0, ROW(productsQty)-ROW('BHPC MANAGER'!$CD$10)+1), ROW(M78))), "")</f>
        <v/>
      </c>
      <c r="I91" s="314" t="str">
        <f t="array" ref="I91">IFERROR(INDEX(productsCartons, SMALL(IF(productsQty&lt;&gt;0, ROW(productsQty)-ROW('BHPC MANAGER'!$CD$10)+1), ROW(M78))), "")</f>
        <v/>
      </c>
      <c r="J91" s="395"/>
      <c r="K91" s="315" t="str">
        <f t="shared" si="7"/>
        <v/>
      </c>
      <c r="L91" s="390" t="str">
        <f t="shared" si="8"/>
        <v/>
      </c>
    </row>
    <row r="92" spans="1:12" ht="14.5" x14ac:dyDescent="0.35">
      <c r="A92" s="310" t="str">
        <f t="array" ref="A92">IFERROR(INDEX(productsSku, SMALL(IF(productsQty&lt;&gt;0, ROW(productsQty)-ROW('BHPC MANAGER'!$CD$10)+1), ROW(M79))), "")</f>
        <v/>
      </c>
      <c r="B92" s="311" t="str">
        <f t="array" ref="B92">IFERROR(INDEX(productsDescription, SMALL(IF(productsQty&lt;&gt;0, ROW(productsQty)-ROW('BHPC MANAGER'!$CD$10)+1), ROW(M79))), "")</f>
        <v/>
      </c>
      <c r="C92" s="312"/>
      <c r="D92" s="312"/>
      <c r="E92" s="313"/>
      <c r="F92" s="314" t="str">
        <f t="shared" si="6"/>
        <v/>
      </c>
      <c r="G92" s="314" t="str">
        <f t="array" ref="G92">IFERROR(INDEX(productsQty, SMALL(IF(productsQty&lt;&gt;0, ROW(productsQty)-ROW('BHPC MANAGER'!$CD$10)+1), ROW(M79))), "")</f>
        <v/>
      </c>
      <c r="H92" s="315" t="str">
        <f t="array" ref="H92">IFERROR(INDEX(productsSalePrice, SMALL(IF(productsQty&lt;&gt;0, ROW(productsQty)-ROW('BHPC MANAGER'!$CD$10)+1), ROW(M79))), "")</f>
        <v/>
      </c>
      <c r="I92" s="314" t="str">
        <f t="array" ref="I92">IFERROR(INDEX(productsCartons, SMALL(IF(productsQty&lt;&gt;0, ROW(productsQty)-ROW('BHPC MANAGER'!$CD$10)+1), ROW(M79))), "")</f>
        <v/>
      </c>
      <c r="J92" s="395"/>
      <c r="K92" s="315" t="str">
        <f t="shared" si="7"/>
        <v/>
      </c>
      <c r="L92" s="390" t="str">
        <f t="shared" si="8"/>
        <v/>
      </c>
    </row>
    <row r="93" spans="1:12" ht="14.5" x14ac:dyDescent="0.35">
      <c r="A93" s="310" t="str">
        <f t="array" ref="A93">IFERROR(INDEX(productsSku, SMALL(IF(productsQty&lt;&gt;0, ROW(productsQty)-ROW('BHPC MANAGER'!$CD$10)+1), ROW(M80))), "")</f>
        <v/>
      </c>
      <c r="B93" s="311" t="str">
        <f t="array" ref="B93">IFERROR(INDEX(productsDescription, SMALL(IF(productsQty&lt;&gt;0, ROW(productsQty)-ROW('BHPC MANAGER'!$CD$10)+1), ROW(M80))), "")</f>
        <v/>
      </c>
      <c r="C93" s="312"/>
      <c r="D93" s="312"/>
      <c r="E93" s="313"/>
      <c r="F93" s="314" t="str">
        <f t="shared" si="6"/>
        <v/>
      </c>
      <c r="G93" s="314" t="str">
        <f t="array" ref="G93">IFERROR(INDEX(productsQty, SMALL(IF(productsQty&lt;&gt;0, ROW(productsQty)-ROW('BHPC MANAGER'!$CD$10)+1), ROW(M80))), "")</f>
        <v/>
      </c>
      <c r="H93" s="315" t="str">
        <f t="array" ref="H93">IFERROR(INDEX(productsSalePrice, SMALL(IF(productsQty&lt;&gt;0, ROW(productsQty)-ROW('BHPC MANAGER'!$CD$10)+1), ROW(M80))), "")</f>
        <v/>
      </c>
      <c r="I93" s="314" t="str">
        <f t="array" ref="I93">IFERROR(INDEX(productsCartons, SMALL(IF(productsQty&lt;&gt;0, ROW(productsQty)-ROW('BHPC MANAGER'!$CD$10)+1), ROW(M80))), "")</f>
        <v/>
      </c>
      <c r="J93" s="395"/>
      <c r="K93" s="315" t="str">
        <f t="shared" si="7"/>
        <v/>
      </c>
      <c r="L93" s="390" t="str">
        <f t="shared" si="8"/>
        <v/>
      </c>
    </row>
    <row r="94" spans="1:12" ht="14.5" x14ac:dyDescent="0.35">
      <c r="A94" s="310" t="str">
        <f t="array" ref="A94">IFERROR(INDEX(productsSku, SMALL(IF(productsQty&lt;&gt;0, ROW(productsQty)-ROW('BHPC MANAGER'!$CD$10)+1), ROW(M81))), "")</f>
        <v/>
      </c>
      <c r="B94" s="311" t="str">
        <f t="array" ref="B94">IFERROR(INDEX(productsDescription, SMALL(IF(productsQty&lt;&gt;0, ROW(productsQty)-ROW('BHPC MANAGER'!$CD$10)+1), ROW(M81))), "")</f>
        <v/>
      </c>
      <c r="C94" s="312"/>
      <c r="D94" s="312"/>
      <c r="E94" s="313"/>
      <c r="F94" s="314" t="str">
        <f t="shared" si="6"/>
        <v/>
      </c>
      <c r="G94" s="314" t="str">
        <f t="array" ref="G94">IFERROR(INDEX(productsQty, SMALL(IF(productsQty&lt;&gt;0, ROW(productsQty)-ROW('BHPC MANAGER'!$CD$10)+1), ROW(M81))), "")</f>
        <v/>
      </c>
      <c r="H94" s="315" t="str">
        <f t="array" ref="H94">IFERROR(INDEX(productsSalePrice, SMALL(IF(productsQty&lt;&gt;0, ROW(productsQty)-ROW('BHPC MANAGER'!$CD$10)+1), ROW(M81))), "")</f>
        <v/>
      </c>
      <c r="I94" s="314" t="str">
        <f t="array" ref="I94">IFERROR(INDEX(productsCartons, SMALL(IF(productsQty&lt;&gt;0, ROW(productsQty)-ROW('BHPC MANAGER'!$CD$10)+1), ROW(M81))), "")</f>
        <v/>
      </c>
      <c r="J94" s="395"/>
      <c r="K94" s="315" t="str">
        <f t="shared" si="7"/>
        <v/>
      </c>
      <c r="L94" s="390" t="str">
        <f t="shared" si="8"/>
        <v/>
      </c>
    </row>
    <row r="95" spans="1:12" ht="14.5" x14ac:dyDescent="0.35">
      <c r="A95" s="310" t="str">
        <f t="array" ref="A95">IFERROR(INDEX(productsSku, SMALL(IF(productsQty&lt;&gt;0, ROW(productsQty)-ROW('BHPC MANAGER'!$CD$10)+1), ROW(M82))), "")</f>
        <v/>
      </c>
      <c r="B95" s="311" t="str">
        <f t="array" ref="B95">IFERROR(INDEX(productsDescription, SMALL(IF(productsQty&lt;&gt;0, ROW(productsQty)-ROW('BHPC MANAGER'!$CD$10)+1), ROW(M82))), "")</f>
        <v/>
      </c>
      <c r="C95" s="312"/>
      <c r="D95" s="312"/>
      <c r="E95" s="313"/>
      <c r="F95" s="314" t="str">
        <f t="shared" si="6"/>
        <v/>
      </c>
      <c r="G95" s="314" t="str">
        <f t="array" ref="G95">IFERROR(INDEX(productsQty, SMALL(IF(productsQty&lt;&gt;0, ROW(productsQty)-ROW('BHPC MANAGER'!$CD$10)+1), ROW(M82))), "")</f>
        <v/>
      </c>
      <c r="H95" s="315" t="str">
        <f t="array" ref="H95">IFERROR(INDEX(productsSalePrice, SMALL(IF(productsQty&lt;&gt;0, ROW(productsQty)-ROW('BHPC MANAGER'!$CD$10)+1), ROW(M82))), "")</f>
        <v/>
      </c>
      <c r="I95" s="314" t="str">
        <f t="array" ref="I95">IFERROR(INDEX(productsCartons, SMALL(IF(productsQty&lt;&gt;0, ROW(productsQty)-ROW('BHPC MANAGER'!$CD$10)+1), ROW(M82))), "")</f>
        <v/>
      </c>
      <c r="J95" s="395"/>
      <c r="K95" s="315" t="str">
        <f t="shared" si="7"/>
        <v/>
      </c>
      <c r="L95" s="390" t="str">
        <f t="shared" si="8"/>
        <v/>
      </c>
    </row>
    <row r="96" spans="1:12" ht="14.5" x14ac:dyDescent="0.35">
      <c r="A96" s="310" t="str">
        <f t="array" ref="A96">IFERROR(INDEX(productsSku, SMALL(IF(productsQty&lt;&gt;0, ROW(productsQty)-ROW('BHPC MANAGER'!$CD$10)+1), ROW(M83))), "")</f>
        <v/>
      </c>
      <c r="B96" s="311" t="str">
        <f t="array" ref="B96">IFERROR(INDEX(productsDescription, SMALL(IF(productsQty&lt;&gt;0, ROW(productsQty)-ROW('BHPC MANAGER'!$CD$10)+1), ROW(M83))), "")</f>
        <v/>
      </c>
      <c r="C96" s="312"/>
      <c r="D96" s="312"/>
      <c r="E96" s="313"/>
      <c r="F96" s="314" t="str">
        <f t="shared" si="6"/>
        <v/>
      </c>
      <c r="G96" s="314" t="str">
        <f t="array" ref="G96">IFERROR(INDEX(productsQty, SMALL(IF(productsQty&lt;&gt;0, ROW(productsQty)-ROW('BHPC MANAGER'!$CD$10)+1), ROW(M83))), "")</f>
        <v/>
      </c>
      <c r="H96" s="315" t="str">
        <f t="array" ref="H96">IFERROR(INDEX(productsSalePrice, SMALL(IF(productsQty&lt;&gt;0, ROW(productsQty)-ROW('BHPC MANAGER'!$CD$10)+1), ROW(M83))), "")</f>
        <v/>
      </c>
      <c r="I96" s="314" t="str">
        <f t="array" ref="I96">IFERROR(INDEX(productsCartons, SMALL(IF(productsQty&lt;&gt;0, ROW(productsQty)-ROW('BHPC MANAGER'!$CD$10)+1), ROW(M83))), "")</f>
        <v/>
      </c>
      <c r="J96" s="395"/>
      <c r="K96" s="315" t="str">
        <f t="shared" si="7"/>
        <v/>
      </c>
      <c r="L96" s="390" t="str">
        <f t="shared" si="8"/>
        <v/>
      </c>
    </row>
    <row r="97" spans="1:12" ht="14.5" x14ac:dyDescent="0.35">
      <c r="A97" s="310" t="str">
        <f t="array" ref="A97">IFERROR(INDEX(productsSku, SMALL(IF(productsQty&lt;&gt;0, ROW(productsQty)-ROW('BHPC MANAGER'!$CD$10)+1), ROW(M84))), "")</f>
        <v/>
      </c>
      <c r="B97" s="311" t="str">
        <f t="array" ref="B97">IFERROR(INDEX(productsDescription, SMALL(IF(productsQty&lt;&gt;0, ROW(productsQty)-ROW('BHPC MANAGER'!$CD$10)+1), ROW(M84))), "")</f>
        <v/>
      </c>
      <c r="C97" s="312"/>
      <c r="D97" s="312"/>
      <c r="E97" s="313"/>
      <c r="F97" s="314" t="str">
        <f t="shared" si="6"/>
        <v/>
      </c>
      <c r="G97" s="314" t="str">
        <f t="array" ref="G97">IFERROR(INDEX(productsQty, SMALL(IF(productsQty&lt;&gt;0, ROW(productsQty)-ROW('BHPC MANAGER'!$CD$10)+1), ROW(M84))), "")</f>
        <v/>
      </c>
      <c r="H97" s="315" t="str">
        <f t="array" ref="H97">IFERROR(INDEX(productsSalePrice, SMALL(IF(productsQty&lt;&gt;0, ROW(productsQty)-ROW('BHPC MANAGER'!$CD$10)+1), ROW(M84))), "")</f>
        <v/>
      </c>
      <c r="I97" s="314" t="str">
        <f t="array" ref="I97">IFERROR(INDEX(productsCartons, SMALL(IF(productsQty&lt;&gt;0, ROW(productsQty)-ROW('BHPC MANAGER'!$CD$10)+1), ROW(M84))), "")</f>
        <v/>
      </c>
      <c r="J97" s="395"/>
      <c r="K97" s="315" t="str">
        <f t="shared" si="7"/>
        <v/>
      </c>
      <c r="L97" s="390" t="str">
        <f t="shared" si="8"/>
        <v/>
      </c>
    </row>
    <row r="98" spans="1:12" ht="14.5" x14ac:dyDescent="0.35">
      <c r="A98" s="310" t="str">
        <f t="array" ref="A98">IFERROR(INDEX(productsSku, SMALL(IF(productsQty&lt;&gt;0, ROW(productsQty)-ROW('BHPC MANAGER'!$CD$10)+1), ROW(M85))), "")</f>
        <v/>
      </c>
      <c r="B98" s="311" t="str">
        <f t="array" ref="B98">IFERROR(INDEX(productsDescription, SMALL(IF(productsQty&lt;&gt;0, ROW(productsQty)-ROW('BHPC MANAGER'!$CD$10)+1), ROW(M85))), "")</f>
        <v/>
      </c>
      <c r="C98" s="312"/>
      <c r="D98" s="312"/>
      <c r="E98" s="313"/>
      <c r="F98" s="314" t="str">
        <f t="shared" si="6"/>
        <v/>
      </c>
      <c r="G98" s="314" t="str">
        <f t="array" ref="G98">IFERROR(INDEX(productsQty, SMALL(IF(productsQty&lt;&gt;0, ROW(productsQty)-ROW('BHPC MANAGER'!$CD$10)+1), ROW(M85))), "")</f>
        <v/>
      </c>
      <c r="H98" s="315" t="str">
        <f t="array" ref="H98">IFERROR(INDEX(productsSalePrice, SMALL(IF(productsQty&lt;&gt;0, ROW(productsQty)-ROW('BHPC MANAGER'!$CD$10)+1), ROW(M85))), "")</f>
        <v/>
      </c>
      <c r="I98" s="314" t="str">
        <f t="array" ref="I98">IFERROR(INDEX(productsCartons, SMALL(IF(productsQty&lt;&gt;0, ROW(productsQty)-ROW('BHPC MANAGER'!$CD$10)+1), ROW(M85))), "")</f>
        <v/>
      </c>
      <c r="J98" s="395"/>
      <c r="K98" s="315" t="str">
        <f t="shared" si="7"/>
        <v/>
      </c>
      <c r="L98" s="390" t="str">
        <f t="shared" si="8"/>
        <v/>
      </c>
    </row>
    <row r="99" spans="1:12" ht="14.5" x14ac:dyDescent="0.35">
      <c r="A99" s="310" t="str">
        <f t="array" ref="A99">IFERROR(INDEX(productsSku, SMALL(IF(productsQty&lt;&gt;0, ROW(productsQty)-ROW('BHPC MANAGER'!$CD$10)+1), ROW(M86))), "")</f>
        <v/>
      </c>
      <c r="B99" s="311" t="str">
        <f t="array" ref="B99">IFERROR(INDEX(productsDescription, SMALL(IF(productsQty&lt;&gt;0, ROW(productsQty)-ROW('BHPC MANAGER'!$CD$10)+1), ROW(M86))), "")</f>
        <v/>
      </c>
      <c r="C99" s="312"/>
      <c r="D99" s="312"/>
      <c r="E99" s="313"/>
      <c r="F99" s="314" t="str">
        <f t="shared" si="6"/>
        <v/>
      </c>
      <c r="G99" s="314" t="str">
        <f t="array" ref="G99">IFERROR(INDEX(productsQty, SMALL(IF(productsQty&lt;&gt;0, ROW(productsQty)-ROW('BHPC MANAGER'!$CD$10)+1), ROW(M86))), "")</f>
        <v/>
      </c>
      <c r="H99" s="315" t="str">
        <f t="array" ref="H99">IFERROR(INDEX(productsSalePrice, SMALL(IF(productsQty&lt;&gt;0, ROW(productsQty)-ROW('BHPC MANAGER'!$CD$10)+1), ROW(M86))), "")</f>
        <v/>
      </c>
      <c r="I99" s="314" t="str">
        <f t="array" ref="I99">IFERROR(INDEX(productsCartons, SMALL(IF(productsQty&lt;&gt;0, ROW(productsQty)-ROW('BHPC MANAGER'!$CD$10)+1), ROW(M86))), "")</f>
        <v/>
      </c>
      <c r="J99" s="395"/>
      <c r="K99" s="315" t="str">
        <f t="shared" si="7"/>
        <v/>
      </c>
      <c r="L99" s="390" t="str">
        <f t="shared" si="8"/>
        <v/>
      </c>
    </row>
    <row r="100" spans="1:12" ht="14.5" x14ac:dyDescent="0.35">
      <c r="A100" s="310" t="str">
        <f t="array" ref="A100">IFERROR(INDEX(productsSku, SMALL(IF(productsQty&lt;&gt;0, ROW(productsQty)-ROW('BHPC MANAGER'!$CD$10)+1), ROW(M87))), "")</f>
        <v/>
      </c>
      <c r="B100" s="311" t="str">
        <f t="array" ref="B100">IFERROR(INDEX(productsDescription, SMALL(IF(productsQty&lt;&gt;0, ROW(productsQty)-ROW('BHPC MANAGER'!$CD$10)+1), ROW(M87))), "")</f>
        <v/>
      </c>
      <c r="C100" s="312"/>
      <c r="D100" s="312"/>
      <c r="E100" s="313"/>
      <c r="F100" s="314" t="str">
        <f t="shared" si="6"/>
        <v/>
      </c>
      <c r="G100" s="314" t="str">
        <f t="array" ref="G100">IFERROR(INDEX(productsQty, SMALL(IF(productsQty&lt;&gt;0, ROW(productsQty)-ROW('BHPC MANAGER'!$CD$10)+1), ROW(M87))), "")</f>
        <v/>
      </c>
      <c r="H100" s="315" t="str">
        <f t="array" ref="H100">IFERROR(INDEX(productsSalePrice, SMALL(IF(productsQty&lt;&gt;0, ROW(productsQty)-ROW('BHPC MANAGER'!$CD$10)+1), ROW(M87))), "")</f>
        <v/>
      </c>
      <c r="I100" s="314" t="str">
        <f t="array" ref="I100">IFERROR(INDEX(productsCartons, SMALL(IF(productsQty&lt;&gt;0, ROW(productsQty)-ROW('BHPC MANAGER'!$CD$10)+1), ROW(M87))), "")</f>
        <v/>
      </c>
      <c r="J100" s="395"/>
      <c r="K100" s="315" t="str">
        <f t="shared" si="7"/>
        <v/>
      </c>
      <c r="L100" s="390" t="str">
        <f t="shared" si="8"/>
        <v/>
      </c>
    </row>
    <row r="101" spans="1:12" ht="14.5" x14ac:dyDescent="0.35">
      <c r="A101" s="310" t="str">
        <f t="array" ref="A101">IFERROR(INDEX(productsSku, SMALL(IF(productsQty&lt;&gt;0, ROW(productsQty)-ROW('BHPC MANAGER'!$CD$10)+1), ROW(M88))), "")</f>
        <v/>
      </c>
      <c r="B101" s="311" t="str">
        <f t="array" ref="B101">IFERROR(INDEX(productsDescription, SMALL(IF(productsQty&lt;&gt;0, ROW(productsQty)-ROW('BHPC MANAGER'!$CD$10)+1), ROW(M88))), "")</f>
        <v/>
      </c>
      <c r="C101" s="312"/>
      <c r="D101" s="312"/>
      <c r="E101" s="313"/>
      <c r="F101" s="314" t="str">
        <f t="shared" si="6"/>
        <v/>
      </c>
      <c r="G101" s="314" t="str">
        <f t="array" ref="G101">IFERROR(INDEX(productsQty, SMALL(IF(productsQty&lt;&gt;0, ROW(productsQty)-ROW('BHPC MANAGER'!$CD$10)+1), ROW(M88))), "")</f>
        <v/>
      </c>
      <c r="H101" s="315" t="str">
        <f t="array" ref="H101">IFERROR(INDEX(productsSalePrice, SMALL(IF(productsQty&lt;&gt;0, ROW(productsQty)-ROW('BHPC MANAGER'!$CD$10)+1), ROW(M88))), "")</f>
        <v/>
      </c>
      <c r="I101" s="314" t="str">
        <f t="array" ref="I101">IFERROR(INDEX(productsCartons, SMALL(IF(productsQty&lt;&gt;0, ROW(productsQty)-ROW('BHPC MANAGER'!$CD$10)+1), ROW(M88))), "")</f>
        <v/>
      </c>
      <c r="J101" s="395"/>
      <c r="K101" s="315" t="str">
        <f t="shared" si="7"/>
        <v/>
      </c>
      <c r="L101" s="390" t="str">
        <f t="shared" si="8"/>
        <v/>
      </c>
    </row>
    <row r="102" spans="1:12" ht="14.5" x14ac:dyDescent="0.35">
      <c r="A102" s="310" t="str">
        <f t="array" ref="A102">IFERROR(INDEX(productsSku, SMALL(IF(productsQty&lt;&gt;0, ROW(productsQty)-ROW('BHPC MANAGER'!$CD$10)+1), ROW(M89))), "")</f>
        <v/>
      </c>
      <c r="B102" s="311" t="str">
        <f t="array" ref="B102">IFERROR(INDEX(productsDescription, SMALL(IF(productsQty&lt;&gt;0, ROW(productsQty)-ROW('BHPC MANAGER'!$CD$10)+1), ROW(M89))), "")</f>
        <v/>
      </c>
      <c r="C102" s="312"/>
      <c r="D102" s="312"/>
      <c r="E102" s="313"/>
      <c r="F102" s="314" t="str">
        <f t="shared" si="6"/>
        <v/>
      </c>
      <c r="G102" s="314" t="str">
        <f t="array" ref="G102">IFERROR(INDEX(productsQty, SMALL(IF(productsQty&lt;&gt;0, ROW(productsQty)-ROW('BHPC MANAGER'!$CD$10)+1), ROW(M89))), "")</f>
        <v/>
      </c>
      <c r="H102" s="315" t="str">
        <f t="array" ref="H102">IFERROR(INDEX(productsSalePrice, SMALL(IF(productsQty&lt;&gt;0, ROW(productsQty)-ROW('BHPC MANAGER'!$CD$10)+1), ROW(M89))), "")</f>
        <v/>
      </c>
      <c r="I102" s="314" t="str">
        <f t="array" ref="I102">IFERROR(INDEX(productsCartons, SMALL(IF(productsQty&lt;&gt;0, ROW(productsQty)-ROW('BHPC MANAGER'!$CD$10)+1), ROW(M89))), "")</f>
        <v/>
      </c>
      <c r="J102" s="395"/>
      <c r="K102" s="315" t="str">
        <f t="shared" si="7"/>
        <v/>
      </c>
      <c r="L102" s="390" t="str">
        <f t="shared" si="8"/>
        <v/>
      </c>
    </row>
    <row r="103" spans="1:12" ht="14.5" x14ac:dyDescent="0.35">
      <c r="A103" s="310" t="str">
        <f t="array" ref="A103">IFERROR(INDEX(productsSku, SMALL(IF(productsQty&lt;&gt;0, ROW(productsQty)-ROW('BHPC MANAGER'!$CD$10)+1), ROW(M90))), "")</f>
        <v/>
      </c>
      <c r="B103" s="311" t="str">
        <f t="array" ref="B103">IFERROR(INDEX(productsDescription, SMALL(IF(productsQty&lt;&gt;0, ROW(productsQty)-ROW('BHPC MANAGER'!$CD$10)+1), ROW(M90))), "")</f>
        <v/>
      </c>
      <c r="C103" s="312"/>
      <c r="D103" s="312"/>
      <c r="E103" s="313"/>
      <c r="F103" s="314" t="str">
        <f t="shared" si="6"/>
        <v/>
      </c>
      <c r="G103" s="314" t="str">
        <f t="array" ref="G103">IFERROR(INDEX(productsQty, SMALL(IF(productsQty&lt;&gt;0, ROW(productsQty)-ROW('BHPC MANAGER'!$CD$10)+1), ROW(M90))), "")</f>
        <v/>
      </c>
      <c r="H103" s="315" t="str">
        <f t="array" ref="H103">IFERROR(INDEX(productsSalePrice, SMALL(IF(productsQty&lt;&gt;0, ROW(productsQty)-ROW('BHPC MANAGER'!$CD$10)+1), ROW(M90))), "")</f>
        <v/>
      </c>
      <c r="I103" s="314" t="str">
        <f t="array" ref="I103">IFERROR(INDEX(productsCartons, SMALL(IF(productsQty&lt;&gt;0, ROW(productsQty)-ROW('BHPC MANAGER'!$CD$10)+1), ROW(M90))), "")</f>
        <v/>
      </c>
      <c r="J103" s="395"/>
      <c r="K103" s="315" t="str">
        <f t="shared" si="7"/>
        <v/>
      </c>
      <c r="L103" s="390" t="str">
        <f t="shared" si="8"/>
        <v/>
      </c>
    </row>
    <row r="104" spans="1:12" ht="14.5" x14ac:dyDescent="0.35">
      <c r="A104" s="310" t="str">
        <f t="array" ref="A104">IFERROR(INDEX(productsSku, SMALL(IF(productsQty&lt;&gt;0, ROW(productsQty)-ROW('BHPC MANAGER'!$CD$10)+1), ROW(M91))), "")</f>
        <v/>
      </c>
      <c r="B104" s="311" t="str">
        <f t="array" ref="B104">IFERROR(INDEX(productsDescription, SMALL(IF(productsQty&lt;&gt;0, ROW(productsQty)-ROW('BHPC MANAGER'!$CD$10)+1), ROW(M91))), "")</f>
        <v/>
      </c>
      <c r="C104" s="312"/>
      <c r="D104" s="312"/>
      <c r="E104" s="313"/>
      <c r="F104" s="314" t="str">
        <f t="shared" si="6"/>
        <v/>
      </c>
      <c r="G104" s="314" t="str">
        <f t="array" ref="G104">IFERROR(INDEX(productsQty, SMALL(IF(productsQty&lt;&gt;0, ROW(productsQty)-ROW('BHPC MANAGER'!$CD$10)+1), ROW(M91))), "")</f>
        <v/>
      </c>
      <c r="H104" s="315" t="str">
        <f t="array" ref="H104">IFERROR(INDEX(productsSalePrice, SMALL(IF(productsQty&lt;&gt;0, ROW(productsQty)-ROW('BHPC MANAGER'!$CD$10)+1), ROW(M91))), "")</f>
        <v/>
      </c>
      <c r="I104" s="314" t="str">
        <f t="array" ref="I104">IFERROR(INDEX(productsCartons, SMALL(IF(productsQty&lt;&gt;0, ROW(productsQty)-ROW('BHPC MANAGER'!$CD$10)+1), ROW(M91))), "")</f>
        <v/>
      </c>
      <c r="J104" s="395"/>
      <c r="K104" s="315" t="str">
        <f t="shared" si="7"/>
        <v/>
      </c>
      <c r="L104" s="390" t="str">
        <f t="shared" si="8"/>
        <v/>
      </c>
    </row>
    <row r="105" spans="1:12" ht="14.5" x14ac:dyDescent="0.35">
      <c r="A105" s="310" t="str">
        <f t="array" ref="A105">IFERROR(INDEX(productsSku, SMALL(IF(productsQty&lt;&gt;0, ROW(productsQty)-ROW('BHPC MANAGER'!$CD$10)+1), ROW(M92))), "")</f>
        <v/>
      </c>
      <c r="B105" s="311" t="str">
        <f t="array" ref="B105">IFERROR(INDEX(productsDescription, SMALL(IF(productsQty&lt;&gt;0, ROW(productsQty)-ROW('BHPC MANAGER'!$CD$10)+1), ROW(M92))), "")</f>
        <v/>
      </c>
      <c r="C105" s="312"/>
      <c r="D105" s="312"/>
      <c r="E105" s="313"/>
      <c r="F105" s="314" t="str">
        <f t="shared" si="6"/>
        <v/>
      </c>
      <c r="G105" s="314" t="str">
        <f t="array" ref="G105">IFERROR(INDEX(productsQty, SMALL(IF(productsQty&lt;&gt;0, ROW(productsQty)-ROW('BHPC MANAGER'!$CD$10)+1), ROW(M92))), "")</f>
        <v/>
      </c>
      <c r="H105" s="315" t="str">
        <f t="array" ref="H105">IFERROR(INDEX(productsSalePrice, SMALL(IF(productsQty&lt;&gt;0, ROW(productsQty)-ROW('BHPC MANAGER'!$CD$10)+1), ROW(M92))), "")</f>
        <v/>
      </c>
      <c r="I105" s="314" t="str">
        <f t="array" ref="I105">IFERROR(INDEX(productsCartons, SMALL(IF(productsQty&lt;&gt;0, ROW(productsQty)-ROW('BHPC MANAGER'!$CD$10)+1), ROW(M92))), "")</f>
        <v/>
      </c>
      <c r="J105" s="395"/>
      <c r="K105" s="315" t="str">
        <f t="shared" si="7"/>
        <v/>
      </c>
      <c r="L105" s="390" t="str">
        <f t="shared" si="8"/>
        <v/>
      </c>
    </row>
    <row r="106" spans="1:12" ht="14.5" x14ac:dyDescent="0.35">
      <c r="A106" s="310" t="str">
        <f t="array" ref="A106">IFERROR(INDEX(productsSku, SMALL(IF(productsQty&lt;&gt;0, ROW(productsQty)-ROW('BHPC MANAGER'!$CD$10)+1), ROW(M93))), "")</f>
        <v/>
      </c>
      <c r="B106" s="311" t="str">
        <f t="array" ref="B106">IFERROR(INDEX(productsDescription, SMALL(IF(productsQty&lt;&gt;0, ROW(productsQty)-ROW('BHPC MANAGER'!$CD$10)+1), ROW(M93))), "")</f>
        <v/>
      </c>
      <c r="C106" s="312"/>
      <c r="D106" s="312"/>
      <c r="E106" s="313"/>
      <c r="F106" s="314" t="str">
        <f t="shared" si="6"/>
        <v/>
      </c>
      <c r="G106" s="314" t="str">
        <f t="array" ref="G106">IFERROR(INDEX(productsQty, SMALL(IF(productsQty&lt;&gt;0, ROW(productsQty)-ROW('BHPC MANAGER'!$CD$10)+1), ROW(M93))), "")</f>
        <v/>
      </c>
      <c r="H106" s="315" t="str">
        <f t="array" ref="H106">IFERROR(INDEX(productsSalePrice, SMALL(IF(productsQty&lt;&gt;0, ROW(productsQty)-ROW('BHPC MANAGER'!$CD$10)+1), ROW(M93))), "")</f>
        <v/>
      </c>
      <c r="I106" s="314" t="str">
        <f t="array" ref="I106">IFERROR(INDEX(productsCartons, SMALL(IF(productsQty&lt;&gt;0, ROW(productsQty)-ROW('BHPC MANAGER'!$CD$10)+1), ROW(M93))), "")</f>
        <v/>
      </c>
      <c r="J106" s="395"/>
      <c r="K106" s="315" t="str">
        <f t="shared" si="7"/>
        <v/>
      </c>
      <c r="L106" s="390" t="str">
        <f t="shared" si="8"/>
        <v/>
      </c>
    </row>
    <row r="107" spans="1:12" ht="14.5" x14ac:dyDescent="0.35">
      <c r="A107" s="310" t="str">
        <f t="array" ref="A107">IFERROR(INDEX(productsSku, SMALL(IF(productsQty&lt;&gt;0, ROW(productsQty)-ROW('BHPC MANAGER'!$CD$10)+1), ROW(M94))), "")</f>
        <v/>
      </c>
      <c r="B107" s="311" t="str">
        <f t="array" ref="B107">IFERROR(INDEX(productsDescription, SMALL(IF(productsQty&lt;&gt;0, ROW(productsQty)-ROW('BHPC MANAGER'!$CD$10)+1), ROW(M94))), "")</f>
        <v/>
      </c>
      <c r="C107" s="312"/>
      <c r="D107" s="312"/>
      <c r="E107" s="313"/>
      <c r="F107" s="314" t="str">
        <f t="shared" si="6"/>
        <v/>
      </c>
      <c r="G107" s="314" t="str">
        <f t="array" ref="G107">IFERROR(INDEX(productsQty, SMALL(IF(productsQty&lt;&gt;0, ROW(productsQty)-ROW('BHPC MANAGER'!$CD$10)+1), ROW(M94))), "")</f>
        <v/>
      </c>
      <c r="H107" s="315" t="str">
        <f t="array" ref="H107">IFERROR(INDEX(productsSalePrice, SMALL(IF(productsQty&lt;&gt;0, ROW(productsQty)-ROW('BHPC MANAGER'!$CD$10)+1), ROW(M94))), "")</f>
        <v/>
      </c>
      <c r="I107" s="314" t="str">
        <f t="array" ref="I107">IFERROR(INDEX(productsCartons, SMALL(IF(productsQty&lt;&gt;0, ROW(productsQty)-ROW('BHPC MANAGER'!$CD$10)+1), ROW(M94))), "")</f>
        <v/>
      </c>
      <c r="J107" s="395"/>
      <c r="K107" s="315" t="str">
        <f t="shared" si="7"/>
        <v/>
      </c>
      <c r="L107" s="390" t="str">
        <f t="shared" si="8"/>
        <v/>
      </c>
    </row>
    <row r="108" spans="1:12" ht="14.5" x14ac:dyDescent="0.35">
      <c r="A108" s="310" t="str">
        <f t="array" ref="A108">IFERROR(INDEX(productsSku, SMALL(IF(productsQty&lt;&gt;0, ROW(productsQty)-ROW('BHPC MANAGER'!$CD$10)+1), ROW(M95))), "")</f>
        <v/>
      </c>
      <c r="B108" s="311" t="str">
        <f t="array" ref="B108">IFERROR(INDEX(productsDescription, SMALL(IF(productsQty&lt;&gt;0, ROW(productsQty)-ROW('BHPC MANAGER'!$CD$10)+1), ROW(M95))), "")</f>
        <v/>
      </c>
      <c r="C108" s="312"/>
      <c r="D108" s="312"/>
      <c r="E108" s="313"/>
      <c r="F108" s="314" t="str">
        <f t="shared" si="6"/>
        <v/>
      </c>
      <c r="G108" s="314" t="str">
        <f t="array" ref="G108">IFERROR(INDEX(productsQty, SMALL(IF(productsQty&lt;&gt;0, ROW(productsQty)-ROW('BHPC MANAGER'!$CD$10)+1), ROW(M95))), "")</f>
        <v/>
      </c>
      <c r="H108" s="315" t="str">
        <f t="array" ref="H108">IFERROR(INDEX(productsSalePrice, SMALL(IF(productsQty&lt;&gt;0, ROW(productsQty)-ROW('BHPC MANAGER'!$CD$10)+1), ROW(M95))), "")</f>
        <v/>
      </c>
      <c r="I108" s="314" t="str">
        <f t="array" ref="I108">IFERROR(INDEX(productsCartons, SMALL(IF(productsQty&lt;&gt;0, ROW(productsQty)-ROW('BHPC MANAGER'!$CD$10)+1), ROW(M95))), "")</f>
        <v/>
      </c>
      <c r="J108" s="395"/>
      <c r="K108" s="315" t="str">
        <f t="shared" si="7"/>
        <v/>
      </c>
      <c r="L108" s="390" t="str">
        <f t="shared" si="8"/>
        <v/>
      </c>
    </row>
    <row r="109" spans="1:12" ht="14.5" x14ac:dyDescent="0.35">
      <c r="A109" s="310" t="str">
        <f t="array" ref="A109">IFERROR(INDEX(productsSku, SMALL(IF(productsQty&lt;&gt;0, ROW(productsQty)-ROW('BHPC MANAGER'!$CD$10)+1), ROW(M96))), "")</f>
        <v/>
      </c>
      <c r="B109" s="311" t="str">
        <f t="array" ref="B109">IFERROR(INDEX(productsDescription, SMALL(IF(productsQty&lt;&gt;0, ROW(productsQty)-ROW('BHPC MANAGER'!$CD$10)+1), ROW(M96))), "")</f>
        <v/>
      </c>
      <c r="C109" s="312"/>
      <c r="D109" s="312"/>
      <c r="E109" s="313"/>
      <c r="F109" s="314" t="str">
        <f t="shared" si="6"/>
        <v/>
      </c>
      <c r="G109" s="314" t="str">
        <f t="array" ref="G109">IFERROR(INDEX(productsQty, SMALL(IF(productsQty&lt;&gt;0, ROW(productsQty)-ROW('BHPC MANAGER'!$CD$10)+1), ROW(M96))), "")</f>
        <v/>
      </c>
      <c r="H109" s="315" t="str">
        <f t="array" ref="H109">IFERROR(INDEX(productsSalePrice, SMALL(IF(productsQty&lt;&gt;0, ROW(productsQty)-ROW('BHPC MANAGER'!$CD$10)+1), ROW(M96))), "")</f>
        <v/>
      </c>
      <c r="I109" s="314" t="str">
        <f t="array" ref="I109">IFERROR(INDEX(productsCartons, SMALL(IF(productsQty&lt;&gt;0, ROW(productsQty)-ROW('BHPC MANAGER'!$CD$10)+1), ROW(M96))), "")</f>
        <v/>
      </c>
      <c r="J109" s="395"/>
      <c r="K109" s="315" t="str">
        <f t="shared" si="7"/>
        <v/>
      </c>
      <c r="L109" s="390" t="str">
        <f t="shared" si="8"/>
        <v/>
      </c>
    </row>
    <row r="110" spans="1:12" ht="14.5" x14ac:dyDescent="0.35">
      <c r="A110" s="310" t="str">
        <f t="array" ref="A110">IFERROR(INDEX(productsSku, SMALL(IF(productsQty&lt;&gt;0, ROW(productsQty)-ROW('BHPC MANAGER'!$CD$10)+1), ROW(M97))), "")</f>
        <v/>
      </c>
      <c r="B110" s="311" t="str">
        <f t="array" ref="B110">IFERROR(INDEX(productsDescription, SMALL(IF(productsQty&lt;&gt;0, ROW(productsQty)-ROW('BHPC MANAGER'!$CD$10)+1), ROW(M97))), "")</f>
        <v/>
      </c>
      <c r="C110" s="312"/>
      <c r="D110" s="312"/>
      <c r="E110" s="313"/>
      <c r="F110" s="314" t="str">
        <f t="shared" si="6"/>
        <v/>
      </c>
      <c r="G110" s="314" t="str">
        <f t="array" ref="G110">IFERROR(INDEX(productsQty, SMALL(IF(productsQty&lt;&gt;0, ROW(productsQty)-ROW('BHPC MANAGER'!$CD$10)+1), ROW(M97))), "")</f>
        <v/>
      </c>
      <c r="H110" s="315" t="str">
        <f t="array" ref="H110">IFERROR(INDEX(productsSalePrice, SMALL(IF(productsQty&lt;&gt;0, ROW(productsQty)-ROW('BHPC MANAGER'!$CD$10)+1), ROW(M97))), "")</f>
        <v/>
      </c>
      <c r="I110" s="314" t="str">
        <f t="array" ref="I110">IFERROR(INDEX(productsCartons, SMALL(IF(productsQty&lt;&gt;0, ROW(productsQty)-ROW('BHPC MANAGER'!$CD$10)+1), ROW(M97))), "")</f>
        <v/>
      </c>
      <c r="J110" s="395"/>
      <c r="K110" s="315" t="str">
        <f t="shared" si="7"/>
        <v/>
      </c>
      <c r="L110" s="390" t="str">
        <f t="shared" si="8"/>
        <v/>
      </c>
    </row>
    <row r="111" spans="1:12" ht="14.5" x14ac:dyDescent="0.35">
      <c r="A111" s="310"/>
      <c r="B111" s="311"/>
      <c r="C111" s="312"/>
      <c r="D111" s="312"/>
      <c r="E111" s="313"/>
      <c r="F111" s="314"/>
      <c r="G111" s="314"/>
      <c r="H111" s="315"/>
      <c r="I111" s="314"/>
      <c r="J111" s="395"/>
      <c r="K111" s="315"/>
      <c r="L111" s="390"/>
    </row>
    <row r="112" spans="1:12" ht="14.5" x14ac:dyDescent="0.35">
      <c r="A112" s="310"/>
      <c r="B112" s="311"/>
      <c r="C112" s="312"/>
      <c r="D112" s="312"/>
      <c r="E112" s="313"/>
      <c r="F112" s="314"/>
      <c r="G112" s="314"/>
      <c r="H112" s="315"/>
      <c r="I112" s="314"/>
      <c r="J112" s="395"/>
      <c r="K112" s="315"/>
      <c r="L112" s="390"/>
    </row>
    <row r="113" spans="1:12" ht="14.5" x14ac:dyDescent="0.35">
      <c r="A113" s="310"/>
      <c r="B113" s="311"/>
      <c r="C113" s="312"/>
      <c r="D113" s="312"/>
      <c r="E113" s="313"/>
      <c r="F113" s="314"/>
      <c r="G113" s="314"/>
      <c r="H113" s="315"/>
      <c r="I113" s="314"/>
      <c r="J113" s="395"/>
      <c r="K113" s="315"/>
      <c r="L113" s="390"/>
    </row>
    <row r="114" spans="1:12" ht="14.5" x14ac:dyDescent="0.35">
      <c r="A114" s="310"/>
      <c r="B114" s="311"/>
      <c r="C114" s="312"/>
      <c r="D114" s="312"/>
      <c r="E114" s="313"/>
      <c r="F114" s="314"/>
      <c r="G114" s="314"/>
      <c r="H114" s="315"/>
      <c r="I114" s="314"/>
      <c r="J114" s="395"/>
      <c r="K114" s="315"/>
      <c r="L114" s="390"/>
    </row>
    <row r="115" spans="1:12" ht="14.5" x14ac:dyDescent="0.35">
      <c r="A115" s="310"/>
      <c r="B115" s="311"/>
      <c r="C115" s="312"/>
      <c r="D115" s="312"/>
      <c r="E115" s="313"/>
      <c r="F115" s="314"/>
      <c r="G115" s="314"/>
      <c r="H115" s="315"/>
      <c r="I115" s="314"/>
      <c r="J115" s="395"/>
      <c r="K115" s="315"/>
      <c r="L115" s="390"/>
    </row>
    <row r="116" spans="1:12" ht="14.5" x14ac:dyDescent="0.35">
      <c r="A116" s="310"/>
      <c r="B116" s="311"/>
      <c r="C116" s="312"/>
      <c r="D116" s="312"/>
      <c r="E116" s="313"/>
      <c r="F116" s="314"/>
      <c r="G116" s="314"/>
      <c r="H116" s="315"/>
      <c r="I116" s="314"/>
      <c r="J116" s="395"/>
      <c r="K116" s="315"/>
      <c r="L116" s="390"/>
    </row>
    <row r="117" spans="1:12" ht="14.5" x14ac:dyDescent="0.35">
      <c r="A117" s="310"/>
      <c r="B117" s="311"/>
      <c r="C117" s="312"/>
      <c r="D117" s="312"/>
      <c r="E117" s="313"/>
      <c r="F117" s="314"/>
      <c r="G117" s="314"/>
      <c r="H117" s="315"/>
      <c r="I117" s="314"/>
      <c r="J117" s="395"/>
      <c r="K117" s="315"/>
      <c r="L117" s="390"/>
    </row>
    <row r="118" spans="1:12" ht="14.5" x14ac:dyDescent="0.35">
      <c r="A118" s="310"/>
      <c r="B118" s="311"/>
      <c r="C118" s="312"/>
      <c r="D118" s="312"/>
      <c r="E118" s="313"/>
      <c r="F118" s="314"/>
      <c r="G118" s="314"/>
      <c r="H118" s="315"/>
      <c r="I118" s="314"/>
      <c r="J118" s="395"/>
      <c r="K118" s="315"/>
      <c r="L118" s="390"/>
    </row>
    <row r="119" spans="1:12" ht="14.5" x14ac:dyDescent="0.35">
      <c r="A119" s="310"/>
      <c r="B119" s="311"/>
      <c r="C119" s="312"/>
      <c r="D119" s="312"/>
      <c r="E119" s="313"/>
      <c r="F119" s="314"/>
      <c r="G119" s="314"/>
      <c r="H119" s="315"/>
      <c r="I119" s="314"/>
      <c r="J119" s="395"/>
      <c r="K119" s="315"/>
      <c r="L119" s="390"/>
    </row>
    <row r="120" spans="1:12" ht="14.5" x14ac:dyDescent="0.35">
      <c r="A120" s="310"/>
      <c r="B120" s="311"/>
      <c r="C120" s="312"/>
      <c r="D120" s="312"/>
      <c r="E120" s="313"/>
      <c r="F120" s="314"/>
      <c r="G120" s="314"/>
      <c r="H120" s="315"/>
      <c r="I120" s="314"/>
      <c r="J120" s="395"/>
      <c r="K120" s="315"/>
      <c r="L120" s="390"/>
    </row>
    <row r="121" spans="1:12" x14ac:dyDescent="0.35">
      <c r="A121" s="565" t="s">
        <v>1096</v>
      </c>
      <c r="B121" s="566"/>
      <c r="C121" s="566"/>
      <c r="D121" s="566"/>
      <c r="E121" s="566"/>
      <c r="F121" s="566"/>
      <c r="G121" s="568"/>
      <c r="H121" s="640" t="s">
        <v>486</v>
      </c>
      <c r="I121" s="566"/>
      <c r="J121" s="566"/>
      <c r="K121" s="641"/>
      <c r="L121" s="568"/>
    </row>
    <row r="122" spans="1:12" ht="14.5" customHeight="1" x14ac:dyDescent="0.35">
      <c r="A122" s="205"/>
      <c r="B122" s="337"/>
      <c r="C122" s="337"/>
      <c r="D122" s="337"/>
      <c r="E122" s="338"/>
      <c r="F122" s="338"/>
      <c r="G122" s="339"/>
      <c r="H122" s="622">
        <f>$E$67+SUM(K74:K120)</f>
        <v>0</v>
      </c>
      <c r="I122" s="583"/>
      <c r="J122" s="583"/>
      <c r="K122" s="583"/>
      <c r="L122" s="584"/>
    </row>
    <row r="123" spans="1:12" x14ac:dyDescent="0.35">
      <c r="A123" s="565" t="s">
        <v>487</v>
      </c>
      <c r="B123" s="568"/>
      <c r="C123" s="139" t="s">
        <v>488</v>
      </c>
      <c r="D123" s="565" t="s">
        <v>489</v>
      </c>
      <c r="E123" s="568"/>
      <c r="F123" s="565" t="s">
        <v>490</v>
      </c>
      <c r="G123" s="568"/>
      <c r="H123" s="638" t="s">
        <v>491</v>
      </c>
      <c r="I123" s="581"/>
      <c r="J123" s="581"/>
      <c r="K123" s="639"/>
      <c r="L123" s="579"/>
    </row>
    <row r="124" spans="1:12" ht="14.5" customHeight="1" x14ac:dyDescent="0.35">
      <c r="A124" s="590" t="s">
        <v>248</v>
      </c>
      <c r="B124" s="591"/>
      <c r="C124" s="594" t="s">
        <v>247</v>
      </c>
      <c r="D124" s="598">
        <f>H122</f>
        <v>0</v>
      </c>
      <c r="E124" s="597"/>
      <c r="F124" s="634">
        <f>IF(C124="022",22%,0)</f>
        <v>0</v>
      </c>
      <c r="G124" s="635"/>
      <c r="H124" s="622">
        <f>H122</f>
        <v>0</v>
      </c>
      <c r="I124" s="583"/>
      <c r="J124" s="583"/>
      <c r="K124" s="583"/>
      <c r="L124" s="584"/>
    </row>
    <row r="125" spans="1:12" x14ac:dyDescent="0.35">
      <c r="A125" s="590"/>
      <c r="B125" s="591"/>
      <c r="C125" s="594"/>
      <c r="D125" s="598"/>
      <c r="E125" s="597"/>
      <c r="F125" s="634"/>
      <c r="G125" s="635"/>
      <c r="H125" s="638" t="s">
        <v>492</v>
      </c>
      <c r="I125" s="581"/>
      <c r="J125" s="581"/>
      <c r="K125" s="639"/>
      <c r="L125" s="579"/>
    </row>
    <row r="126" spans="1:12" ht="14.5" customHeight="1" x14ac:dyDescent="0.35">
      <c r="A126" s="590"/>
      <c r="B126" s="591"/>
      <c r="C126" s="594"/>
      <c r="D126" s="598"/>
      <c r="E126" s="597"/>
      <c r="F126" s="634"/>
      <c r="G126" s="635"/>
      <c r="H126" s="622">
        <f>SEK124*F124</f>
        <v>0</v>
      </c>
      <c r="I126" s="583"/>
      <c r="J126" s="583"/>
      <c r="K126" s="583"/>
      <c r="L126" s="584"/>
    </row>
    <row r="127" spans="1:12" x14ac:dyDescent="0.35">
      <c r="A127" s="590"/>
      <c r="B127" s="591"/>
      <c r="C127" s="594"/>
      <c r="D127" s="598"/>
      <c r="E127" s="597"/>
      <c r="F127" s="634"/>
      <c r="G127" s="635"/>
      <c r="H127" s="638" t="s">
        <v>493</v>
      </c>
      <c r="I127" s="581"/>
      <c r="J127" s="581"/>
      <c r="K127" s="639"/>
      <c r="L127" s="579"/>
    </row>
    <row r="128" spans="1:12" ht="14.5" customHeight="1" x14ac:dyDescent="0.35">
      <c r="A128" s="592"/>
      <c r="B128" s="593"/>
      <c r="C128" s="595"/>
      <c r="D128" s="599"/>
      <c r="E128" s="600"/>
      <c r="F128" s="636"/>
      <c r="G128" s="637"/>
      <c r="H128" s="622">
        <f>H122+H126</f>
        <v>0</v>
      </c>
      <c r="I128" s="583"/>
      <c r="J128" s="583"/>
      <c r="K128" s="583"/>
      <c r="L128" s="584"/>
    </row>
    <row r="129" spans="1:12" x14ac:dyDescent="0.35">
      <c r="A129" s="609" t="s">
        <v>494</v>
      </c>
      <c r="B129" s="610"/>
      <c r="C129" s="610"/>
      <c r="D129" s="610"/>
      <c r="E129" s="610"/>
      <c r="F129" s="610"/>
      <c r="G129" s="610"/>
      <c r="H129" s="624"/>
      <c r="I129" s="610"/>
      <c r="J129" s="610"/>
      <c r="K129" s="624"/>
      <c r="L129" s="612"/>
    </row>
    <row r="130" spans="1:12" x14ac:dyDescent="0.35">
      <c r="A130" s="613" t="s">
        <v>495</v>
      </c>
      <c r="B130" s="614"/>
      <c r="C130" s="614"/>
      <c r="D130" s="614"/>
      <c r="E130" s="614"/>
      <c r="F130" s="614"/>
      <c r="G130" s="614"/>
      <c r="H130" s="626"/>
      <c r="I130" s="614"/>
      <c r="J130" s="614"/>
      <c r="K130" s="626"/>
      <c r="L130" s="616"/>
    </row>
    <row r="131" spans="1:12" ht="14.5" customHeight="1" x14ac:dyDescent="0.35">
      <c r="A131" s="609" t="s">
        <v>496</v>
      </c>
      <c r="B131" s="618" t="s">
        <v>497</v>
      </c>
      <c r="C131" s="618"/>
      <c r="D131" s="618"/>
      <c r="E131" s="618"/>
      <c r="F131" s="610"/>
      <c r="G131" s="610"/>
      <c r="H131" s="610"/>
      <c r="I131" s="610"/>
      <c r="J131" s="610"/>
      <c r="K131" s="610"/>
      <c r="L131" s="612"/>
    </row>
    <row r="132" spans="1:12" ht="14.5" customHeight="1" x14ac:dyDescent="0.35">
      <c r="A132" s="613"/>
      <c r="B132" s="619"/>
      <c r="C132" s="619"/>
      <c r="D132" s="619"/>
      <c r="E132" s="619"/>
      <c r="F132" s="614"/>
      <c r="G132" s="614"/>
      <c r="H132" s="614"/>
      <c r="I132" s="614"/>
      <c r="J132" s="614"/>
      <c r="K132" s="614"/>
      <c r="L132" s="616"/>
    </row>
    <row r="133" spans="1:12" x14ac:dyDescent="0.35">
      <c r="A133" s="606" t="s">
        <v>498</v>
      </c>
      <c r="B133" s="606"/>
      <c r="C133" s="606"/>
      <c r="D133" s="606"/>
      <c r="E133" s="606"/>
      <c r="F133" s="606"/>
      <c r="G133" s="606"/>
      <c r="H133" s="620"/>
      <c r="I133" s="606"/>
      <c r="J133" s="606"/>
      <c r="K133" s="620"/>
      <c r="L133" s="606"/>
    </row>
    <row r="134" spans="1:12" x14ac:dyDescent="0.35">
      <c r="A134" s="606" t="s">
        <v>499</v>
      </c>
      <c r="B134" s="606"/>
      <c r="C134" s="606"/>
      <c r="D134" s="606"/>
      <c r="E134" s="606"/>
      <c r="F134" s="606"/>
      <c r="G134" s="606"/>
      <c r="H134" s="620"/>
      <c r="I134" s="606"/>
      <c r="J134" s="606"/>
      <c r="K134" s="620"/>
      <c r="L134" s="606"/>
    </row>
    <row r="135" spans="1:12" x14ac:dyDescent="0.35">
      <c r="A135" s="606" t="s">
        <v>500</v>
      </c>
      <c r="B135" s="607"/>
      <c r="C135" s="607"/>
      <c r="D135" s="607"/>
      <c r="E135" s="607"/>
      <c r="F135" s="607"/>
      <c r="G135" s="607"/>
      <c r="H135" s="621"/>
      <c r="I135" s="607"/>
      <c r="J135" s="607"/>
      <c r="K135" s="621"/>
      <c r="L135" s="607"/>
    </row>
    <row r="136" spans="1:12" x14ac:dyDescent="0.35">
      <c r="H136" s="147"/>
      <c r="K136" s="147"/>
    </row>
    <row r="137" spans="1:12" x14ac:dyDescent="0.35">
      <c r="H137" s="147"/>
      <c r="K137" s="147"/>
    </row>
    <row r="138" spans="1:12" x14ac:dyDescent="0.35">
      <c r="H138" s="147"/>
      <c r="K138" s="147"/>
    </row>
    <row r="139" spans="1:12" x14ac:dyDescent="0.35">
      <c r="H139" s="147"/>
      <c r="K139" s="147"/>
    </row>
    <row r="140" spans="1:12" x14ac:dyDescent="0.35">
      <c r="H140" s="147"/>
      <c r="K140" s="147"/>
    </row>
    <row r="141" spans="1:12" x14ac:dyDescent="0.35">
      <c r="H141" s="147"/>
      <c r="K141" s="147"/>
    </row>
    <row r="142" spans="1:12" x14ac:dyDescent="0.35">
      <c r="H142" s="147"/>
      <c r="K142" s="147"/>
    </row>
    <row r="143" spans="1:12" x14ac:dyDescent="0.35">
      <c r="H143" s="147"/>
      <c r="K143" s="147"/>
    </row>
    <row r="144" spans="1:12" x14ac:dyDescent="0.35">
      <c r="H144" s="147"/>
      <c r="K144" s="147"/>
    </row>
    <row r="145" spans="8:11" x14ac:dyDescent="0.35">
      <c r="H145" s="147"/>
      <c r="K145" s="147"/>
    </row>
    <row r="146" spans="8:11" x14ac:dyDescent="0.35">
      <c r="H146" s="147"/>
      <c r="K146" s="147"/>
    </row>
    <row r="147" spans="8:11" x14ac:dyDescent="0.35">
      <c r="H147" s="147"/>
      <c r="K147" s="147"/>
    </row>
    <row r="148" spans="8:11" x14ac:dyDescent="0.35">
      <c r="H148" s="147"/>
      <c r="K148" s="147"/>
    </row>
    <row r="149" spans="8:11" x14ac:dyDescent="0.35">
      <c r="H149" s="147"/>
      <c r="K149" s="147"/>
    </row>
    <row r="150" spans="8:11" x14ac:dyDescent="0.35">
      <c r="H150" s="147"/>
      <c r="K150" s="147"/>
    </row>
    <row r="151" spans="8:11" x14ac:dyDescent="0.35">
      <c r="H151" s="147"/>
      <c r="K151" s="147"/>
    </row>
    <row r="152" spans="8:11" x14ac:dyDescent="0.35">
      <c r="H152" s="147"/>
      <c r="K152" s="147"/>
    </row>
    <row r="153" spans="8:11" x14ac:dyDescent="0.35">
      <c r="H153" s="147"/>
      <c r="K153" s="147"/>
    </row>
    <row r="154" spans="8:11" x14ac:dyDescent="0.35">
      <c r="H154" s="147"/>
      <c r="K154" s="147"/>
    </row>
    <row r="155" spans="8:11" x14ac:dyDescent="0.35">
      <c r="H155" s="147"/>
      <c r="K155" s="147"/>
    </row>
    <row r="156" spans="8:11" x14ac:dyDescent="0.35">
      <c r="H156" s="147"/>
      <c r="K156" s="147"/>
    </row>
    <row r="157" spans="8:11" x14ac:dyDescent="0.35">
      <c r="H157" s="147"/>
      <c r="K157" s="147"/>
    </row>
    <row r="158" spans="8:11" x14ac:dyDescent="0.35">
      <c r="H158" s="147"/>
      <c r="K158" s="147"/>
    </row>
    <row r="159" spans="8:11" x14ac:dyDescent="0.35">
      <c r="H159" s="147"/>
      <c r="K159" s="147"/>
    </row>
    <row r="160" spans="8:11" x14ac:dyDescent="0.35">
      <c r="H160" s="147"/>
      <c r="K160" s="147"/>
    </row>
    <row r="161" spans="8:11" x14ac:dyDescent="0.35">
      <c r="H161" s="147"/>
      <c r="K161" s="147"/>
    </row>
    <row r="162" spans="8:11" x14ac:dyDescent="0.35">
      <c r="H162" s="147"/>
      <c r="K162" s="147"/>
    </row>
    <row r="163" spans="8:11" x14ac:dyDescent="0.35">
      <c r="H163" s="147"/>
      <c r="K163" s="147"/>
    </row>
    <row r="164" spans="8:11" x14ac:dyDescent="0.35">
      <c r="H164" s="147"/>
      <c r="K164" s="147"/>
    </row>
    <row r="165" spans="8:11" x14ac:dyDescent="0.35">
      <c r="H165" s="147"/>
      <c r="K165" s="147"/>
    </row>
    <row r="166" spans="8:11" x14ac:dyDescent="0.35">
      <c r="H166" s="147"/>
      <c r="K166" s="147"/>
    </row>
    <row r="167" spans="8:11" x14ac:dyDescent="0.35">
      <c r="H167" s="147"/>
      <c r="K167" s="147"/>
    </row>
    <row r="168" spans="8:11" x14ac:dyDescent="0.35">
      <c r="H168" s="147"/>
      <c r="K168" s="147"/>
    </row>
    <row r="169" spans="8:11" x14ac:dyDescent="0.35">
      <c r="H169" s="147"/>
      <c r="K169" s="147"/>
    </row>
    <row r="170" spans="8:11" x14ac:dyDescent="0.35">
      <c r="H170" s="147"/>
      <c r="K170" s="147"/>
    </row>
    <row r="171" spans="8:11" x14ac:dyDescent="0.35">
      <c r="H171" s="147"/>
      <c r="K171" s="147"/>
    </row>
    <row r="172" spans="8:11" x14ac:dyDescent="0.35">
      <c r="H172" s="147"/>
      <c r="K172" s="147"/>
    </row>
    <row r="173" spans="8:11" x14ac:dyDescent="0.35">
      <c r="H173" s="147"/>
      <c r="K173" s="147"/>
    </row>
    <row r="174" spans="8:11" x14ac:dyDescent="0.35">
      <c r="H174" s="147"/>
      <c r="K174" s="147"/>
    </row>
    <row r="175" spans="8:11" x14ac:dyDescent="0.35">
      <c r="H175" s="147"/>
      <c r="K175" s="147"/>
    </row>
    <row r="176" spans="8:11" x14ac:dyDescent="0.35">
      <c r="H176" s="147"/>
      <c r="K176" s="147"/>
    </row>
    <row r="177" spans="8:11" x14ac:dyDescent="0.35">
      <c r="H177" s="147"/>
      <c r="K177" s="147"/>
    </row>
    <row r="178" spans="8:11" x14ac:dyDescent="0.35">
      <c r="H178" s="147"/>
      <c r="K178" s="147"/>
    </row>
    <row r="179" spans="8:11" x14ac:dyDescent="0.35">
      <c r="H179" s="147"/>
      <c r="K179" s="147"/>
    </row>
    <row r="180" spans="8:11" x14ac:dyDescent="0.35">
      <c r="H180" s="147"/>
      <c r="K180" s="147"/>
    </row>
    <row r="181" spans="8:11" x14ac:dyDescent="0.35">
      <c r="H181" s="147"/>
      <c r="K181" s="147"/>
    </row>
    <row r="182" spans="8:11" x14ac:dyDescent="0.35">
      <c r="H182" s="147"/>
      <c r="K182" s="147"/>
    </row>
    <row r="183" spans="8:11" x14ac:dyDescent="0.35">
      <c r="H183" s="147"/>
      <c r="K183" s="147"/>
    </row>
    <row r="184" spans="8:11" x14ac:dyDescent="0.35">
      <c r="H184" s="147"/>
      <c r="K184" s="147"/>
    </row>
    <row r="185" spans="8:11" x14ac:dyDescent="0.35">
      <c r="H185" s="147"/>
      <c r="K185" s="147"/>
    </row>
    <row r="186" spans="8:11" x14ac:dyDescent="0.35">
      <c r="H186" s="147"/>
      <c r="K186" s="147"/>
    </row>
    <row r="187" spans="8:11" x14ac:dyDescent="0.35">
      <c r="H187" s="147"/>
      <c r="K187" s="147"/>
    </row>
    <row r="188" spans="8:11" x14ac:dyDescent="0.35">
      <c r="H188" s="147"/>
      <c r="K188" s="147"/>
    </row>
    <row r="189" spans="8:11" x14ac:dyDescent="0.35">
      <c r="H189" s="147"/>
      <c r="K189" s="147"/>
    </row>
    <row r="190" spans="8:11" x14ac:dyDescent="0.35">
      <c r="H190" s="147"/>
      <c r="K190" s="147"/>
    </row>
    <row r="191" spans="8:11" x14ac:dyDescent="0.35">
      <c r="H191" s="147"/>
      <c r="K191" s="147"/>
    </row>
    <row r="192" spans="8:11" x14ac:dyDescent="0.35">
      <c r="H192" s="147"/>
      <c r="K192" s="147"/>
    </row>
    <row r="193" spans="4:11" x14ac:dyDescent="0.35">
      <c r="H193" s="147"/>
      <c r="K193" s="147"/>
    </row>
    <row r="194" spans="4:11" x14ac:dyDescent="0.35">
      <c r="H194" s="147"/>
      <c r="K194" s="147"/>
    </row>
    <row r="195" spans="4:11" x14ac:dyDescent="0.35">
      <c r="H195" s="147"/>
      <c r="K195" s="147"/>
    </row>
    <row r="196" spans="4:11" x14ac:dyDescent="0.35">
      <c r="H196" s="147"/>
      <c r="K196" s="147"/>
    </row>
    <row r="197" spans="4:11" x14ac:dyDescent="0.35">
      <c r="H197" s="147"/>
      <c r="K197" s="147"/>
    </row>
    <row r="198" spans="4:11" x14ac:dyDescent="0.35">
      <c r="H198" s="147"/>
      <c r="K198" s="147"/>
    </row>
    <row r="199" spans="4:11" x14ac:dyDescent="0.35">
      <c r="H199" s="147"/>
      <c r="K199" s="147"/>
    </row>
    <row r="200" spans="4:11" x14ac:dyDescent="0.35">
      <c r="H200" s="147"/>
      <c r="K200" s="147"/>
    </row>
    <row r="201" spans="4:11" x14ac:dyDescent="0.35">
      <c r="H201" s="147"/>
      <c r="K201" s="147"/>
    </row>
    <row r="202" spans="4:11" x14ac:dyDescent="0.35">
      <c r="H202" s="147"/>
      <c r="K202" s="147"/>
    </row>
    <row r="203" spans="4:11" x14ac:dyDescent="0.35">
      <c r="H203" s="144"/>
      <c r="K203" s="144"/>
    </row>
    <row r="204" spans="4:11" x14ac:dyDescent="0.35">
      <c r="H204" s="144"/>
      <c r="K204" s="147"/>
    </row>
    <row r="205" spans="4:11" x14ac:dyDescent="0.35">
      <c r="H205" s="144"/>
      <c r="K205" s="144"/>
    </row>
    <row r="206" spans="4:11" x14ac:dyDescent="0.35">
      <c r="D206" s="148"/>
      <c r="E206" s="147"/>
      <c r="H206" s="144"/>
      <c r="K206" s="147"/>
    </row>
    <row r="207" spans="4:11" x14ac:dyDescent="0.35">
      <c r="D207" s="148"/>
      <c r="E207" s="147"/>
      <c r="H207" s="144"/>
      <c r="K207" s="144"/>
    </row>
    <row r="208" spans="4:11" x14ac:dyDescent="0.35">
      <c r="D208" s="148"/>
      <c r="E208" s="147"/>
      <c r="H208" s="144"/>
      <c r="K208" s="147"/>
    </row>
    <row r="209" spans="4:11" x14ac:dyDescent="0.35">
      <c r="D209" s="148"/>
      <c r="E209" s="147"/>
      <c r="H209" s="144"/>
      <c r="K209" s="144"/>
    </row>
    <row r="210" spans="4:11" x14ac:dyDescent="0.35">
      <c r="D210" s="148"/>
      <c r="E210" s="147"/>
      <c r="H210" s="144"/>
      <c r="K210" s="147"/>
    </row>
    <row r="211" spans="4:11" x14ac:dyDescent="0.35">
      <c r="K211" s="144"/>
    </row>
    <row r="212" spans="4:11" x14ac:dyDescent="0.35">
      <c r="K212" s="144"/>
    </row>
    <row r="213" spans="4:11" x14ac:dyDescent="0.35">
      <c r="D213" s="145"/>
      <c r="E213" s="144"/>
      <c r="K213" s="144"/>
    </row>
    <row r="214" spans="4:11" x14ac:dyDescent="0.35">
      <c r="D214" s="145"/>
      <c r="E214" s="144"/>
      <c r="K214" s="144"/>
    </row>
    <row r="215" spans="4:11" x14ac:dyDescent="0.35">
      <c r="D215" s="145"/>
      <c r="E215" s="144"/>
      <c r="K215" s="144"/>
    </row>
    <row r="216" spans="4:11" x14ac:dyDescent="0.35">
      <c r="D216" s="145"/>
      <c r="E216" s="144"/>
      <c r="K216" s="144"/>
    </row>
    <row r="217" spans="4:11" x14ac:dyDescent="0.35">
      <c r="D217" s="145"/>
      <c r="E217" s="144"/>
      <c r="K217" s="144"/>
    </row>
    <row r="218" spans="4:11" x14ac:dyDescent="0.35">
      <c r="D218" s="145"/>
      <c r="E218" s="144"/>
      <c r="K218" s="144"/>
    </row>
  </sheetData>
  <mergeCells count="59">
    <mergeCell ref="G9:J9"/>
    <mergeCell ref="B131:E132"/>
    <mergeCell ref="F131:L132"/>
    <mergeCell ref="A9:B9"/>
    <mergeCell ref="C9:D9"/>
    <mergeCell ref="E9:F9"/>
    <mergeCell ref="K9:L9"/>
    <mergeCell ref="H68:L68"/>
    <mergeCell ref="A10:L10"/>
    <mergeCell ref="B12:E12"/>
    <mergeCell ref="A66:B66"/>
    <mergeCell ref="C66:D66"/>
    <mergeCell ref="E66:G66"/>
    <mergeCell ref="H66:L66"/>
    <mergeCell ref="A67:B67"/>
    <mergeCell ref="C67:D67"/>
    <mergeCell ref="A8:B8"/>
    <mergeCell ref="C8:D8"/>
    <mergeCell ref="E8:F8"/>
    <mergeCell ref="G8:I8"/>
    <mergeCell ref="K8:L8"/>
    <mergeCell ref="E67:G67"/>
    <mergeCell ref="A68:B68"/>
    <mergeCell ref="D68:E68"/>
    <mergeCell ref="F68:G68"/>
    <mergeCell ref="A69:B73"/>
    <mergeCell ref="C69:C73"/>
    <mergeCell ref="D69:E73"/>
    <mergeCell ref="F69:G73"/>
    <mergeCell ref="A121:B121"/>
    <mergeCell ref="C121:D121"/>
    <mergeCell ref="E121:G121"/>
    <mergeCell ref="H121:L121"/>
    <mergeCell ref="A123:B123"/>
    <mergeCell ref="D123:E123"/>
    <mergeCell ref="F123:G123"/>
    <mergeCell ref="D124:E128"/>
    <mergeCell ref="F124:G128"/>
    <mergeCell ref="H125:L125"/>
    <mergeCell ref="H127:L127"/>
    <mergeCell ref="H70:L70"/>
    <mergeCell ref="H72:L72"/>
    <mergeCell ref="H123:L123"/>
    <mergeCell ref="A133:L133"/>
    <mergeCell ref="A134:L134"/>
    <mergeCell ref="A135:L135"/>
    <mergeCell ref="H67:L67"/>
    <mergeCell ref="H69:L69"/>
    <mergeCell ref="H71:L71"/>
    <mergeCell ref="H73:L73"/>
    <mergeCell ref="H122:L122"/>
    <mergeCell ref="H124:L124"/>
    <mergeCell ref="H126:L126"/>
    <mergeCell ref="A129:L129"/>
    <mergeCell ref="A130:L130"/>
    <mergeCell ref="A131:A132"/>
    <mergeCell ref="H128:L128"/>
    <mergeCell ref="A124:B128"/>
    <mergeCell ref="C124:C128"/>
  </mergeCells>
  <dataValidations count="1">
    <dataValidation type="list" allowBlank="1" showInputMessage="1" showErrorMessage="1" sqref="K9:L9" xr:uid="{00000000-0002-0000-0A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8"/>
  <dimension ref="A1:T64"/>
  <sheetViews>
    <sheetView showGridLines="0" zoomScaleSheetLayoutView="100" workbookViewId="0">
      <selection activeCell="G27" sqref="G27"/>
    </sheetView>
  </sheetViews>
  <sheetFormatPr defaultColWidth="10.7265625" defaultRowHeight="12.5" x14ac:dyDescent="0.35"/>
  <cols>
    <col min="1" max="1" width="8" style="125" customWidth="1"/>
    <col min="2" max="2" width="15.453125" style="125" customWidth="1"/>
    <col min="3" max="3" width="12.7265625" style="125" customWidth="1"/>
    <col min="4" max="4" width="9.54296875" style="126" customWidth="1"/>
    <col min="5" max="5" width="15.81640625" style="125" customWidth="1"/>
    <col min="6" max="6" width="3.453125" style="127" customWidth="1"/>
    <col min="7" max="7" width="7.54296875" style="125" customWidth="1"/>
    <col min="8" max="8" width="7.26953125" style="125" customWidth="1"/>
    <col min="9" max="9" width="7.26953125" style="127" customWidth="1"/>
    <col min="10" max="10" width="7.26953125" style="125" customWidth="1"/>
    <col min="11" max="11" width="13.1796875" style="125" bestFit="1" customWidth="1"/>
    <col min="12" max="12" width="9.54296875" style="125" customWidth="1"/>
    <col min="13" max="16384" width="10.7265625" style="125"/>
  </cols>
  <sheetData>
    <row r="1" spans="1:20" x14ac:dyDescent="0.35">
      <c r="A1" s="679"/>
      <c r="B1" s="679"/>
      <c r="G1" s="128"/>
      <c r="H1" s="578"/>
      <c r="I1" s="581"/>
      <c r="J1" s="581"/>
      <c r="K1" s="150"/>
      <c r="L1" s="124"/>
    </row>
    <row r="2" spans="1:20" ht="13" x14ac:dyDescent="0.35">
      <c r="G2" s="128"/>
      <c r="H2" s="129"/>
      <c r="I2" s="130"/>
      <c r="J2" s="130"/>
      <c r="K2" s="130"/>
      <c r="L2" s="128"/>
    </row>
    <row r="3" spans="1:20" ht="13" x14ac:dyDescent="0.35">
      <c r="G3" s="128"/>
      <c r="H3" s="131"/>
      <c r="I3" s="125"/>
      <c r="J3" s="130"/>
      <c r="K3" s="130"/>
      <c r="L3" s="128"/>
    </row>
    <row r="4" spans="1:20" ht="13" x14ac:dyDescent="0.35">
      <c r="G4" s="128"/>
      <c r="H4" s="131"/>
      <c r="I4" s="125"/>
      <c r="J4" s="130"/>
      <c r="K4" s="130"/>
      <c r="L4" s="128"/>
    </row>
    <row r="5" spans="1:20" ht="13" x14ac:dyDescent="0.35">
      <c r="G5" s="128"/>
      <c r="H5" s="131"/>
      <c r="I5" s="125"/>
      <c r="J5" s="130"/>
      <c r="K5" s="130"/>
      <c r="L5" s="128"/>
    </row>
    <row r="6" spans="1:20" ht="13" x14ac:dyDescent="0.35">
      <c r="G6" s="128"/>
      <c r="H6" s="131"/>
      <c r="J6" s="130"/>
      <c r="K6" s="130"/>
      <c r="L6" s="128"/>
    </row>
    <row r="7" spans="1:20" x14ac:dyDescent="0.35">
      <c r="A7" s="133"/>
      <c r="B7" s="133"/>
      <c r="C7" s="133"/>
      <c r="D7" s="134"/>
      <c r="E7" s="133"/>
      <c r="F7" s="135"/>
      <c r="G7" s="136"/>
      <c r="H7" s="137" t="s">
        <v>318</v>
      </c>
      <c r="I7" s="135"/>
      <c r="J7" s="133"/>
      <c r="K7" s="133"/>
      <c r="L7" s="136"/>
    </row>
    <row r="8" spans="1:20" x14ac:dyDescent="0.35">
      <c r="A8" s="578" t="s">
        <v>470</v>
      </c>
      <c r="B8" s="579"/>
      <c r="C8" s="578" t="s">
        <v>471</v>
      </c>
      <c r="D8" s="579"/>
      <c r="E8" s="206" t="s">
        <v>727</v>
      </c>
      <c r="F8" s="207"/>
      <c r="G8" s="578" t="s">
        <v>503</v>
      </c>
      <c r="H8" s="581"/>
      <c r="I8" s="581"/>
      <c r="J8" s="565"/>
      <c r="K8" s="566"/>
      <c r="L8" s="568"/>
    </row>
    <row r="9" spans="1:20" s="127" customFormat="1" x14ac:dyDescent="0.25">
      <c r="A9" s="674" t="s">
        <v>504</v>
      </c>
      <c r="B9" s="675"/>
      <c r="C9" s="676">
        <v>45476</v>
      </c>
      <c r="D9" s="677"/>
      <c r="E9" s="678" t="s">
        <v>741</v>
      </c>
      <c r="F9" s="678"/>
      <c r="G9" s="674" t="s">
        <v>318</v>
      </c>
      <c r="H9" s="678"/>
      <c r="I9" s="678"/>
      <c r="J9" s="674"/>
      <c r="K9" s="678"/>
      <c r="L9" s="675"/>
    </row>
    <row r="10" spans="1:20" ht="27" customHeight="1" x14ac:dyDescent="0.35">
      <c r="A10" s="208" t="s">
        <v>477</v>
      </c>
      <c r="B10" s="569" t="s">
        <v>478</v>
      </c>
      <c r="C10" s="665"/>
      <c r="D10" s="665"/>
      <c r="E10" s="666"/>
      <c r="F10" s="143" t="s">
        <v>479</v>
      </c>
      <c r="G10" s="142" t="s">
        <v>480</v>
      </c>
      <c r="H10" s="142" t="s">
        <v>1191</v>
      </c>
      <c r="I10" s="208" t="s">
        <v>1192</v>
      </c>
      <c r="J10" s="142" t="s">
        <v>482</v>
      </c>
      <c r="K10" s="142" t="s">
        <v>1189</v>
      </c>
      <c r="L10" s="142" t="s">
        <v>505</v>
      </c>
    </row>
    <row r="11" spans="1:20" ht="14.5" x14ac:dyDescent="0.35">
      <c r="A11" s="209" t="e">
        <f t="array" ref="A11:A12">INDEX(salesHistory[sku], SMALL(IF((salesHistory[qty]&lt;&gt;0)*(salesHistory[order_no]=66), ROW(salesHistory[qty])-MIN(ROW(salesHistory[qty]))+1), ROW(A1:A0)))</f>
        <v>#NAME?</v>
      </c>
      <c r="B11" s="210" t="e">
        <f>INDEX(bhpc_data[description],MATCH($A11,bhpc_data[sku],0))</f>
        <v>#NAME?</v>
      </c>
      <c r="C11" s="211"/>
      <c r="D11" s="212"/>
      <c r="E11" s="213"/>
      <c r="F11" s="214" t="s">
        <v>960</v>
      </c>
      <c r="G11" s="214" t="e">
        <f t="array" ref="G11:G12">INDEX(salesHistory[qty], SMALL(IF((salesHistory[qty]&lt;&gt;0)*(salesHistory[order_no]=66), ROW(salesHistory[qty])-MIN(ROW(salesHistory[qty]))+1), ROW(A1:A0)))</f>
        <v>#NAME?</v>
      </c>
      <c r="H11" s="274"/>
      <c r="I11" s="275"/>
      <c r="J11" s="215"/>
      <c r="K11" s="397" t="e">
        <f t="array" ref="K11:K12">INDEX(salesHistory[hs_code], SMALL(IF((salesHistory[qty]&lt;&gt;0)*(salesHistory[order_no]=66), ROW(salesHistory[qty])-MIN(ROW(salesHistory[qty]))+1), ROW(A1:A0)))</f>
        <v>#NAME?</v>
      </c>
      <c r="L11" s="216" t="e">
        <f>INDEX(bhpc_data[country_of_origin],MATCH($A11,bhpc_data[sku],0))</f>
        <v>#NAME?</v>
      </c>
    </row>
    <row r="12" spans="1:20" ht="14.5" x14ac:dyDescent="0.35">
      <c r="A12" s="217" t="e">
        <v>#NAME?</v>
      </c>
      <c r="B12" s="209" t="e">
        <f>INDEX(bhpc_data[description],MATCH($A12,bhpc_data[sku],0))</f>
        <v>#NAME?</v>
      </c>
      <c r="C12" s="218"/>
      <c r="D12" s="219"/>
      <c r="E12" s="220"/>
      <c r="F12" s="221" t="s">
        <v>960</v>
      </c>
      <c r="G12" s="222" t="e">
        <v>#NAME?</v>
      </c>
      <c r="H12" s="276"/>
      <c r="I12" s="277"/>
      <c r="J12" s="223"/>
      <c r="K12" s="398" t="e">
        <v>#NAME?</v>
      </c>
      <c r="L12" s="224" t="e">
        <f>INDEX(bhpc_data[country_of_origin],MATCH($A12,bhpc_data[sku],0))</f>
        <v>#NAME?</v>
      </c>
      <c r="N12" s="294"/>
      <c r="S12" s="272"/>
      <c r="T12" s="272"/>
    </row>
    <row r="13" spans="1:20" ht="14.5" x14ac:dyDescent="0.35">
      <c r="A13" s="217"/>
      <c r="B13" s="210" t="s">
        <v>502</v>
      </c>
      <c r="C13" s="218"/>
      <c r="D13" s="219"/>
      <c r="E13" s="220"/>
      <c r="F13" s="221"/>
      <c r="G13" s="222"/>
      <c r="H13" s="276"/>
      <c r="I13" s="277"/>
      <c r="J13" s="223"/>
      <c r="K13" s="398"/>
      <c r="L13" s="224"/>
      <c r="N13" s="294"/>
      <c r="S13" s="272"/>
      <c r="T13" s="272"/>
    </row>
    <row r="14" spans="1:20" ht="14.5" x14ac:dyDescent="0.35">
      <c r="A14" s="217" t="str">
        <f t="array" ref="A14:A28">INDEX(salesHistory[sku], SMALL(IF((salesHistory[foc_qty]&lt;&gt;0)*(salesHistory[order_no]=66), ROW(salesHistory[qty])-MIN(ROW(salesHistory[qty]))+1), ROW(A1:A15)))</f>
        <v>P05004</v>
      </c>
      <c r="B14" s="209" t="str">
        <f>INDEX(bhpc_data[description],MATCH($A14,bhpc_data[sku],0))</f>
        <v>BHPC SPORT MEN 1 EDT 100ML</v>
      </c>
      <c r="C14" s="218"/>
      <c r="D14" s="219"/>
      <c r="E14" s="220"/>
      <c r="F14" s="221" t="s">
        <v>960</v>
      </c>
      <c r="G14" s="222">
        <f t="array" ref="G14:G28">INDEX(salesHistory[foc_qty], SMALL(IF((salesHistory[foc_qty]&lt;&gt;0)*(salesHistory[order_no]=66), ROW(salesHistory[qty])-MIN(ROW(salesHistory[qty]))+1), ROW(A1:A15)))</f>
        <v>30</v>
      </c>
      <c r="H14" s="276">
        <f>G14/24*7.52</f>
        <v>9.3999999999999986</v>
      </c>
      <c r="I14" s="277">
        <f>G14/24*8.23</f>
        <v>10.287500000000001</v>
      </c>
      <c r="J14" s="223">
        <f t="shared" ref="J14:J21" si="0">CEILING(G14/24,1)</f>
        <v>2</v>
      </c>
      <c r="K14" s="398" t="str">
        <f t="array" ref="K14:K28">INDEX(salesHistory[hs_code], SMALL(IF((salesHistory[foc_qty]&lt;&gt;0)*(salesHistory[order_no]=66), ROW(salesHistory[qty])-MIN(ROW(salesHistory[qty]))+1), ROW(A1:A15)))</f>
        <v>33030010</v>
      </c>
      <c r="L14" s="224" t="str">
        <f>INDEX(bhpc_data[country_of_origin],MATCH($A14,bhpc_data[sku],0))</f>
        <v>SPAIN</v>
      </c>
      <c r="N14" s="294"/>
      <c r="S14" s="272"/>
      <c r="T14" s="272"/>
    </row>
    <row r="15" spans="1:20" ht="14.5" x14ac:dyDescent="0.35">
      <c r="A15" s="217" t="str">
        <v>P05005</v>
      </c>
      <c r="B15" s="209" t="str">
        <f>INDEX(bhpc_data[description],MATCH($A15,bhpc_data[sku],0))</f>
        <v>BHPC SPORT MEN 9 EDT 100ML</v>
      </c>
      <c r="C15" s="218"/>
      <c r="D15" s="219"/>
      <c r="E15" s="220"/>
      <c r="F15" s="221" t="s">
        <v>960</v>
      </c>
      <c r="G15" s="222">
        <v>30</v>
      </c>
      <c r="H15" s="276">
        <f>G15/24*7.52</f>
        <v>9.3999999999999986</v>
      </c>
      <c r="I15" s="277">
        <f>G15/24*8.23</f>
        <v>10.287500000000001</v>
      </c>
      <c r="J15" s="223">
        <f t="shared" si="0"/>
        <v>2</v>
      </c>
      <c r="K15" s="398" t="str">
        <v>33030010</v>
      </c>
      <c r="L15" s="224" t="str">
        <f>INDEX(bhpc_data[country_of_origin],MATCH($A15,bhpc_data[sku],0))</f>
        <v>SPAIN</v>
      </c>
      <c r="N15" s="294"/>
      <c r="S15" s="272"/>
      <c r="T15" s="272"/>
    </row>
    <row r="16" spans="1:20" ht="14.5" x14ac:dyDescent="0.35">
      <c r="A16" s="217" t="str">
        <v>P05006</v>
      </c>
      <c r="B16" s="209" t="str">
        <f>INDEX(bhpc_data[description],MATCH($A16,bhpc_data[sku],0))</f>
        <v>BHPC SPORT MEN 8 EDT 100ML</v>
      </c>
      <c r="C16" s="218"/>
      <c r="D16" s="219"/>
      <c r="E16" s="220"/>
      <c r="F16" s="221" t="s">
        <v>960</v>
      </c>
      <c r="G16" s="222">
        <v>30</v>
      </c>
      <c r="H16" s="276">
        <f>G16/24*7.52</f>
        <v>9.3999999999999986</v>
      </c>
      <c r="I16" s="277">
        <f>G16/24*8.23</f>
        <v>10.287500000000001</v>
      </c>
      <c r="J16" s="223">
        <f t="shared" si="0"/>
        <v>2</v>
      </c>
      <c r="K16" s="398" t="str">
        <v>33030010</v>
      </c>
      <c r="L16" s="224" t="str">
        <f>INDEX(bhpc_data[country_of_origin],MATCH($A16,bhpc_data[sku],0))</f>
        <v>SPAIN</v>
      </c>
      <c r="N16" s="294"/>
      <c r="S16" s="272"/>
      <c r="T16" s="272"/>
    </row>
    <row r="17" spans="1:20" ht="14.5" x14ac:dyDescent="0.35">
      <c r="A17" s="217" t="str">
        <v>P05007</v>
      </c>
      <c r="B17" s="209" t="str">
        <f>INDEX(bhpc_data[description],MATCH($A17,bhpc_data[sku],0))</f>
        <v>BHPC SPORT MEN 2 EDT 100ML</v>
      </c>
      <c r="C17" s="218"/>
      <c r="D17" s="219"/>
      <c r="E17" s="220"/>
      <c r="F17" s="221" t="s">
        <v>960</v>
      </c>
      <c r="G17" s="222">
        <v>30</v>
      </c>
      <c r="H17" s="276">
        <f>G17/24*7.52</f>
        <v>9.3999999999999986</v>
      </c>
      <c r="I17" s="277">
        <f>G17/24*8.23</f>
        <v>10.287500000000001</v>
      </c>
      <c r="J17" s="223">
        <f t="shared" si="0"/>
        <v>2</v>
      </c>
      <c r="K17" s="398" t="str">
        <v>33030010</v>
      </c>
      <c r="L17" s="224" t="str">
        <f>INDEX(bhpc_data[country_of_origin],MATCH($A17,bhpc_data[sku],0))</f>
        <v>SPAIN</v>
      </c>
      <c r="N17" s="294"/>
      <c r="S17" s="272"/>
      <c r="T17" s="272"/>
    </row>
    <row r="18" spans="1:20" ht="14.5" x14ac:dyDescent="0.35">
      <c r="A18" s="217" t="str">
        <v>P05050</v>
      </c>
      <c r="B18" s="209" t="str">
        <f>INDEX(bhpc_data[description],MATCH($A18,bhpc_data[sku],0))</f>
        <v>BHPC WOMEN 1 EDP 100ML</v>
      </c>
      <c r="C18" s="218"/>
      <c r="D18" s="219"/>
      <c r="E18" s="220"/>
      <c r="F18" s="221" t="s">
        <v>960</v>
      </c>
      <c r="G18" s="222">
        <v>30</v>
      </c>
      <c r="H18" s="276">
        <f>G18/24*6.87</f>
        <v>8.5875000000000004</v>
      </c>
      <c r="I18" s="277">
        <f>G18/24*7.56</f>
        <v>9.4499999999999993</v>
      </c>
      <c r="J18" s="223">
        <f t="shared" si="0"/>
        <v>2</v>
      </c>
      <c r="K18" s="398" t="str">
        <v>33030010</v>
      </c>
      <c r="L18" s="224" t="str">
        <f>INDEX(bhpc_data[country_of_origin],MATCH($A18,bhpc_data[sku],0))</f>
        <v>SPAIN</v>
      </c>
      <c r="N18" s="294"/>
      <c r="S18" s="272"/>
      <c r="T18" s="272"/>
    </row>
    <row r="19" spans="1:20" ht="14.5" x14ac:dyDescent="0.35">
      <c r="A19" s="217" t="str">
        <v>P05051</v>
      </c>
      <c r="B19" s="209" t="str">
        <f>INDEX(bhpc_data[description],MATCH($A19,bhpc_data[sku],0))</f>
        <v>BHPC WOMEN 9 EDP 100ML</v>
      </c>
      <c r="C19" s="218"/>
      <c r="D19" s="219"/>
      <c r="E19" s="220"/>
      <c r="F19" s="221" t="s">
        <v>960</v>
      </c>
      <c r="G19" s="222">
        <v>30</v>
      </c>
      <c r="H19" s="276">
        <f>G19/24*6.87</f>
        <v>8.5875000000000004</v>
      </c>
      <c r="I19" s="277">
        <f>G19/24*7.56</f>
        <v>9.4499999999999993</v>
      </c>
      <c r="J19" s="223">
        <f t="shared" si="0"/>
        <v>2</v>
      </c>
      <c r="K19" s="398" t="str">
        <v>33030010</v>
      </c>
      <c r="L19" s="224" t="str">
        <f>INDEX(bhpc_data[country_of_origin],MATCH($A19,bhpc_data[sku],0))</f>
        <v>SPAIN</v>
      </c>
      <c r="N19" s="294"/>
      <c r="S19" s="272"/>
      <c r="T19" s="272"/>
    </row>
    <row r="20" spans="1:20" ht="14.5" x14ac:dyDescent="0.35">
      <c r="A20" s="217" t="str">
        <v>P05052</v>
      </c>
      <c r="B20" s="209" t="str">
        <f>INDEX(bhpc_data[description],MATCH($A20,bhpc_data[sku],0))</f>
        <v>BHPC WOMEN 8 EDP 100ML</v>
      </c>
      <c r="C20" s="218"/>
      <c r="D20" s="219"/>
      <c r="E20" s="220"/>
      <c r="F20" s="221" t="s">
        <v>960</v>
      </c>
      <c r="G20" s="222">
        <v>30</v>
      </c>
      <c r="H20" s="276">
        <f>G20/24*6.87</f>
        <v>8.5875000000000004</v>
      </c>
      <c r="I20" s="277">
        <f>G20/24*7.56</f>
        <v>9.4499999999999993</v>
      </c>
      <c r="J20" s="223">
        <f t="shared" si="0"/>
        <v>2</v>
      </c>
      <c r="K20" s="398" t="str">
        <v>33030010</v>
      </c>
      <c r="L20" s="224" t="str">
        <f>INDEX(bhpc_data[country_of_origin],MATCH($A20,bhpc_data[sku],0))</f>
        <v>SPAIN</v>
      </c>
      <c r="N20" s="294"/>
      <c r="S20" s="272"/>
      <c r="T20" s="272"/>
    </row>
    <row r="21" spans="1:20" ht="14.5" x14ac:dyDescent="0.35">
      <c r="A21" s="217" t="str">
        <v>P05053</v>
      </c>
      <c r="B21" s="209" t="str">
        <f>INDEX(bhpc_data[description],MATCH($A21,bhpc_data[sku],0))</f>
        <v>BHPC WOMEN 2 EDP 100ML</v>
      </c>
      <c r="C21" s="218"/>
      <c r="D21" s="219"/>
      <c r="E21" s="220"/>
      <c r="F21" s="221" t="s">
        <v>960</v>
      </c>
      <c r="G21" s="222">
        <v>30</v>
      </c>
      <c r="H21" s="276">
        <f>G21/24*6.87</f>
        <v>8.5875000000000004</v>
      </c>
      <c r="I21" s="277">
        <f>G21/24*7.56</f>
        <v>9.4499999999999993</v>
      </c>
      <c r="J21" s="223">
        <f t="shared" si="0"/>
        <v>2</v>
      </c>
      <c r="K21" s="398" t="str">
        <v>33030010</v>
      </c>
      <c r="L21" s="224" t="str">
        <f>INDEX(bhpc_data[country_of_origin],MATCH($A21,bhpc_data[sku],0))</f>
        <v>SPAIN</v>
      </c>
      <c r="N21" s="294"/>
      <c r="S21" s="272"/>
      <c r="T21" s="272"/>
    </row>
    <row r="22" spans="1:20" ht="14.5" x14ac:dyDescent="0.35">
      <c r="A22" s="217" t="str">
        <v>GS5009</v>
      </c>
      <c r="B22" s="209" t="str">
        <f>INDEX(bhpc_data[description],MATCH($A22,bhpc_data[sku],0))</f>
        <v>BHPC GIFT SET SPORT MEN 9 EDT 50ML + DEO 175ML</v>
      </c>
      <c r="C22" s="218"/>
      <c r="D22" s="219"/>
      <c r="E22" s="220"/>
      <c r="F22" s="221" t="s">
        <v>960</v>
      </c>
      <c r="G22" s="222">
        <v>30</v>
      </c>
      <c r="H22" s="276">
        <f>G22/12*5.04</f>
        <v>12.6</v>
      </c>
      <c r="I22" s="277">
        <f>G22/12*5.79</f>
        <v>14.475</v>
      </c>
      <c r="J22" s="223">
        <f t="shared" ref="J22:J28" si="1">CEILING(G22/12,1)</f>
        <v>3</v>
      </c>
      <c r="K22" s="398">
        <v>0</v>
      </c>
      <c r="L22" s="224" t="str">
        <f>INDEX(bhpc_data[country_of_origin],MATCH($A22,bhpc_data[sku],0))</f>
        <v>SPAIN</v>
      </c>
      <c r="N22" s="294"/>
      <c r="S22" s="272"/>
      <c r="T22" s="272"/>
    </row>
    <row r="23" spans="1:20" ht="14.5" x14ac:dyDescent="0.35">
      <c r="A23" s="217" t="str">
        <v>GS5010</v>
      </c>
      <c r="B23" s="209" t="str">
        <f>INDEX(bhpc_data[description],MATCH($A23,bhpc_data[sku],0))</f>
        <v>BHPC GIFT SET SPORT MEN 8 EDT 50ML + DEO 175ML</v>
      </c>
      <c r="C23" s="218"/>
      <c r="D23" s="219"/>
      <c r="E23" s="220"/>
      <c r="F23" s="221" t="s">
        <v>960</v>
      </c>
      <c r="G23" s="222">
        <v>30</v>
      </c>
      <c r="H23" s="276">
        <f>G23/12*5.04</f>
        <v>12.6</v>
      </c>
      <c r="I23" s="277">
        <f>G23/12*5.79</f>
        <v>14.475</v>
      </c>
      <c r="J23" s="223">
        <f t="shared" si="1"/>
        <v>3</v>
      </c>
      <c r="K23" s="398">
        <v>0</v>
      </c>
      <c r="L23" s="224" t="str">
        <f>INDEX(bhpc_data[country_of_origin],MATCH($A23,bhpc_data[sku],0))</f>
        <v>SPAIN</v>
      </c>
      <c r="N23" s="294"/>
      <c r="S23" s="272"/>
      <c r="T23" s="272"/>
    </row>
    <row r="24" spans="1:20" ht="14.5" x14ac:dyDescent="0.35">
      <c r="A24" s="217" t="str">
        <v>GS5011</v>
      </c>
      <c r="B24" s="209" t="str">
        <f>INDEX(bhpc_data[description],MATCH($A24,bhpc_data[sku],0))</f>
        <v>BHPC GIFT SET SPORT MEN 2 EDT 50ML + DEO 175ML</v>
      </c>
      <c r="C24" s="218"/>
      <c r="D24" s="219"/>
      <c r="E24" s="220"/>
      <c r="F24" s="221" t="s">
        <v>960</v>
      </c>
      <c r="G24" s="222">
        <v>30</v>
      </c>
      <c r="H24" s="276">
        <f>G24/12*5.04</f>
        <v>12.6</v>
      </c>
      <c r="I24" s="277">
        <f>G24/12*5.79</f>
        <v>14.475</v>
      </c>
      <c r="J24" s="223">
        <f t="shared" si="1"/>
        <v>3</v>
      </c>
      <c r="K24" s="398">
        <v>0</v>
      </c>
      <c r="L24" s="224" t="str">
        <f>INDEX(bhpc_data[country_of_origin],MATCH($A24,bhpc_data[sku],0))</f>
        <v>SPAIN</v>
      </c>
      <c r="S24" s="272"/>
      <c r="T24" s="272"/>
    </row>
    <row r="25" spans="1:20" ht="14.5" x14ac:dyDescent="0.35">
      <c r="A25" s="217" t="str">
        <v>GS5028</v>
      </c>
      <c r="B25" s="209" t="str">
        <f>INDEX(bhpc_data[description],MATCH($A25,bhpc_data[sku],0))</f>
        <v>BHPC GIFT SET WOMEN 1 EDP 50ML + DEO 150ML</v>
      </c>
      <c r="C25" s="218"/>
      <c r="D25" s="219"/>
      <c r="E25" s="220"/>
      <c r="F25" s="221" t="s">
        <v>960</v>
      </c>
      <c r="G25" s="222">
        <v>30</v>
      </c>
      <c r="H25" s="276">
        <f>G25/12*4.78</f>
        <v>11.950000000000001</v>
      </c>
      <c r="I25" s="277">
        <f>G25/12*5.25</f>
        <v>13.125</v>
      </c>
      <c r="J25" s="223">
        <f t="shared" si="1"/>
        <v>3</v>
      </c>
      <c r="K25" s="398">
        <v>0</v>
      </c>
      <c r="L25" s="224" t="str">
        <f>INDEX(bhpc_data[country_of_origin],MATCH($A25,bhpc_data[sku],0))</f>
        <v>SPAIN</v>
      </c>
      <c r="S25" s="272"/>
      <c r="T25" s="272"/>
    </row>
    <row r="26" spans="1:20" ht="14.5" x14ac:dyDescent="0.35">
      <c r="A26" s="217" t="str">
        <v>GS5029</v>
      </c>
      <c r="B26" s="209" t="str">
        <f>INDEX(bhpc_data[description],MATCH($A26,bhpc_data[sku],0))</f>
        <v>BHPC GIFT SET WOMEN 9 EDP 50ML + DEO 150ML</v>
      </c>
      <c r="C26" s="218"/>
      <c r="D26" s="219"/>
      <c r="E26" s="220"/>
      <c r="F26" s="221" t="s">
        <v>960</v>
      </c>
      <c r="G26" s="222">
        <v>30</v>
      </c>
      <c r="H26" s="276">
        <f>G26/12*4.78</f>
        <v>11.950000000000001</v>
      </c>
      <c r="I26" s="277">
        <f>G26/12*5.25</f>
        <v>13.125</v>
      </c>
      <c r="J26" s="223">
        <f t="shared" si="1"/>
        <v>3</v>
      </c>
      <c r="K26" s="398">
        <v>0</v>
      </c>
      <c r="L26" s="224" t="str">
        <f>INDEX(bhpc_data[country_of_origin],MATCH($A26,bhpc_data[sku],0))</f>
        <v>SPAIN</v>
      </c>
      <c r="S26" s="272"/>
      <c r="T26" s="272"/>
    </row>
    <row r="27" spans="1:20" ht="14.5" x14ac:dyDescent="0.35">
      <c r="A27" s="217" t="str">
        <v>GS5030</v>
      </c>
      <c r="B27" s="209" t="str">
        <f>INDEX(bhpc_data[description],MATCH($A27,bhpc_data[sku],0))</f>
        <v>BHPC GIFT SET WOMEN 8 EDP 50ML + DEO 150ML</v>
      </c>
      <c r="C27" s="218"/>
      <c r="D27" s="219"/>
      <c r="E27" s="220"/>
      <c r="F27" s="221" t="s">
        <v>960</v>
      </c>
      <c r="G27" s="222">
        <v>30</v>
      </c>
      <c r="H27" s="276">
        <f>G27/12*4.78</f>
        <v>11.950000000000001</v>
      </c>
      <c r="I27" s="277">
        <f>G27/12*5.25</f>
        <v>13.125</v>
      </c>
      <c r="J27" s="223">
        <f t="shared" si="1"/>
        <v>3</v>
      </c>
      <c r="K27" s="398">
        <v>0</v>
      </c>
      <c r="L27" s="224" t="str">
        <f>INDEX(bhpc_data[country_of_origin],MATCH($A27,bhpc_data[sku],0))</f>
        <v>SPAIN</v>
      </c>
      <c r="S27" s="272"/>
      <c r="T27" s="272"/>
    </row>
    <row r="28" spans="1:20" ht="14.5" x14ac:dyDescent="0.35">
      <c r="A28" s="217" t="str">
        <v>GS5031</v>
      </c>
      <c r="B28" s="209" t="str">
        <f>INDEX(bhpc_data[description],MATCH($A28,bhpc_data[sku],0))</f>
        <v>BHPC GIFT SET WOMEN 2 EDP 50ML + DEO 150ML</v>
      </c>
      <c r="C28" s="218"/>
      <c r="D28" s="219"/>
      <c r="E28" s="220"/>
      <c r="F28" s="221" t="s">
        <v>960</v>
      </c>
      <c r="G28" s="222">
        <v>30</v>
      </c>
      <c r="H28" s="276">
        <f>G28/12*4.78</f>
        <v>11.950000000000001</v>
      </c>
      <c r="I28" s="277">
        <f>G28/12*5.25</f>
        <v>13.125</v>
      </c>
      <c r="J28" s="223">
        <f t="shared" si="1"/>
        <v>3</v>
      </c>
      <c r="K28" s="398">
        <v>0</v>
      </c>
      <c r="L28" s="224" t="str">
        <f>INDEX(bhpc_data[country_of_origin],MATCH($A28,bhpc_data[sku],0))</f>
        <v>SPAIN</v>
      </c>
      <c r="S28" s="272"/>
      <c r="T28" s="272"/>
    </row>
    <row r="29" spans="1:20" ht="14.5" x14ac:dyDescent="0.35">
      <c r="A29" s="217"/>
      <c r="B29" s="209"/>
      <c r="C29" s="218"/>
      <c r="D29" s="219"/>
      <c r="E29" s="220"/>
      <c r="F29" s="221"/>
      <c r="G29" s="222"/>
      <c r="H29" s="276"/>
      <c r="I29" s="277"/>
      <c r="J29" s="223"/>
      <c r="K29" s="398"/>
      <c r="L29" s="224"/>
      <c r="S29" s="272"/>
      <c r="T29" s="272"/>
    </row>
    <row r="30" spans="1:20" ht="14.5" x14ac:dyDescent="0.35">
      <c r="A30" s="217"/>
      <c r="B30" s="209"/>
      <c r="C30" s="218"/>
      <c r="D30" s="219"/>
      <c r="E30" s="220"/>
      <c r="F30" s="221"/>
      <c r="G30" s="222"/>
      <c r="H30" s="276"/>
      <c r="I30" s="277"/>
      <c r="J30" s="223"/>
      <c r="K30" s="398"/>
      <c r="L30" s="224"/>
      <c r="S30" s="272"/>
      <c r="T30" s="272"/>
    </row>
    <row r="31" spans="1:20" ht="14.5" x14ac:dyDescent="0.35">
      <c r="A31" s="217"/>
      <c r="B31" s="209"/>
      <c r="C31" s="218"/>
      <c r="D31" s="219"/>
      <c r="E31" s="220"/>
      <c r="F31" s="221"/>
      <c r="G31" s="222"/>
      <c r="H31" s="276"/>
      <c r="I31" s="277"/>
      <c r="J31" s="223"/>
      <c r="K31" s="398"/>
      <c r="L31" s="224"/>
      <c r="S31" s="272"/>
      <c r="T31" s="272"/>
    </row>
    <row r="32" spans="1:20" ht="14.5" x14ac:dyDescent="0.35">
      <c r="A32" s="217"/>
      <c r="B32" s="209"/>
      <c r="C32" s="218"/>
      <c r="D32" s="219"/>
      <c r="E32" s="220"/>
      <c r="F32" s="221"/>
      <c r="G32" s="222"/>
      <c r="H32" s="276"/>
      <c r="I32" s="277"/>
      <c r="J32" s="223"/>
      <c r="K32" s="398"/>
      <c r="L32" s="224"/>
      <c r="S32" s="272"/>
      <c r="T32" s="272"/>
    </row>
    <row r="33" spans="1:20" ht="14.5" x14ac:dyDescent="0.35">
      <c r="A33" s="217"/>
      <c r="B33" s="209"/>
      <c r="C33" s="218"/>
      <c r="D33" s="219"/>
      <c r="E33" s="220"/>
      <c r="F33" s="221"/>
      <c r="G33" s="222"/>
      <c r="H33" s="276"/>
      <c r="I33" s="277"/>
      <c r="J33" s="223"/>
      <c r="K33" s="398"/>
      <c r="L33" s="224"/>
      <c r="S33" s="272"/>
      <c r="T33" s="272"/>
    </row>
    <row r="34" spans="1:20" ht="14.5" x14ac:dyDescent="0.35">
      <c r="A34" s="217"/>
      <c r="B34" s="209"/>
      <c r="C34" s="218"/>
      <c r="D34" s="219"/>
      <c r="E34" s="220"/>
      <c r="F34" s="221"/>
      <c r="G34" s="222"/>
      <c r="H34" s="276"/>
      <c r="I34" s="277"/>
      <c r="J34" s="223"/>
      <c r="K34" s="398"/>
      <c r="L34" s="224"/>
      <c r="S34" s="272"/>
      <c r="T34" s="272"/>
    </row>
    <row r="35" spans="1:20" ht="14.5" x14ac:dyDescent="0.35">
      <c r="A35" s="217"/>
      <c r="B35" s="209"/>
      <c r="C35" s="218"/>
      <c r="D35" s="219"/>
      <c r="E35" s="220"/>
      <c r="F35" s="221"/>
      <c r="G35" s="222"/>
      <c r="H35" s="276"/>
      <c r="I35" s="277"/>
      <c r="J35" s="223"/>
      <c r="K35" s="398"/>
      <c r="L35" s="224"/>
      <c r="S35" s="272"/>
      <c r="T35" s="272"/>
    </row>
    <row r="36" spans="1:20" ht="14.5" x14ac:dyDescent="0.35">
      <c r="A36" s="217"/>
      <c r="B36" s="209"/>
      <c r="C36" s="218"/>
      <c r="D36" s="219"/>
      <c r="E36" s="220"/>
      <c r="F36" s="221"/>
      <c r="G36" s="222"/>
      <c r="H36" s="276"/>
      <c r="I36" s="277"/>
      <c r="J36" s="223"/>
      <c r="K36" s="398"/>
      <c r="L36" s="224"/>
      <c r="S36" s="272"/>
      <c r="T36" s="272"/>
    </row>
    <row r="37" spans="1:20" ht="14.5" x14ac:dyDescent="0.35">
      <c r="A37" s="217"/>
      <c r="B37" s="209"/>
      <c r="C37" s="218"/>
      <c r="D37" s="219"/>
      <c r="E37" s="220"/>
      <c r="F37" s="221"/>
      <c r="G37" s="222"/>
      <c r="H37" s="276"/>
      <c r="I37" s="277"/>
      <c r="J37" s="223"/>
      <c r="K37" s="398"/>
      <c r="L37" s="224"/>
      <c r="S37" s="272"/>
      <c r="T37" s="272"/>
    </row>
    <row r="38" spans="1:20" ht="14.5" x14ac:dyDescent="0.35">
      <c r="A38" s="217"/>
      <c r="B38" s="209"/>
      <c r="C38" s="218"/>
      <c r="D38" s="219"/>
      <c r="E38" s="220"/>
      <c r="F38" s="221"/>
      <c r="G38" s="222"/>
      <c r="H38" s="276"/>
      <c r="I38" s="277"/>
      <c r="J38" s="223"/>
      <c r="K38" s="398"/>
      <c r="L38" s="224"/>
    </row>
    <row r="39" spans="1:20" ht="14.5" x14ac:dyDescent="0.35">
      <c r="A39" s="217"/>
      <c r="B39" s="209"/>
      <c r="C39" s="218"/>
      <c r="D39" s="219"/>
      <c r="E39" s="220"/>
      <c r="F39" s="221"/>
      <c r="G39" s="222"/>
      <c r="H39" s="276"/>
      <c r="I39" s="277"/>
      <c r="J39" s="223"/>
      <c r="K39" s="398"/>
      <c r="L39" s="224"/>
    </row>
    <row r="40" spans="1:20" ht="14.5" x14ac:dyDescent="0.35">
      <c r="A40" s="217"/>
      <c r="B40" s="209"/>
      <c r="C40" s="218"/>
      <c r="D40" s="219"/>
      <c r="E40" s="220"/>
      <c r="F40" s="221"/>
      <c r="G40" s="222"/>
      <c r="H40" s="276"/>
      <c r="I40" s="277"/>
      <c r="J40" s="223"/>
      <c r="K40" s="398"/>
      <c r="L40" s="224"/>
    </row>
    <row r="41" spans="1:20" ht="14.5" x14ac:dyDescent="0.35">
      <c r="A41" s="217"/>
      <c r="B41" s="209"/>
      <c r="C41" s="218"/>
      <c r="D41" s="219"/>
      <c r="E41" s="220"/>
      <c r="F41" s="221"/>
      <c r="G41" s="222"/>
      <c r="H41" s="276"/>
      <c r="I41" s="277"/>
      <c r="J41" s="223"/>
      <c r="K41" s="398"/>
      <c r="L41" s="224"/>
    </row>
    <row r="42" spans="1:20" ht="14.5" x14ac:dyDescent="0.35">
      <c r="A42" s="217"/>
      <c r="B42" s="209"/>
      <c r="C42" s="218"/>
      <c r="D42" s="219"/>
      <c r="E42" s="220"/>
      <c r="F42" s="221"/>
      <c r="G42" s="222"/>
      <c r="H42" s="276"/>
      <c r="I42" s="277"/>
      <c r="J42" s="223"/>
      <c r="K42" s="398"/>
      <c r="L42" s="224"/>
    </row>
    <row r="43" spans="1:20" ht="14.5" x14ac:dyDescent="0.35">
      <c r="A43" s="217"/>
      <c r="B43" s="209"/>
      <c r="C43" s="218"/>
      <c r="D43" s="219"/>
      <c r="E43" s="220"/>
      <c r="F43" s="221"/>
      <c r="G43" s="222"/>
      <c r="H43" s="276"/>
      <c r="I43" s="277"/>
      <c r="J43" s="223"/>
      <c r="K43" s="398"/>
      <c r="L43" s="224"/>
    </row>
    <row r="44" spans="1:20" ht="14.5" x14ac:dyDescent="0.35">
      <c r="A44" s="217"/>
      <c r="B44" s="209"/>
      <c r="C44" s="218"/>
      <c r="D44" s="219"/>
      <c r="E44" s="220"/>
      <c r="F44" s="221"/>
      <c r="G44" s="222"/>
      <c r="H44" s="276"/>
      <c r="I44" s="277"/>
      <c r="J44" s="223"/>
      <c r="K44" s="398"/>
      <c r="L44" s="224"/>
    </row>
    <row r="45" spans="1:20" ht="14.5" x14ac:dyDescent="0.35">
      <c r="A45" s="217"/>
      <c r="B45" s="209"/>
      <c r="C45" s="218"/>
      <c r="D45" s="219"/>
      <c r="E45" s="220"/>
      <c r="F45" s="221"/>
      <c r="G45" s="222"/>
      <c r="H45" s="276"/>
      <c r="I45" s="277"/>
      <c r="J45" s="223"/>
      <c r="K45" s="398"/>
      <c r="L45" s="224"/>
    </row>
    <row r="46" spans="1:20" ht="14.5" x14ac:dyDescent="0.35">
      <c r="A46" s="217"/>
      <c r="B46" s="209"/>
      <c r="C46" s="218"/>
      <c r="D46" s="219"/>
      <c r="E46" s="220"/>
      <c r="F46" s="221"/>
      <c r="G46" s="222"/>
      <c r="H46" s="276"/>
      <c r="I46" s="277"/>
      <c r="J46" s="223"/>
      <c r="K46" s="398"/>
      <c r="L46" s="224"/>
    </row>
    <row r="47" spans="1:20" ht="14.5" x14ac:dyDescent="0.35">
      <c r="A47" s="217"/>
      <c r="B47" s="209"/>
      <c r="C47" s="218"/>
      <c r="D47" s="219"/>
      <c r="E47" s="220"/>
      <c r="F47" s="221"/>
      <c r="G47" s="222"/>
      <c r="H47" s="276"/>
      <c r="I47" s="277"/>
      <c r="J47" s="223"/>
      <c r="K47" s="398"/>
      <c r="L47" s="224"/>
    </row>
    <row r="48" spans="1:20" ht="14.5" x14ac:dyDescent="0.35">
      <c r="A48" s="217"/>
      <c r="B48" s="209"/>
      <c r="C48" s="218"/>
      <c r="D48" s="219"/>
      <c r="E48" s="220"/>
      <c r="F48" s="221"/>
      <c r="G48" s="222"/>
      <c r="H48" s="276"/>
      <c r="I48" s="277"/>
      <c r="J48" s="223"/>
      <c r="K48" s="398"/>
      <c r="L48" s="224"/>
    </row>
    <row r="49" spans="1:15" ht="14.5" x14ac:dyDescent="0.35">
      <c r="A49" s="217"/>
      <c r="B49" s="209"/>
      <c r="C49" s="218"/>
      <c r="D49" s="219"/>
      <c r="E49" s="220"/>
      <c r="F49" s="221"/>
      <c r="G49" s="222"/>
      <c r="H49" s="276"/>
      <c r="I49" s="277"/>
      <c r="J49" s="223"/>
      <c r="K49" s="398"/>
      <c r="L49" s="224"/>
    </row>
    <row r="50" spans="1:15" ht="14.5" x14ac:dyDescent="0.35">
      <c r="A50" s="217"/>
      <c r="B50" s="209"/>
      <c r="C50" s="218"/>
      <c r="D50" s="219"/>
      <c r="E50" s="220"/>
      <c r="F50" s="221"/>
      <c r="G50" s="222"/>
      <c r="H50" s="276"/>
      <c r="I50" s="277"/>
      <c r="J50" s="223"/>
      <c r="K50" s="398"/>
      <c r="L50" s="224"/>
    </row>
    <row r="51" spans="1:15" ht="14.5" x14ac:dyDescent="0.35">
      <c r="A51" s="217"/>
      <c r="B51" s="209"/>
      <c r="C51" s="218"/>
      <c r="D51" s="219"/>
      <c r="E51" s="220"/>
      <c r="F51" s="221"/>
      <c r="G51" s="222"/>
      <c r="H51" s="276"/>
      <c r="I51" s="277"/>
      <c r="J51" s="223"/>
      <c r="K51" s="398"/>
      <c r="L51" s="224"/>
    </row>
    <row r="52" spans="1:15" ht="14.5" x14ac:dyDescent="0.35">
      <c r="A52" s="217"/>
      <c r="B52" s="209"/>
      <c r="C52" s="218"/>
      <c r="D52" s="219"/>
      <c r="E52" s="220"/>
      <c r="F52" s="221"/>
      <c r="G52" s="222"/>
      <c r="H52" s="276"/>
      <c r="I52" s="277"/>
      <c r="J52" s="223"/>
      <c r="K52" s="398"/>
      <c r="L52" s="224"/>
    </row>
    <row r="53" spans="1:15" ht="14.5" x14ac:dyDescent="0.35">
      <c r="A53" s="217"/>
      <c r="B53" s="209"/>
      <c r="C53" s="218"/>
      <c r="D53" s="219"/>
      <c r="E53" s="220"/>
      <c r="F53" s="221"/>
      <c r="G53" s="222"/>
      <c r="H53" s="276"/>
      <c r="I53" s="277"/>
      <c r="J53" s="223"/>
      <c r="K53" s="398"/>
      <c r="L53" s="224"/>
    </row>
    <row r="54" spans="1:15" ht="14.5" x14ac:dyDescent="0.35">
      <c r="A54" s="217"/>
      <c r="B54" s="209"/>
      <c r="C54" s="218"/>
      <c r="D54" s="219"/>
      <c r="E54" s="220"/>
      <c r="F54" s="221"/>
      <c r="G54" s="222"/>
      <c r="H54" s="276"/>
      <c r="I54" s="277"/>
      <c r="J54" s="223"/>
      <c r="K54" s="398"/>
      <c r="L54" s="224"/>
    </row>
    <row r="55" spans="1:15" x14ac:dyDescent="0.35">
      <c r="A55" s="225"/>
      <c r="B55" s="226"/>
      <c r="C55" s="206"/>
      <c r="D55" s="227"/>
      <c r="E55" s="206"/>
      <c r="F55" s="228"/>
      <c r="G55" s="225" t="s">
        <v>506</v>
      </c>
      <c r="H55" s="226"/>
      <c r="I55" s="225" t="s">
        <v>507</v>
      </c>
      <c r="J55" s="226"/>
      <c r="K55" s="226"/>
      <c r="L55" s="229"/>
    </row>
    <row r="56" spans="1:15" ht="15" customHeight="1" x14ac:dyDescent="0.35">
      <c r="A56" s="230"/>
      <c r="B56" s="231"/>
      <c r="C56" s="231"/>
      <c r="D56" s="232"/>
      <c r="E56" s="231"/>
      <c r="F56" s="136"/>
      <c r="G56" s="667"/>
      <c r="H56" s="669"/>
      <c r="I56" s="667"/>
      <c r="J56" s="668"/>
      <c r="K56" s="668"/>
      <c r="L56" s="669"/>
    </row>
    <row r="57" spans="1:15" s="140" customFormat="1" x14ac:dyDescent="0.35">
      <c r="A57" s="233" t="s">
        <v>508</v>
      </c>
      <c r="B57" s="234"/>
      <c r="C57" s="235" t="s">
        <v>509</v>
      </c>
      <c r="D57" s="236"/>
      <c r="E57" s="237" t="s">
        <v>510</v>
      </c>
      <c r="F57" s="238"/>
      <c r="G57" s="237" t="s">
        <v>511</v>
      </c>
      <c r="H57" s="206"/>
      <c r="I57" s="237" t="s">
        <v>512</v>
      </c>
      <c r="J57" s="206"/>
      <c r="K57" s="206"/>
      <c r="L57" s="239"/>
      <c r="N57" s="125"/>
      <c r="O57" s="125"/>
    </row>
    <row r="58" spans="1:15" ht="15" customHeight="1" x14ac:dyDescent="0.35">
      <c r="A58" s="672" t="e">
        <f>SUM($G$11:$G$54)</f>
        <v>#NAME?</v>
      </c>
      <c r="B58" s="673"/>
      <c r="C58" s="672">
        <f>SUM($J$11:$J$54)</f>
        <v>37</v>
      </c>
      <c r="D58" s="673"/>
      <c r="E58" s="667">
        <v>1</v>
      </c>
      <c r="F58" s="669"/>
      <c r="G58" s="667" t="s">
        <v>635</v>
      </c>
      <c r="H58" s="669"/>
      <c r="I58" s="667"/>
      <c r="J58" s="668"/>
      <c r="K58" s="668"/>
      <c r="L58" s="669"/>
    </row>
    <row r="59" spans="1:15" s="140" customFormat="1" x14ac:dyDescent="0.35">
      <c r="A59" s="225" t="s">
        <v>513</v>
      </c>
      <c r="B59" s="229"/>
      <c r="C59" s="237" t="s">
        <v>514</v>
      </c>
      <c r="D59" s="240"/>
      <c r="E59" s="235" t="s">
        <v>515</v>
      </c>
      <c r="G59" s="237" t="s">
        <v>516</v>
      </c>
      <c r="H59" s="206"/>
      <c r="I59" s="206"/>
      <c r="J59" s="226"/>
      <c r="K59" s="226"/>
      <c r="L59" s="229"/>
      <c r="N59" s="125"/>
      <c r="O59" s="125"/>
    </row>
    <row r="60" spans="1:15" ht="15" customHeight="1" x14ac:dyDescent="0.35">
      <c r="A60" s="670">
        <f>ROUND(SUM(H11:$H$54),1)</f>
        <v>157.6</v>
      </c>
      <c r="B60" s="671"/>
      <c r="C60" s="670">
        <f>ROUND(SUM($I$11:$I$54),1)</f>
        <v>174.9</v>
      </c>
      <c r="D60" s="671"/>
      <c r="E60" s="670">
        <f>C60+E58*IF(G58="80x120",25,20)</f>
        <v>199.9</v>
      </c>
      <c r="F60" s="671"/>
      <c r="G60" s="241"/>
      <c r="H60" s="242"/>
      <c r="I60" s="242"/>
      <c r="J60" s="242"/>
      <c r="K60" s="242"/>
      <c r="L60" s="243"/>
    </row>
    <row r="61" spans="1:15" ht="14.15" customHeight="1" x14ac:dyDescent="0.35">
      <c r="A61" s="237" t="s">
        <v>517</v>
      </c>
      <c r="B61" s="206"/>
      <c r="C61" s="206"/>
      <c r="D61" s="206"/>
      <c r="E61" s="244"/>
      <c r="F61" s="124"/>
      <c r="G61" s="245"/>
      <c r="H61" s="246"/>
      <c r="I61" s="246"/>
      <c r="J61" s="247"/>
      <c r="K61" s="247"/>
      <c r="L61" s="248"/>
    </row>
    <row r="62" spans="1:15" ht="14.15" customHeight="1" x14ac:dyDescent="0.35">
      <c r="A62" s="249"/>
      <c r="B62" s="250"/>
      <c r="C62" s="242"/>
      <c r="D62" s="242"/>
      <c r="E62" s="242"/>
      <c r="F62" s="128"/>
      <c r="G62" s="245"/>
      <c r="H62" s="246"/>
      <c r="I62" s="246"/>
      <c r="J62" s="246"/>
      <c r="K62" s="246"/>
      <c r="L62" s="248"/>
    </row>
    <row r="63" spans="1:15" ht="14.15" customHeight="1" x14ac:dyDescent="0.35">
      <c r="A63" s="249"/>
      <c r="B63" s="242"/>
      <c r="C63" s="242"/>
      <c r="D63" s="251"/>
      <c r="E63" s="242"/>
      <c r="F63" s="128"/>
      <c r="G63" s="245"/>
      <c r="H63" s="246"/>
      <c r="I63" s="246"/>
      <c r="J63" s="246"/>
      <c r="K63" s="246"/>
      <c r="L63" s="248"/>
    </row>
    <row r="64" spans="1:15" ht="14.15" customHeight="1" x14ac:dyDescent="0.35">
      <c r="A64" s="230"/>
      <c r="B64" s="231"/>
      <c r="C64" s="231"/>
      <c r="D64" s="232"/>
      <c r="E64" s="231"/>
      <c r="F64" s="136"/>
      <c r="G64" s="252"/>
      <c r="H64" s="253"/>
      <c r="I64" s="253"/>
      <c r="J64" s="253"/>
      <c r="K64" s="253"/>
      <c r="L64" s="254"/>
    </row>
  </sheetData>
  <mergeCells count="22">
    <mergeCell ref="A1:B1"/>
    <mergeCell ref="H1:J1"/>
    <mergeCell ref="A8:B8"/>
    <mergeCell ref="C8:D8"/>
    <mergeCell ref="G8:I8"/>
    <mergeCell ref="J8:L8"/>
    <mergeCell ref="A9:B9"/>
    <mergeCell ref="C9:D9"/>
    <mergeCell ref="E9:F9"/>
    <mergeCell ref="G9:I9"/>
    <mergeCell ref="J9:L9"/>
    <mergeCell ref="B10:E10"/>
    <mergeCell ref="I58:L58"/>
    <mergeCell ref="I56:L56"/>
    <mergeCell ref="G56:H56"/>
    <mergeCell ref="A60:B60"/>
    <mergeCell ref="G58:H58"/>
    <mergeCell ref="C60:D60"/>
    <mergeCell ref="E60:F60"/>
    <mergeCell ref="E58:F58"/>
    <mergeCell ref="C58:D58"/>
    <mergeCell ref="A58:B58"/>
  </mergeCell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16"/>
  <dimension ref="A1:O118"/>
  <sheetViews>
    <sheetView showGridLines="0" topLeftCell="A10" zoomScaleSheetLayoutView="100" workbookViewId="0">
      <selection activeCell="I82" sqref="I82"/>
    </sheetView>
  </sheetViews>
  <sheetFormatPr defaultColWidth="10.7265625" defaultRowHeight="12.5" x14ac:dyDescent="0.35"/>
  <cols>
    <col min="1" max="1" width="7.7265625" style="125" customWidth="1"/>
    <col min="2" max="2" width="15.453125" style="125" customWidth="1"/>
    <col min="3" max="3" width="12.7265625" style="125" customWidth="1"/>
    <col min="4" max="4" width="9.54296875" style="126" customWidth="1"/>
    <col min="5" max="5" width="15.54296875" style="125" customWidth="1"/>
    <col min="6" max="6" width="3.453125" style="127" customWidth="1"/>
    <col min="7" max="8" width="7.54296875" style="125" customWidth="1"/>
    <col min="9" max="9" width="7.54296875" style="127" customWidth="1"/>
    <col min="10" max="10" width="7.54296875" style="125" customWidth="1"/>
    <col min="11" max="11" width="13.1796875" style="125" customWidth="1"/>
    <col min="12" max="12" width="9.54296875" style="125" customWidth="1"/>
    <col min="13" max="16384" width="10.7265625" style="125"/>
  </cols>
  <sheetData>
    <row r="1" spans="1:12" x14ac:dyDescent="0.35">
      <c r="A1" s="679"/>
      <c r="B1" s="679"/>
      <c r="G1" s="128"/>
      <c r="H1" s="578"/>
      <c r="I1" s="581"/>
      <c r="J1" s="581"/>
      <c r="K1" s="150"/>
      <c r="L1" s="124"/>
    </row>
    <row r="2" spans="1:12" ht="13" x14ac:dyDescent="0.35">
      <c r="G2" s="128"/>
      <c r="H2" s="129" t="s">
        <v>630</v>
      </c>
      <c r="I2" s="130"/>
      <c r="J2" s="130"/>
      <c r="K2" s="130"/>
      <c r="L2" s="128"/>
    </row>
    <row r="3" spans="1:12" ht="13" x14ac:dyDescent="0.35">
      <c r="G3" s="128"/>
      <c r="H3" s="131"/>
      <c r="I3" s="125"/>
      <c r="J3" s="130"/>
      <c r="K3" s="130"/>
      <c r="L3" s="128"/>
    </row>
    <row r="4" spans="1:12" ht="13" x14ac:dyDescent="0.35">
      <c r="G4" s="128"/>
      <c r="H4" s="131" t="s">
        <v>631</v>
      </c>
      <c r="I4" s="125"/>
      <c r="J4" s="130"/>
      <c r="K4" s="130"/>
      <c r="L4" s="128"/>
    </row>
    <row r="5" spans="1:12" ht="13" x14ac:dyDescent="0.35">
      <c r="G5" s="128"/>
      <c r="H5" s="131" t="s">
        <v>632</v>
      </c>
      <c r="I5" s="125"/>
      <c r="J5" s="130"/>
      <c r="K5" s="130"/>
      <c r="L5" s="128"/>
    </row>
    <row r="6" spans="1:12" ht="13" x14ac:dyDescent="0.35">
      <c r="G6" s="128"/>
      <c r="H6" s="131" t="s">
        <v>629</v>
      </c>
      <c r="J6" s="130"/>
      <c r="K6" s="130"/>
      <c r="L6" s="128"/>
    </row>
    <row r="7" spans="1:12" x14ac:dyDescent="0.35">
      <c r="A7" s="133"/>
      <c r="B7" s="133"/>
      <c r="C7" s="133"/>
      <c r="D7" s="134"/>
      <c r="E7" s="133"/>
      <c r="F7" s="135"/>
      <c r="G7" s="136"/>
      <c r="H7" s="137"/>
      <c r="I7" s="135"/>
      <c r="J7" s="133"/>
      <c r="K7" s="133"/>
      <c r="L7" s="136"/>
    </row>
    <row r="8" spans="1:12" x14ac:dyDescent="0.35">
      <c r="A8" s="578" t="s">
        <v>470</v>
      </c>
      <c r="B8" s="579"/>
      <c r="C8" s="578" t="s">
        <v>471</v>
      </c>
      <c r="D8" s="579"/>
      <c r="E8" s="206" t="s">
        <v>727</v>
      </c>
      <c r="F8" s="207"/>
      <c r="G8" s="578" t="s">
        <v>503</v>
      </c>
      <c r="H8" s="581"/>
      <c r="I8" s="581"/>
      <c r="J8" s="565"/>
      <c r="K8" s="566"/>
      <c r="L8" s="568"/>
    </row>
    <row r="9" spans="1:12" s="127" customFormat="1" x14ac:dyDescent="0.25">
      <c r="A9" s="674" t="s">
        <v>504</v>
      </c>
      <c r="B9" s="675"/>
      <c r="C9" s="676">
        <v>45477</v>
      </c>
      <c r="D9" s="677"/>
      <c r="E9" s="678" t="s">
        <v>741</v>
      </c>
      <c r="F9" s="678"/>
      <c r="G9" s="674" t="s">
        <v>629</v>
      </c>
      <c r="H9" s="678"/>
      <c r="I9" s="678"/>
      <c r="J9" s="674"/>
      <c r="K9" s="678"/>
      <c r="L9" s="675"/>
    </row>
    <row r="10" spans="1:12" ht="29.5" customHeight="1" x14ac:dyDescent="0.35">
      <c r="A10" s="208" t="s">
        <v>477</v>
      </c>
      <c r="B10" s="569" t="s">
        <v>478</v>
      </c>
      <c r="C10" s="665"/>
      <c r="D10" s="665"/>
      <c r="E10" s="666"/>
      <c r="F10" s="143" t="s">
        <v>479</v>
      </c>
      <c r="G10" s="142" t="s">
        <v>480</v>
      </c>
      <c r="H10" s="142" t="s">
        <v>1191</v>
      </c>
      <c r="I10" s="208" t="s">
        <v>1192</v>
      </c>
      <c r="J10" s="142" t="s">
        <v>482</v>
      </c>
      <c r="K10" s="142" t="s">
        <v>1189</v>
      </c>
      <c r="L10" s="142" t="s">
        <v>505</v>
      </c>
    </row>
    <row r="11" spans="1:12" ht="14.5" x14ac:dyDescent="0.35">
      <c r="A11" s="209"/>
      <c r="B11" s="210" t="s">
        <v>485</v>
      </c>
      <c r="C11" s="211"/>
      <c r="D11" s="212"/>
      <c r="E11" s="213"/>
      <c r="F11" s="214"/>
      <c r="G11" s="214"/>
      <c r="H11" s="274"/>
      <c r="I11" s="275"/>
      <c r="J11" s="215"/>
      <c r="K11" s="397"/>
      <c r="L11" s="216"/>
    </row>
    <row r="12" spans="1:12" ht="14.5" x14ac:dyDescent="0.35">
      <c r="A12" s="217" t="str">
        <f t="array" ref="A12:A37">INDEX(salesHistory[sku], SMALL(IF((salesHistory[qty]&lt;&gt;0)*(salesHistory[order_no]=9), ROW(salesHistory[qty])-MIN(ROW(salesHistory[qty]))+1), ROW(A1:A26)))</f>
        <v>P05004</v>
      </c>
      <c r="B12" s="209" t="str">
        <f>INDEX(bhpc_data[description],MATCH($A12,bhpc_data[sku],0))</f>
        <v>BHPC SPORT MEN 1 EDT 100ML</v>
      </c>
      <c r="C12" s="218"/>
      <c r="D12" s="219"/>
      <c r="E12" s="220"/>
      <c r="F12" s="221" t="s">
        <v>960</v>
      </c>
      <c r="G12" s="222">
        <f t="array" ref="G12:G37">INDEX(salesHistory[qty], SMALL(IF((salesHistory[qty]&lt;&gt;0)*(salesHistory[order_no]=9), ROW(salesHistory[qty])-MIN(ROW(salesHistory[qty]))+1), ROW(A1:A26)))</f>
        <v>180</v>
      </c>
      <c r="H12" s="276">
        <f>G12/24*7.52</f>
        <v>56.4</v>
      </c>
      <c r="I12" s="277">
        <f>G12/24*8.23</f>
        <v>61.725000000000001</v>
      </c>
      <c r="J12" s="223">
        <f t="shared" ref="J12:J25" si="0">CEILING(G12/24,1)</f>
        <v>8</v>
      </c>
      <c r="K12" s="398" t="str">
        <f t="array" ref="K12:K37">INDEX(salesHistory[hs_code], SMALL(IF((salesHistory[qty]&lt;&gt;0)*(salesHistory[order_no]=9), ROW(salesHistory[qty])-MIN(ROW(salesHistory[qty]))+1), ROW(A1:A26)))</f>
        <v>33030010</v>
      </c>
      <c r="L12" s="224" t="str">
        <f>INDEX(bhpc_data[country_of_origin],MATCH($A12,bhpc_data[sku],0))</f>
        <v>SPAIN</v>
      </c>
    </row>
    <row r="13" spans="1:12" ht="14.5" x14ac:dyDescent="0.35">
      <c r="A13" s="217" t="str">
        <v>P05005</v>
      </c>
      <c r="B13" s="209" t="str">
        <f>INDEX(bhpc_data[description],MATCH($A13,bhpc_data[sku],0))</f>
        <v>BHPC SPORT MEN 9 EDT 100ML</v>
      </c>
      <c r="C13" s="218"/>
      <c r="D13" s="219"/>
      <c r="E13" s="220"/>
      <c r="F13" s="221" t="s">
        <v>960</v>
      </c>
      <c r="G13" s="222">
        <v>108</v>
      </c>
      <c r="H13" s="276">
        <f>G13/24*7.52</f>
        <v>33.839999999999996</v>
      </c>
      <c r="I13" s="277">
        <f>G13/24*8.23</f>
        <v>37.035000000000004</v>
      </c>
      <c r="J13" s="223">
        <f t="shared" si="0"/>
        <v>5</v>
      </c>
      <c r="K13" s="398" t="str">
        <v>33030010</v>
      </c>
      <c r="L13" s="224" t="str">
        <f>INDEX(bhpc_data[country_of_origin],MATCH($A13,bhpc_data[sku],0))</f>
        <v>SPAIN</v>
      </c>
    </row>
    <row r="14" spans="1:12" ht="14.5" x14ac:dyDescent="0.35">
      <c r="A14" s="217" t="str">
        <v>P05006</v>
      </c>
      <c r="B14" s="209" t="str">
        <f>INDEX(bhpc_data[description],MATCH($A14,bhpc_data[sku],0))</f>
        <v>BHPC SPORT MEN 8 EDT 100ML</v>
      </c>
      <c r="C14" s="218"/>
      <c r="D14" s="219"/>
      <c r="E14" s="220"/>
      <c r="F14" s="221" t="s">
        <v>960</v>
      </c>
      <c r="G14" s="222">
        <v>180</v>
      </c>
      <c r="H14" s="276">
        <f>G14/24*7.52</f>
        <v>56.4</v>
      </c>
      <c r="I14" s="277">
        <f>G14/24*8.23</f>
        <v>61.725000000000001</v>
      </c>
      <c r="J14" s="223">
        <f t="shared" si="0"/>
        <v>8</v>
      </c>
      <c r="K14" s="398" t="str">
        <v>33030010</v>
      </c>
      <c r="L14" s="224" t="str">
        <f>INDEX(bhpc_data[country_of_origin],MATCH($A14,bhpc_data[sku],0))</f>
        <v>SPAIN</v>
      </c>
    </row>
    <row r="15" spans="1:12" ht="14.5" x14ac:dyDescent="0.35">
      <c r="A15" s="217" t="str">
        <v>P05007</v>
      </c>
      <c r="B15" s="209" t="str">
        <f>INDEX(bhpc_data[description],MATCH($A15,bhpc_data[sku],0))</f>
        <v>BHPC SPORT MEN 2 EDT 100ML</v>
      </c>
      <c r="C15" s="218"/>
      <c r="D15" s="219"/>
      <c r="E15" s="220"/>
      <c r="F15" s="221" t="s">
        <v>960</v>
      </c>
      <c r="G15" s="222">
        <v>108</v>
      </c>
      <c r="H15" s="276">
        <f>G15/24*7.52</f>
        <v>33.839999999999996</v>
      </c>
      <c r="I15" s="277">
        <f>G15/24*8.23</f>
        <v>37.035000000000004</v>
      </c>
      <c r="J15" s="223">
        <f t="shared" si="0"/>
        <v>5</v>
      </c>
      <c r="K15" s="398" t="str">
        <v>33030010</v>
      </c>
      <c r="L15" s="224" t="str">
        <f>INDEX(bhpc_data[country_of_origin],MATCH($A15,bhpc_data[sku],0))</f>
        <v>SPAIN</v>
      </c>
    </row>
    <row r="16" spans="1:12" ht="14.5" x14ac:dyDescent="0.35">
      <c r="A16" s="217" t="str">
        <v>P05050</v>
      </c>
      <c r="B16" s="209" t="str">
        <f>INDEX(bhpc_data[description],MATCH($A16,bhpc_data[sku],0))</f>
        <v>BHPC WOMEN 1 EDP 100ML</v>
      </c>
      <c r="C16" s="218"/>
      <c r="D16" s="219"/>
      <c r="E16" s="220"/>
      <c r="F16" s="221" t="s">
        <v>960</v>
      </c>
      <c r="G16" s="222">
        <v>180</v>
      </c>
      <c r="H16" s="276">
        <f>G16/24*6.87</f>
        <v>51.524999999999999</v>
      </c>
      <c r="I16" s="277">
        <f>G16/24*7.56</f>
        <v>56.699999999999996</v>
      </c>
      <c r="J16" s="223">
        <f t="shared" si="0"/>
        <v>8</v>
      </c>
      <c r="K16" s="398" t="str">
        <v>33030010</v>
      </c>
      <c r="L16" s="224" t="str">
        <f>INDEX(bhpc_data[country_of_origin],MATCH($A16,bhpc_data[sku],0))</f>
        <v>SPAIN</v>
      </c>
    </row>
    <row r="17" spans="1:12" ht="14.5" x14ac:dyDescent="0.35">
      <c r="A17" s="217" t="str">
        <v>P05051</v>
      </c>
      <c r="B17" s="209" t="str">
        <f>INDEX(bhpc_data[description],MATCH($A17,bhpc_data[sku],0))</f>
        <v>BHPC WOMEN 9 EDP 100ML</v>
      </c>
      <c r="C17" s="218"/>
      <c r="D17" s="219"/>
      <c r="E17" s="220"/>
      <c r="F17" s="221" t="s">
        <v>960</v>
      </c>
      <c r="G17" s="222">
        <v>180</v>
      </c>
      <c r="H17" s="276">
        <f>G17/24*6.87</f>
        <v>51.524999999999999</v>
      </c>
      <c r="I17" s="277">
        <f>G17/24*7.56</f>
        <v>56.699999999999996</v>
      </c>
      <c r="J17" s="223">
        <f t="shared" si="0"/>
        <v>8</v>
      </c>
      <c r="K17" s="398" t="str">
        <v>33030010</v>
      </c>
      <c r="L17" s="224" t="str">
        <f>INDEX(bhpc_data[country_of_origin],MATCH($A17,bhpc_data[sku],0))</f>
        <v>SPAIN</v>
      </c>
    </row>
    <row r="18" spans="1:12" ht="14.5" x14ac:dyDescent="0.35">
      <c r="A18" s="217" t="str">
        <v>P05052</v>
      </c>
      <c r="B18" s="209" t="str">
        <f>INDEX(bhpc_data[description],MATCH($A18,bhpc_data[sku],0))</f>
        <v>BHPC WOMEN 8 EDP 100ML</v>
      </c>
      <c r="C18" s="218"/>
      <c r="D18" s="219"/>
      <c r="E18" s="220"/>
      <c r="F18" s="221" t="s">
        <v>960</v>
      </c>
      <c r="G18" s="222">
        <v>154</v>
      </c>
      <c r="H18" s="276">
        <f>G18/24*6.87</f>
        <v>44.082500000000003</v>
      </c>
      <c r="I18" s="277">
        <f>G18/24*7.56</f>
        <v>48.51</v>
      </c>
      <c r="J18" s="223">
        <f t="shared" si="0"/>
        <v>7</v>
      </c>
      <c r="K18" s="398" t="str">
        <v>33030010</v>
      </c>
      <c r="L18" s="224" t="str">
        <f>INDEX(bhpc_data[country_of_origin],MATCH($A18,bhpc_data[sku],0))</f>
        <v>SPAIN</v>
      </c>
    </row>
    <row r="19" spans="1:12" ht="14.5" x14ac:dyDescent="0.35">
      <c r="A19" s="217" t="str">
        <v>P05053</v>
      </c>
      <c r="B19" s="209" t="str">
        <f>INDEX(bhpc_data[description],MATCH($A19,bhpc_data[sku],0))</f>
        <v>BHPC WOMEN 2 EDP 100ML</v>
      </c>
      <c r="C19" s="218"/>
      <c r="D19" s="219"/>
      <c r="E19" s="220"/>
      <c r="F19" s="221" t="s">
        <v>960</v>
      </c>
      <c r="G19" s="222">
        <v>154</v>
      </c>
      <c r="H19" s="276">
        <f>G19/24*6.87</f>
        <v>44.082500000000003</v>
      </c>
      <c r="I19" s="277">
        <f>G19/24*7.56</f>
        <v>48.51</v>
      </c>
      <c r="J19" s="223">
        <f t="shared" si="0"/>
        <v>7</v>
      </c>
      <c r="K19" s="398" t="str">
        <v>33030010</v>
      </c>
      <c r="L19" s="224" t="str">
        <f>INDEX(bhpc_data[country_of_origin],MATCH($A19,bhpc_data[sku],0))</f>
        <v>SPAIN</v>
      </c>
    </row>
    <row r="20" spans="1:12" ht="14.5" x14ac:dyDescent="0.35">
      <c r="A20" s="217" t="str">
        <v>P06000</v>
      </c>
      <c r="B20" s="209" t="str">
        <f>INDEX(bhpc_data[description],MATCH($A20,bhpc_data[sku],0))</f>
        <v>BHPC PRESTIGE TROPHY 100ML EDP MEN</v>
      </c>
      <c r="C20" s="218"/>
      <c r="D20" s="219"/>
      <c r="E20" s="220"/>
      <c r="F20" s="221" t="s">
        <v>960</v>
      </c>
      <c r="G20" s="222">
        <v>60</v>
      </c>
      <c r="H20" s="276">
        <f>G20/24*9.48</f>
        <v>23.700000000000003</v>
      </c>
      <c r="I20" s="277">
        <f>G20/24*9.9</f>
        <v>24.75</v>
      </c>
      <c r="J20" s="223">
        <f t="shared" si="0"/>
        <v>3</v>
      </c>
      <c r="K20" s="398" t="str">
        <v>33030010</v>
      </c>
      <c r="L20" s="224" t="str">
        <f>INDEX(bhpc_data[country_of_origin],MATCH($A20,bhpc_data[sku],0))</f>
        <v>SPAIN</v>
      </c>
    </row>
    <row r="21" spans="1:12" ht="14.5" x14ac:dyDescent="0.35">
      <c r="A21" s="217" t="str">
        <v>P06003</v>
      </c>
      <c r="B21" s="209" t="str">
        <f>INDEX(bhpc_data[description],MATCH($A21,bhpc_data[sku],0))</f>
        <v>BHPC PRESTIGE TITAN 100ML EDP MEN</v>
      </c>
      <c r="C21" s="218"/>
      <c r="D21" s="219"/>
      <c r="E21" s="220"/>
      <c r="F21" s="221" t="s">
        <v>960</v>
      </c>
      <c r="G21" s="222">
        <v>60</v>
      </c>
      <c r="H21" s="276">
        <f>G21/24*9.48</f>
        <v>23.700000000000003</v>
      </c>
      <c r="I21" s="277">
        <f>G21/24*9.9</f>
        <v>24.75</v>
      </c>
      <c r="J21" s="223">
        <f t="shared" si="0"/>
        <v>3</v>
      </c>
      <c r="K21" s="398" t="str">
        <v>33030010</v>
      </c>
      <c r="L21" s="224" t="str">
        <f>INDEX(bhpc_data[country_of_origin],MATCH($A21,bhpc_data[sku],0))</f>
        <v>SPAIN</v>
      </c>
    </row>
    <row r="22" spans="1:12" ht="14.5" x14ac:dyDescent="0.35">
      <c r="A22" s="217" t="str">
        <v>P06004</v>
      </c>
      <c r="B22" s="209" t="str">
        <f>INDEX(bhpc_data[description],MATCH($A22,bhpc_data[sku],0))</f>
        <v>BHPC PRESTIGE ELEGANCE 100ML EDP WOMEN</v>
      </c>
      <c r="C22" s="218"/>
      <c r="D22" s="219"/>
      <c r="E22" s="220"/>
      <c r="F22" s="221" t="s">
        <v>960</v>
      </c>
      <c r="G22" s="222">
        <v>60</v>
      </c>
      <c r="H22" s="276">
        <f>G22/24*9.12</f>
        <v>22.799999999999997</v>
      </c>
      <c r="I22" s="277">
        <f>G22/24*9.5</f>
        <v>23.75</v>
      </c>
      <c r="J22" s="223">
        <f t="shared" si="0"/>
        <v>3</v>
      </c>
      <c r="K22" s="398" t="str">
        <v>33030010</v>
      </c>
      <c r="L22" s="224" t="str">
        <f>INDEX(bhpc_data[country_of_origin],MATCH($A22,bhpc_data[sku],0))</f>
        <v>SPAIN</v>
      </c>
    </row>
    <row r="23" spans="1:12" ht="14.5" x14ac:dyDescent="0.35">
      <c r="A23" s="217" t="str">
        <v>P06005</v>
      </c>
      <c r="B23" s="209" t="str">
        <f>INDEX(bhpc_data[description],MATCH($A23,bhpc_data[sku],0))</f>
        <v>BHPC PRESTIGE CHALLENGE 100ML EDP WOMEN</v>
      </c>
      <c r="C23" s="218"/>
      <c r="D23" s="219"/>
      <c r="E23" s="220"/>
      <c r="F23" s="221" t="s">
        <v>960</v>
      </c>
      <c r="G23" s="222">
        <v>60</v>
      </c>
      <c r="H23" s="276">
        <f>G23/24*9.12</f>
        <v>22.799999999999997</v>
      </c>
      <c r="I23" s="277">
        <f>G23/24*9.5</f>
        <v>23.75</v>
      </c>
      <c r="J23" s="223">
        <f t="shared" si="0"/>
        <v>3</v>
      </c>
      <c r="K23" s="398" t="str">
        <v>33030010</v>
      </c>
      <c r="L23" s="224" t="str">
        <f>INDEX(bhpc_data[country_of_origin],MATCH($A23,bhpc_data[sku],0))</f>
        <v>SPAIN</v>
      </c>
    </row>
    <row r="24" spans="1:12" ht="14.5" x14ac:dyDescent="0.35">
      <c r="A24" s="217" t="str">
        <v>P06006</v>
      </c>
      <c r="B24" s="209" t="str">
        <f>INDEX(bhpc_data[description],MATCH($A24,bhpc_data[sku],0))</f>
        <v>BHPC PRESTIGE MYSTIQUE 100ML EDP WOMEN</v>
      </c>
      <c r="C24" s="218"/>
      <c r="D24" s="219"/>
      <c r="E24" s="220"/>
      <c r="F24" s="221" t="s">
        <v>960</v>
      </c>
      <c r="G24" s="222">
        <v>60</v>
      </c>
      <c r="H24" s="276">
        <f>G24/24*9.12</f>
        <v>22.799999999999997</v>
      </c>
      <c r="I24" s="277">
        <f>G24/24*9.5</f>
        <v>23.75</v>
      </c>
      <c r="J24" s="223">
        <f t="shared" si="0"/>
        <v>3</v>
      </c>
      <c r="K24" s="398" t="str">
        <v>33030010</v>
      </c>
      <c r="L24" s="224" t="str">
        <f>INDEX(bhpc_data[country_of_origin],MATCH($A24,bhpc_data[sku],0))</f>
        <v>SPAIN</v>
      </c>
    </row>
    <row r="25" spans="1:12" ht="14.5" x14ac:dyDescent="0.35">
      <c r="A25" s="217" t="str">
        <v>P06007</v>
      </c>
      <c r="B25" s="209" t="str">
        <f>INDEX(bhpc_data[description],MATCH($A25,bhpc_data[sku],0))</f>
        <v>BHPC PRESTIGE PASSION 100ML EDP WOMEN</v>
      </c>
      <c r="C25" s="218"/>
      <c r="D25" s="219"/>
      <c r="E25" s="220"/>
      <c r="F25" s="221" t="s">
        <v>960</v>
      </c>
      <c r="G25" s="222">
        <v>120</v>
      </c>
      <c r="H25" s="276">
        <f>G25/24*9.12</f>
        <v>45.599999999999994</v>
      </c>
      <c r="I25" s="277">
        <f>G25/24*9.5</f>
        <v>47.5</v>
      </c>
      <c r="J25" s="223">
        <f t="shared" si="0"/>
        <v>5</v>
      </c>
      <c r="K25" s="398" t="str">
        <v>33030010</v>
      </c>
      <c r="L25" s="224" t="str">
        <f>INDEX(bhpc_data[country_of_origin],MATCH($A25,bhpc_data[sku],0))</f>
        <v>SPAIN</v>
      </c>
    </row>
    <row r="26" spans="1:12" ht="14.5" x14ac:dyDescent="0.35">
      <c r="A26" s="217" t="str">
        <v>GS5008</v>
      </c>
      <c r="B26" s="209" t="str">
        <f>INDEX(bhpc_data[description],MATCH($A26,bhpc_data[sku],0))</f>
        <v>BHPC GIFT SET SPORT MEN 1 EDT 50ML + DEO 175ML</v>
      </c>
      <c r="C26" s="218"/>
      <c r="D26" s="219"/>
      <c r="E26" s="220"/>
      <c r="F26" s="221" t="s">
        <v>960</v>
      </c>
      <c r="G26" s="222">
        <v>180</v>
      </c>
      <c r="H26" s="276">
        <f>G26/12*5.04</f>
        <v>75.599999999999994</v>
      </c>
      <c r="I26" s="277">
        <f>G26/12*5.79</f>
        <v>86.85</v>
      </c>
      <c r="J26" s="223">
        <f t="shared" ref="J26:J33" si="1">CEILING(G26/12,1)</f>
        <v>15</v>
      </c>
      <c r="K26" s="398">
        <v>0</v>
      </c>
      <c r="L26" s="224" t="str">
        <f>INDEX(bhpc_data[country_of_origin],MATCH($A26,bhpc_data[sku],0))</f>
        <v>SPAIN</v>
      </c>
    </row>
    <row r="27" spans="1:12" ht="14.5" x14ac:dyDescent="0.35">
      <c r="A27" s="217" t="str">
        <v>GS5010</v>
      </c>
      <c r="B27" s="209" t="str">
        <f>INDEX(bhpc_data[description],MATCH($A27,bhpc_data[sku],0))</f>
        <v>BHPC GIFT SET SPORT MEN 8 EDT 50ML + DEO 175ML</v>
      </c>
      <c r="C27" s="218"/>
      <c r="D27" s="219"/>
      <c r="E27" s="220"/>
      <c r="F27" s="221" t="s">
        <v>960</v>
      </c>
      <c r="G27" s="222">
        <v>96</v>
      </c>
      <c r="H27" s="276">
        <f>G27/12*5.04</f>
        <v>40.32</v>
      </c>
      <c r="I27" s="277">
        <f>G27/12*5.79</f>
        <v>46.32</v>
      </c>
      <c r="J27" s="223">
        <f t="shared" si="1"/>
        <v>8</v>
      </c>
      <c r="K27" s="398">
        <v>0</v>
      </c>
      <c r="L27" s="224" t="str">
        <f>INDEX(bhpc_data[country_of_origin],MATCH($A27,bhpc_data[sku],0))</f>
        <v>SPAIN</v>
      </c>
    </row>
    <row r="28" spans="1:12" ht="14.5" x14ac:dyDescent="0.35">
      <c r="A28" s="217" t="str">
        <v>GS5011</v>
      </c>
      <c r="B28" s="209" t="str">
        <f>INDEX(bhpc_data[description],MATCH($A28,bhpc_data[sku],0))</f>
        <v>BHPC GIFT SET SPORT MEN 2 EDT 50ML + DEO 175ML</v>
      </c>
      <c r="C28" s="218"/>
      <c r="D28" s="219"/>
      <c r="E28" s="220"/>
      <c r="F28" s="221" t="s">
        <v>960</v>
      </c>
      <c r="G28" s="222">
        <v>96</v>
      </c>
      <c r="H28" s="276">
        <f>G28/12*5.04</f>
        <v>40.32</v>
      </c>
      <c r="I28" s="277">
        <f>G28/12*5.79</f>
        <v>46.32</v>
      </c>
      <c r="J28" s="223">
        <f t="shared" si="1"/>
        <v>8</v>
      </c>
      <c r="K28" s="398">
        <v>0</v>
      </c>
      <c r="L28" s="224" t="str">
        <f>INDEX(bhpc_data[country_of_origin],MATCH($A28,bhpc_data[sku],0))</f>
        <v>SPAIN</v>
      </c>
    </row>
    <row r="29" spans="1:12" ht="14.5" x14ac:dyDescent="0.35">
      <c r="A29" s="217" t="str">
        <v>GS5028</v>
      </c>
      <c r="B29" s="209" t="str">
        <f>INDEX(bhpc_data[description],MATCH($A29,bhpc_data[sku],0))</f>
        <v>BHPC GIFT SET WOMEN 1 EDP 50ML + DEO 150ML</v>
      </c>
      <c r="C29" s="218"/>
      <c r="D29" s="219"/>
      <c r="E29" s="220"/>
      <c r="F29" s="221" t="s">
        <v>960</v>
      </c>
      <c r="G29" s="222">
        <v>156</v>
      </c>
      <c r="H29" s="276">
        <f>G29/12*4.78</f>
        <v>62.14</v>
      </c>
      <c r="I29" s="277">
        <f>G29/12*5.25</f>
        <v>68.25</v>
      </c>
      <c r="J29" s="223">
        <f t="shared" si="1"/>
        <v>13</v>
      </c>
      <c r="K29" s="398">
        <v>0</v>
      </c>
      <c r="L29" s="224" t="str">
        <f>INDEX(bhpc_data[country_of_origin],MATCH($A29,bhpc_data[sku],0))</f>
        <v>SPAIN</v>
      </c>
    </row>
    <row r="30" spans="1:12" ht="14.5" x14ac:dyDescent="0.35">
      <c r="A30" s="217" t="str">
        <v>GS5029</v>
      </c>
      <c r="B30" s="209" t="str">
        <f>INDEX(bhpc_data[description],MATCH($A30,bhpc_data[sku],0))</f>
        <v>BHPC GIFT SET WOMEN 9 EDP 50ML + DEO 150ML</v>
      </c>
      <c r="C30" s="218"/>
      <c r="D30" s="219"/>
      <c r="E30" s="220"/>
      <c r="F30" s="221" t="s">
        <v>960</v>
      </c>
      <c r="G30" s="222">
        <v>156</v>
      </c>
      <c r="H30" s="276">
        <f>G30/12*4.78</f>
        <v>62.14</v>
      </c>
      <c r="I30" s="277">
        <f>G30/12*5.25</f>
        <v>68.25</v>
      </c>
      <c r="J30" s="223">
        <f t="shared" si="1"/>
        <v>13</v>
      </c>
      <c r="K30" s="398">
        <v>0</v>
      </c>
      <c r="L30" s="224" t="str">
        <f>INDEX(bhpc_data[country_of_origin],MATCH($A30,bhpc_data[sku],0))</f>
        <v>SPAIN</v>
      </c>
    </row>
    <row r="31" spans="1:12" ht="14.5" x14ac:dyDescent="0.35">
      <c r="A31" s="217" t="str">
        <v>GS5030</v>
      </c>
      <c r="B31" s="209" t="str">
        <f>INDEX(bhpc_data[description],MATCH($A31,bhpc_data[sku],0))</f>
        <v>BHPC GIFT SET WOMEN 8 EDP 50ML + DEO 150ML</v>
      </c>
      <c r="C31" s="218"/>
      <c r="D31" s="219"/>
      <c r="E31" s="220"/>
      <c r="F31" s="221" t="s">
        <v>960</v>
      </c>
      <c r="G31" s="222">
        <v>156</v>
      </c>
      <c r="H31" s="276">
        <f>G31/12*4.78</f>
        <v>62.14</v>
      </c>
      <c r="I31" s="277">
        <f>G31/12*5.25</f>
        <v>68.25</v>
      </c>
      <c r="J31" s="223">
        <f t="shared" si="1"/>
        <v>13</v>
      </c>
      <c r="K31" s="398">
        <v>0</v>
      </c>
      <c r="L31" s="224" t="str">
        <f>INDEX(bhpc_data[country_of_origin],MATCH($A31,bhpc_data[sku],0))</f>
        <v>SPAIN</v>
      </c>
    </row>
    <row r="32" spans="1:12" ht="14.5" x14ac:dyDescent="0.35">
      <c r="A32" s="217" t="str">
        <v>GS5031</v>
      </c>
      <c r="B32" s="209" t="str">
        <f>INDEX(bhpc_data[description],MATCH($A32,bhpc_data[sku],0))</f>
        <v>BHPC GIFT SET WOMEN 2 EDP 50ML + DEO 150ML</v>
      </c>
      <c r="C32" s="218"/>
      <c r="D32" s="219"/>
      <c r="E32" s="220"/>
      <c r="F32" s="221" t="s">
        <v>960</v>
      </c>
      <c r="G32" s="222">
        <v>156</v>
      </c>
      <c r="H32" s="276">
        <f>G32/12*4.78</f>
        <v>62.14</v>
      </c>
      <c r="I32" s="277">
        <f>G32/12*5.25</f>
        <v>68.25</v>
      </c>
      <c r="J32" s="223">
        <f t="shared" si="1"/>
        <v>13</v>
      </c>
      <c r="K32" s="398">
        <v>0</v>
      </c>
      <c r="L32" s="224" t="str">
        <f>INDEX(bhpc_data[country_of_origin],MATCH($A32,bhpc_data[sku],0))</f>
        <v>SPAIN</v>
      </c>
    </row>
    <row r="33" spans="1:12" ht="14.5" x14ac:dyDescent="0.35">
      <c r="A33" s="217" t="str">
        <v>GS7020</v>
      </c>
      <c r="B33" s="209" t="str">
        <f>INDEX(bhpc_data[description],MATCH($A33,bhpc_data[sku],0))</f>
        <v>BHPC GIFT SET MEN #1 EDT50ML+DEO175ML+ROLLON50ML</v>
      </c>
      <c r="C33" s="218"/>
      <c r="D33" s="219"/>
      <c r="E33" s="220"/>
      <c r="F33" s="221" t="s">
        <v>960</v>
      </c>
      <c r="G33" s="222">
        <v>156</v>
      </c>
      <c r="H33" s="276">
        <f>G33/12*6.17</f>
        <v>80.209999999999994</v>
      </c>
      <c r="I33" s="277">
        <f>G33/12*6.77</f>
        <v>88.009999999999991</v>
      </c>
      <c r="J33" s="223">
        <f t="shared" si="1"/>
        <v>13</v>
      </c>
      <c r="K33" s="398">
        <v>0</v>
      </c>
      <c r="L33" s="224" t="str">
        <f>INDEX(bhpc_data[country_of_origin],MATCH($A33,bhpc_data[sku],0))</f>
        <v>SPAIN</v>
      </c>
    </row>
    <row r="34" spans="1:12" ht="14.5" x14ac:dyDescent="0.35">
      <c r="A34" s="217" t="str">
        <v>PBM001</v>
      </c>
      <c r="B34" s="209" t="str">
        <f>INDEX(bhpc_data[description],MATCH($A34,bhpc_data[sku],0))</f>
        <v>BHPC WOMEN BODY MIST #1 EVOKING GARDENIA 200ML</v>
      </c>
      <c r="C34" s="218"/>
      <c r="D34" s="219"/>
      <c r="E34" s="220"/>
      <c r="F34" s="221" t="s">
        <v>960</v>
      </c>
      <c r="G34" s="222">
        <v>120</v>
      </c>
      <c r="H34" s="276">
        <f>G34/24*6.35</f>
        <v>31.75</v>
      </c>
      <c r="I34" s="277">
        <f>G34/24*7</f>
        <v>35</v>
      </c>
      <c r="J34" s="223">
        <f>CEILING(G34/24,1)</f>
        <v>5</v>
      </c>
      <c r="K34" s="398" t="str">
        <v>33030090</v>
      </c>
      <c r="L34" s="224" t="str">
        <f>INDEX(bhpc_data[country_of_origin],MATCH($A34,bhpc_data[sku],0))</f>
        <v>INDIA</v>
      </c>
    </row>
    <row r="35" spans="1:12" ht="14.5" x14ac:dyDescent="0.35">
      <c r="A35" s="217" t="str">
        <v>PBM009</v>
      </c>
      <c r="B35" s="209" t="str">
        <f>INDEX(bhpc_data[description],MATCH($A35,bhpc_data[sku],0))</f>
        <v>BHPC WOMEN BODY MIST #9 SPARKING FLORAL 200ML</v>
      </c>
      <c r="C35" s="218"/>
      <c r="D35" s="219"/>
      <c r="E35" s="220"/>
      <c r="F35" s="221" t="s">
        <v>960</v>
      </c>
      <c r="G35" s="222">
        <v>120</v>
      </c>
      <c r="H35" s="276">
        <f>G35/24*6.35</f>
        <v>31.75</v>
      </c>
      <c r="I35" s="277">
        <f>G35/24*7</f>
        <v>35</v>
      </c>
      <c r="J35" s="223">
        <f>CEILING(G35/24,1)</f>
        <v>5</v>
      </c>
      <c r="K35" s="398" t="str">
        <v>33030090</v>
      </c>
      <c r="L35" s="224" t="str">
        <f>INDEX(bhpc_data[country_of_origin],MATCH($A35,bhpc_data[sku],0))</f>
        <v>INDIA</v>
      </c>
    </row>
    <row r="36" spans="1:12" ht="14.5" x14ac:dyDescent="0.35">
      <c r="A36" s="217" t="str">
        <v>PBM008</v>
      </c>
      <c r="B36" s="209" t="str">
        <f>INDEX(bhpc_data[description],MATCH($A36,bhpc_data[sku],0))</f>
        <v>BHPC WOMEN BODY MIST #8 EXOTIC FRAGRANCE 200ML</v>
      </c>
      <c r="C36" s="218"/>
      <c r="D36" s="219"/>
      <c r="E36" s="220"/>
      <c r="F36" s="221" t="s">
        <v>960</v>
      </c>
      <c r="G36" s="222">
        <v>120</v>
      </c>
      <c r="H36" s="276">
        <f>G36/24*6.35</f>
        <v>31.75</v>
      </c>
      <c r="I36" s="277">
        <f>G36/24*7</f>
        <v>35</v>
      </c>
      <c r="J36" s="223">
        <f>CEILING(G36/24,1)</f>
        <v>5</v>
      </c>
      <c r="K36" s="398" t="str">
        <v>33030090</v>
      </c>
      <c r="L36" s="224" t="str">
        <f>INDEX(bhpc_data[country_of_origin],MATCH($A36,bhpc_data[sku],0))</f>
        <v>INDIA</v>
      </c>
    </row>
    <row r="37" spans="1:12" ht="14.5" x14ac:dyDescent="0.35">
      <c r="A37" s="217" t="str">
        <v>PBM002</v>
      </c>
      <c r="B37" s="209" t="str">
        <f>INDEX(bhpc_data[description],MATCH($A37,bhpc_data[sku],0))</f>
        <v>BHPC WOMEN BODY MIST #2 CLASSIC FOUGERE 200ML</v>
      </c>
      <c r="C37" s="218"/>
      <c r="D37" s="219"/>
      <c r="E37" s="220"/>
      <c r="F37" s="221" t="s">
        <v>960</v>
      </c>
      <c r="G37" s="222">
        <v>120</v>
      </c>
      <c r="H37" s="276">
        <f>G37/24*6.35</f>
        <v>31.75</v>
      </c>
      <c r="I37" s="277">
        <f>G37/24*7</f>
        <v>35</v>
      </c>
      <c r="J37" s="223">
        <f>CEILING(G37/24,1)</f>
        <v>5</v>
      </c>
      <c r="K37" s="398" t="str">
        <v>33030090</v>
      </c>
      <c r="L37" s="224" t="str">
        <f>INDEX(bhpc_data[country_of_origin],MATCH($A37,bhpc_data[sku],0))</f>
        <v>INDIA</v>
      </c>
    </row>
    <row r="38" spans="1:12" ht="14.5" x14ac:dyDescent="0.35">
      <c r="A38" s="217"/>
      <c r="B38" s="209"/>
      <c r="C38" s="218"/>
      <c r="D38" s="219"/>
      <c r="E38" s="220"/>
      <c r="F38" s="221"/>
      <c r="G38" s="222"/>
      <c r="H38" s="276"/>
      <c r="I38" s="277"/>
      <c r="J38" s="223"/>
      <c r="K38" s="398"/>
      <c r="L38" s="224"/>
    </row>
    <row r="39" spans="1:12" ht="14.5" x14ac:dyDescent="0.35">
      <c r="A39" s="217"/>
      <c r="B39" s="209"/>
      <c r="C39" s="218"/>
      <c r="D39" s="219"/>
      <c r="E39" s="220"/>
      <c r="F39" s="221"/>
      <c r="G39" s="222"/>
      <c r="H39" s="276"/>
      <c r="I39" s="277"/>
      <c r="J39" s="223"/>
      <c r="K39" s="398"/>
      <c r="L39" s="224"/>
    </row>
    <row r="40" spans="1:12" ht="14.5" x14ac:dyDescent="0.35">
      <c r="A40" s="217"/>
      <c r="B40" s="209"/>
      <c r="C40" s="218"/>
      <c r="D40" s="219"/>
      <c r="E40" s="220"/>
      <c r="F40" s="221"/>
      <c r="G40" s="222"/>
      <c r="H40" s="276"/>
      <c r="I40" s="277"/>
      <c r="J40" s="223"/>
      <c r="K40" s="398"/>
      <c r="L40" s="224"/>
    </row>
    <row r="41" spans="1:12" ht="14.5" x14ac:dyDescent="0.35">
      <c r="A41" s="217"/>
      <c r="B41" s="209"/>
      <c r="C41" s="218"/>
      <c r="D41" s="219"/>
      <c r="E41" s="220"/>
      <c r="F41" s="221"/>
      <c r="G41" s="222"/>
      <c r="H41" s="276"/>
      <c r="I41" s="277"/>
      <c r="J41" s="223"/>
      <c r="K41" s="398"/>
      <c r="L41" s="224"/>
    </row>
    <row r="42" spans="1:12" ht="14.5" x14ac:dyDescent="0.35">
      <c r="A42" s="217"/>
      <c r="B42" s="209"/>
      <c r="C42" s="218"/>
      <c r="D42" s="219"/>
      <c r="E42" s="220"/>
      <c r="F42" s="221"/>
      <c r="G42" s="222"/>
      <c r="H42" s="276"/>
      <c r="I42" s="277"/>
      <c r="J42" s="223"/>
      <c r="K42" s="398"/>
      <c r="L42" s="224"/>
    </row>
    <row r="43" spans="1:12" ht="14.5" x14ac:dyDescent="0.35">
      <c r="A43" s="217"/>
      <c r="B43" s="209"/>
      <c r="C43" s="218"/>
      <c r="D43" s="219"/>
      <c r="E43" s="220"/>
      <c r="F43" s="221"/>
      <c r="G43" s="222"/>
      <c r="H43" s="276"/>
      <c r="I43" s="277"/>
      <c r="J43" s="223"/>
      <c r="K43" s="398"/>
      <c r="L43" s="224"/>
    </row>
    <row r="44" spans="1:12" ht="14.5" x14ac:dyDescent="0.35">
      <c r="A44" s="217"/>
      <c r="B44" s="209"/>
      <c r="C44" s="218"/>
      <c r="D44" s="219"/>
      <c r="E44" s="220"/>
      <c r="F44" s="221"/>
      <c r="G44" s="222"/>
      <c r="H44" s="276"/>
      <c r="I44" s="277"/>
      <c r="J44" s="223"/>
      <c r="K44" s="398"/>
      <c r="L44" s="224"/>
    </row>
    <row r="45" spans="1:12" ht="14.5" x14ac:dyDescent="0.35">
      <c r="A45" s="217"/>
      <c r="B45" s="209"/>
      <c r="C45" s="218"/>
      <c r="D45" s="219"/>
      <c r="E45" s="220"/>
      <c r="F45" s="221"/>
      <c r="G45" s="222"/>
      <c r="H45" s="276"/>
      <c r="I45" s="277"/>
      <c r="J45" s="223"/>
      <c r="K45" s="398"/>
      <c r="L45" s="224"/>
    </row>
    <row r="46" spans="1:12" ht="14.5" x14ac:dyDescent="0.35">
      <c r="A46" s="217"/>
      <c r="B46" s="209"/>
      <c r="C46" s="218"/>
      <c r="D46" s="219"/>
      <c r="E46" s="220"/>
      <c r="F46" s="221"/>
      <c r="G46" s="222"/>
      <c r="H46" s="276"/>
      <c r="I46" s="277"/>
      <c r="J46" s="223"/>
      <c r="K46" s="398"/>
      <c r="L46" s="224"/>
    </row>
    <row r="47" spans="1:12" ht="14.5" x14ac:dyDescent="0.35">
      <c r="A47" s="217"/>
      <c r="B47" s="209"/>
      <c r="C47" s="218"/>
      <c r="D47" s="219"/>
      <c r="E47" s="220"/>
      <c r="F47" s="221"/>
      <c r="G47" s="222"/>
      <c r="H47" s="276"/>
      <c r="I47" s="277"/>
      <c r="J47" s="223"/>
      <c r="K47" s="398"/>
      <c r="L47" s="224"/>
    </row>
    <row r="48" spans="1:12" ht="14.5" x14ac:dyDescent="0.35">
      <c r="A48" s="217"/>
      <c r="B48" s="209"/>
      <c r="C48" s="218"/>
      <c r="D48" s="219"/>
      <c r="E48" s="220"/>
      <c r="F48" s="221"/>
      <c r="G48" s="222"/>
      <c r="H48" s="276"/>
      <c r="I48" s="277"/>
      <c r="J48" s="223"/>
      <c r="K48" s="398"/>
      <c r="L48" s="224"/>
    </row>
    <row r="49" spans="1:15" ht="14.5" x14ac:dyDescent="0.35">
      <c r="A49" s="217"/>
      <c r="B49" s="209"/>
      <c r="C49" s="218"/>
      <c r="D49" s="219"/>
      <c r="E49" s="220"/>
      <c r="F49" s="221"/>
      <c r="G49" s="222"/>
      <c r="H49" s="276"/>
      <c r="I49" s="277"/>
      <c r="J49" s="223"/>
      <c r="K49" s="398"/>
      <c r="L49" s="224"/>
    </row>
    <row r="50" spans="1:15" ht="14.5" x14ac:dyDescent="0.35">
      <c r="A50" s="217"/>
      <c r="B50" s="209"/>
      <c r="C50" s="218"/>
      <c r="D50" s="219"/>
      <c r="E50" s="220"/>
      <c r="F50" s="221"/>
      <c r="G50" s="222"/>
      <c r="H50" s="276"/>
      <c r="I50" s="277"/>
      <c r="J50" s="223"/>
      <c r="K50" s="398"/>
      <c r="L50" s="224"/>
    </row>
    <row r="51" spans="1:15" ht="14.5" x14ac:dyDescent="0.35">
      <c r="A51" s="217"/>
      <c r="B51" s="209"/>
      <c r="C51" s="218"/>
      <c r="D51" s="219"/>
      <c r="E51" s="220"/>
      <c r="F51" s="221"/>
      <c r="G51" s="222"/>
      <c r="H51" s="276"/>
      <c r="I51" s="277"/>
      <c r="J51" s="223"/>
      <c r="K51" s="398"/>
      <c r="L51" s="224"/>
    </row>
    <row r="52" spans="1:15" ht="14.5" x14ac:dyDescent="0.35">
      <c r="A52" s="217"/>
      <c r="B52" s="209"/>
      <c r="C52" s="218"/>
      <c r="D52" s="219"/>
      <c r="E52" s="220"/>
      <c r="F52" s="221"/>
      <c r="G52" s="222"/>
      <c r="H52" s="276"/>
      <c r="I52" s="277"/>
      <c r="J52" s="223"/>
      <c r="K52" s="398"/>
      <c r="L52" s="224"/>
    </row>
    <row r="53" spans="1:15" ht="14.5" x14ac:dyDescent="0.35">
      <c r="A53" s="217"/>
      <c r="B53" s="209"/>
      <c r="C53" s="218"/>
      <c r="D53" s="219"/>
      <c r="E53" s="220"/>
      <c r="F53" s="221"/>
      <c r="G53" s="222"/>
      <c r="H53" s="276"/>
      <c r="I53" s="277"/>
      <c r="J53" s="223"/>
      <c r="K53" s="398"/>
      <c r="L53" s="224"/>
    </row>
    <row r="54" spans="1:15" ht="14.5" x14ac:dyDescent="0.35">
      <c r="A54" s="217"/>
      <c r="B54" s="209"/>
      <c r="C54" s="218"/>
      <c r="D54" s="219"/>
      <c r="E54" s="220"/>
      <c r="F54" s="221"/>
      <c r="G54" s="222"/>
      <c r="H54" s="276"/>
      <c r="I54" s="277"/>
      <c r="J54" s="223"/>
      <c r="K54" s="398"/>
      <c r="L54" s="224"/>
    </row>
    <row r="55" spans="1:15" ht="12" customHeight="1" x14ac:dyDescent="0.35">
      <c r="A55" s="225"/>
      <c r="B55" s="226"/>
      <c r="C55" s="206"/>
      <c r="D55" s="227"/>
      <c r="E55" s="206"/>
      <c r="F55" s="228"/>
      <c r="G55" s="225"/>
      <c r="H55" s="226"/>
      <c r="I55" s="225"/>
      <c r="J55" s="226"/>
      <c r="K55" s="226"/>
      <c r="L55" s="229"/>
    </row>
    <row r="56" spans="1:15" ht="14.5" customHeight="1" x14ac:dyDescent="0.35">
      <c r="A56" s="230"/>
      <c r="B56" s="231"/>
      <c r="C56" s="231"/>
      <c r="D56" s="232"/>
      <c r="E56" s="231"/>
      <c r="F56" s="136"/>
      <c r="G56" s="667"/>
      <c r="H56" s="669"/>
      <c r="I56" s="667"/>
      <c r="J56" s="668"/>
      <c r="K56" s="668"/>
      <c r="L56" s="669"/>
    </row>
    <row r="57" spans="1:15" s="140" customFormat="1" ht="12" customHeight="1" x14ac:dyDescent="0.35">
      <c r="A57" s="233" t="s">
        <v>728</v>
      </c>
      <c r="B57" s="234"/>
      <c r="C57" s="235" t="s">
        <v>729</v>
      </c>
      <c r="D57" s="236"/>
      <c r="E57" s="680"/>
      <c r="F57" s="681"/>
      <c r="G57" s="237"/>
      <c r="H57" s="206"/>
      <c r="I57" s="237"/>
      <c r="J57" s="206"/>
      <c r="K57" s="206"/>
      <c r="L57" s="239"/>
      <c r="N57" s="125"/>
      <c r="O57" s="125"/>
    </row>
    <row r="58" spans="1:15" ht="14.5" customHeight="1" x14ac:dyDescent="0.35">
      <c r="A58" s="672">
        <f>SUM(G11:G54)</f>
        <v>3296</v>
      </c>
      <c r="B58" s="673"/>
      <c r="C58" s="672">
        <f>SUM(J11:J54)</f>
        <v>192</v>
      </c>
      <c r="D58" s="673"/>
      <c r="E58" s="667"/>
      <c r="F58" s="669"/>
      <c r="G58" s="667"/>
      <c r="H58" s="669"/>
      <c r="I58" s="667"/>
      <c r="J58" s="668"/>
      <c r="K58" s="668"/>
      <c r="L58" s="669"/>
    </row>
    <row r="59" spans="1:15" s="140" customFormat="1" ht="12" customHeight="1" x14ac:dyDescent="0.35">
      <c r="A59" s="225" t="s">
        <v>730</v>
      </c>
      <c r="B59" s="229"/>
      <c r="C59" s="237" t="s">
        <v>731</v>
      </c>
      <c r="D59" s="240"/>
      <c r="E59" s="235"/>
      <c r="G59" s="237"/>
      <c r="H59" s="206"/>
      <c r="I59" s="206"/>
      <c r="J59" s="226"/>
      <c r="K59" s="226"/>
      <c r="L59" s="229"/>
      <c r="N59" s="125"/>
      <c r="O59" s="125"/>
    </row>
    <row r="60" spans="1:15" ht="14.5" customHeight="1" x14ac:dyDescent="0.35">
      <c r="A60" s="670">
        <f>ROUND(SUM(H11:H54),1)</f>
        <v>1145.0999999999999</v>
      </c>
      <c r="B60" s="671"/>
      <c r="C60" s="670">
        <f>ROUND(SUM(I11:I54),1)</f>
        <v>1256.7</v>
      </c>
      <c r="D60" s="671"/>
      <c r="E60" s="682"/>
      <c r="F60" s="683"/>
      <c r="G60" s="241"/>
      <c r="H60" s="242"/>
      <c r="I60" s="242"/>
      <c r="J60" s="242"/>
      <c r="K60" s="242"/>
      <c r="L60" s="243"/>
    </row>
    <row r="61" spans="1:15" ht="12" customHeight="1" x14ac:dyDescent="0.35">
      <c r="A61" s="237" t="s">
        <v>517</v>
      </c>
      <c r="B61" s="206"/>
      <c r="C61" s="206"/>
      <c r="D61" s="206"/>
      <c r="E61" s="244"/>
      <c r="F61" s="124"/>
      <c r="G61" s="245"/>
      <c r="H61" s="246"/>
      <c r="I61" s="246"/>
      <c r="J61" s="247"/>
      <c r="K61" s="247"/>
      <c r="L61" s="248"/>
    </row>
    <row r="62" spans="1:15" ht="14.5" customHeight="1" x14ac:dyDescent="0.35">
      <c r="A62" s="249"/>
      <c r="B62" s="250"/>
      <c r="C62" s="242"/>
      <c r="D62" s="242"/>
      <c r="E62" s="242"/>
      <c r="F62" s="128"/>
      <c r="G62" s="245"/>
      <c r="H62" s="246"/>
      <c r="I62" s="246"/>
      <c r="J62" s="246"/>
      <c r="K62" s="246"/>
      <c r="L62" s="248"/>
    </row>
    <row r="63" spans="1:15" ht="14.5" customHeight="1" x14ac:dyDescent="0.35">
      <c r="A63" s="249"/>
      <c r="B63" s="242"/>
      <c r="C63" s="242"/>
      <c r="D63" s="251"/>
      <c r="E63" s="242"/>
      <c r="F63" s="128"/>
      <c r="G63" s="245"/>
      <c r="H63" s="246"/>
      <c r="I63" s="246"/>
      <c r="J63" s="246"/>
      <c r="K63" s="246"/>
      <c r="L63" s="248"/>
    </row>
    <row r="64" spans="1:15" ht="14.5" customHeight="1" x14ac:dyDescent="0.35">
      <c r="A64" s="230"/>
      <c r="B64" s="231"/>
      <c r="C64" s="231"/>
      <c r="D64" s="232"/>
      <c r="E64" s="231"/>
      <c r="F64" s="136"/>
      <c r="G64" s="252"/>
      <c r="H64" s="253"/>
      <c r="I64" s="253"/>
      <c r="J64" s="253"/>
      <c r="K64" s="253"/>
      <c r="L64" s="254"/>
    </row>
    <row r="65" spans="1:12" ht="14.5" x14ac:dyDescent="0.35">
      <c r="A65" s="209"/>
      <c r="B65" s="210" t="s">
        <v>502</v>
      </c>
      <c r="C65" s="211"/>
      <c r="D65" s="212"/>
      <c r="E65" s="213"/>
      <c r="F65" s="214"/>
      <c r="G65" s="214"/>
      <c r="H65" s="274"/>
      <c r="I65" s="275"/>
      <c r="J65" s="215"/>
      <c r="K65" s="397"/>
      <c r="L65" s="216"/>
    </row>
    <row r="66" spans="1:12" ht="14.5" x14ac:dyDescent="0.35">
      <c r="A66" s="217" t="str">
        <f t="array" ref="A66:A79">INDEX(salesHistory[sku], SMALL(IF((salesHistory[foc_qty]&lt;&gt;0)*(salesHistory[order_no]=9), ROW(salesHistory[qty])-MIN(ROW(salesHistory[qty]))+1), ROW(A1:A14)))</f>
        <v>P05004</v>
      </c>
      <c r="B66" s="209" t="str">
        <f>INDEX(bhpc_data[description],MATCH($A66,bhpc_data[sku],0))</f>
        <v>BHPC SPORT MEN 1 EDT 100ML</v>
      </c>
      <c r="C66" s="218"/>
      <c r="D66" s="219"/>
      <c r="E66" s="220"/>
      <c r="F66" s="221" t="s">
        <v>960</v>
      </c>
      <c r="G66" s="222">
        <f t="array" ref="G66:G79">INDEX(salesHistory[foc_qty], SMALL(IF((salesHistory[foc_qty]&lt;&gt;0)*(salesHistory[order_no]=9), ROW(salesHistory[qty])-MIN(ROW(salesHistory[qty]))+1), ROW(A1:A14)))</f>
        <v>18</v>
      </c>
      <c r="H66" s="276">
        <f>G66/24*7.52</f>
        <v>5.64</v>
      </c>
      <c r="I66" s="277">
        <f>G66/24*8.23</f>
        <v>6.1725000000000003</v>
      </c>
      <c r="J66" s="223">
        <f t="shared" ref="J66:J79" si="2">CEILING(G66/24,1)</f>
        <v>1</v>
      </c>
      <c r="K66" s="398" t="str">
        <f t="array" ref="K66:K79">INDEX(salesHistory[hs_code], SMALL(IF((salesHistory[foc_qty]&lt;&gt;0)*(salesHistory[order_no]=9), ROW(salesHistory[qty])-MIN(ROW(salesHistory[qty]))+1), ROW(A1:A14)))</f>
        <v>33030010</v>
      </c>
      <c r="L66" s="224" t="str">
        <f>INDEX(bhpc_data[country_of_origin],MATCH($A66,bhpc_data[sku],0))</f>
        <v>SPAIN</v>
      </c>
    </row>
    <row r="67" spans="1:12" ht="14.5" x14ac:dyDescent="0.35">
      <c r="A67" s="217" t="str">
        <v>P05005</v>
      </c>
      <c r="B67" s="209" t="str">
        <f>INDEX(bhpc_data[description],MATCH($A67,bhpc_data[sku],0))</f>
        <v>BHPC SPORT MEN 9 EDT 100ML</v>
      </c>
      <c r="C67" s="218"/>
      <c r="D67" s="219"/>
      <c r="E67" s="220"/>
      <c r="F67" s="221" t="s">
        <v>960</v>
      </c>
      <c r="G67" s="222">
        <v>11</v>
      </c>
      <c r="H67" s="276">
        <f>G67/24*7.52</f>
        <v>3.4466666666666663</v>
      </c>
      <c r="I67" s="277">
        <f>G67/24*8.23</f>
        <v>3.7720833333333332</v>
      </c>
      <c r="J67" s="223">
        <f t="shared" si="2"/>
        <v>1</v>
      </c>
      <c r="K67" s="398" t="str">
        <v>33030010</v>
      </c>
      <c r="L67" s="224" t="str">
        <f>INDEX(bhpc_data[country_of_origin],MATCH($A67,bhpc_data[sku],0))</f>
        <v>SPAIN</v>
      </c>
    </row>
    <row r="68" spans="1:12" ht="14.5" x14ac:dyDescent="0.35">
      <c r="A68" s="217" t="str">
        <v>P05006</v>
      </c>
      <c r="B68" s="209" t="str">
        <f>INDEX(bhpc_data[description],MATCH($A68,bhpc_data[sku],0))</f>
        <v>BHPC SPORT MEN 8 EDT 100ML</v>
      </c>
      <c r="C68" s="218"/>
      <c r="D68" s="219"/>
      <c r="E68" s="220"/>
      <c r="F68" s="221" t="s">
        <v>960</v>
      </c>
      <c r="G68" s="222">
        <v>18</v>
      </c>
      <c r="H68" s="276">
        <f>G68/24*7.52</f>
        <v>5.64</v>
      </c>
      <c r="I68" s="277">
        <f>G68/24*8.23</f>
        <v>6.1725000000000003</v>
      </c>
      <c r="J68" s="223">
        <f t="shared" si="2"/>
        <v>1</v>
      </c>
      <c r="K68" s="398" t="str">
        <v>33030010</v>
      </c>
      <c r="L68" s="224" t="str">
        <f>INDEX(bhpc_data[country_of_origin],MATCH($A68,bhpc_data[sku],0))</f>
        <v>SPAIN</v>
      </c>
    </row>
    <row r="69" spans="1:12" ht="14.5" x14ac:dyDescent="0.35">
      <c r="A69" s="217" t="str">
        <v>P05007</v>
      </c>
      <c r="B69" s="209" t="str">
        <f>INDEX(bhpc_data[description],MATCH($A69,bhpc_data[sku],0))</f>
        <v>BHPC SPORT MEN 2 EDT 100ML</v>
      </c>
      <c r="C69" s="218"/>
      <c r="D69" s="219"/>
      <c r="E69" s="220"/>
      <c r="F69" s="221" t="s">
        <v>960</v>
      </c>
      <c r="G69" s="222">
        <v>11</v>
      </c>
      <c r="H69" s="276">
        <f>G69/24*7.52</f>
        <v>3.4466666666666663</v>
      </c>
      <c r="I69" s="277">
        <f>G69/24*8.23</f>
        <v>3.7720833333333332</v>
      </c>
      <c r="J69" s="223">
        <f t="shared" si="2"/>
        <v>1</v>
      </c>
      <c r="K69" s="398" t="str">
        <v>33030010</v>
      </c>
      <c r="L69" s="224" t="str">
        <f>INDEX(bhpc_data[country_of_origin],MATCH($A69,bhpc_data[sku],0))</f>
        <v>SPAIN</v>
      </c>
    </row>
    <row r="70" spans="1:12" ht="14.5" x14ac:dyDescent="0.35">
      <c r="A70" s="217" t="str">
        <v>P05050</v>
      </c>
      <c r="B70" s="209" t="str">
        <f>INDEX(bhpc_data[description],MATCH($A70,bhpc_data[sku],0))</f>
        <v>BHPC WOMEN 1 EDP 100ML</v>
      </c>
      <c r="C70" s="218"/>
      <c r="D70" s="219"/>
      <c r="E70" s="220"/>
      <c r="F70" s="221" t="s">
        <v>960</v>
      </c>
      <c r="G70" s="222">
        <v>18</v>
      </c>
      <c r="H70" s="276">
        <f>G70/24*6.87</f>
        <v>5.1524999999999999</v>
      </c>
      <c r="I70" s="277">
        <f>G70/24*7.56</f>
        <v>5.67</v>
      </c>
      <c r="J70" s="223">
        <f t="shared" si="2"/>
        <v>1</v>
      </c>
      <c r="K70" s="398" t="str">
        <v>33030010</v>
      </c>
      <c r="L70" s="224" t="str">
        <f>INDEX(bhpc_data[country_of_origin],MATCH($A70,bhpc_data[sku],0))</f>
        <v>SPAIN</v>
      </c>
    </row>
    <row r="71" spans="1:12" ht="14.5" x14ac:dyDescent="0.35">
      <c r="A71" s="217" t="str">
        <v>P05051</v>
      </c>
      <c r="B71" s="209" t="str">
        <f>INDEX(bhpc_data[description],MATCH($A71,bhpc_data[sku],0))</f>
        <v>BHPC WOMEN 9 EDP 100ML</v>
      </c>
      <c r="C71" s="218"/>
      <c r="D71" s="219"/>
      <c r="E71" s="220"/>
      <c r="F71" s="221" t="s">
        <v>960</v>
      </c>
      <c r="G71" s="222">
        <v>18</v>
      </c>
      <c r="H71" s="276">
        <f>G71/24*6.87</f>
        <v>5.1524999999999999</v>
      </c>
      <c r="I71" s="277">
        <f>G71/24*7.56</f>
        <v>5.67</v>
      </c>
      <c r="J71" s="223">
        <f t="shared" si="2"/>
        <v>1</v>
      </c>
      <c r="K71" s="398" t="str">
        <v>33030010</v>
      </c>
      <c r="L71" s="224" t="str">
        <f>INDEX(bhpc_data[country_of_origin],MATCH($A71,bhpc_data[sku],0))</f>
        <v>SPAIN</v>
      </c>
    </row>
    <row r="72" spans="1:12" ht="14.5" x14ac:dyDescent="0.35">
      <c r="A72" s="217" t="str">
        <v>P05052</v>
      </c>
      <c r="B72" s="209" t="str">
        <f>INDEX(bhpc_data[description],MATCH($A72,bhpc_data[sku],0))</f>
        <v>BHPC WOMEN 8 EDP 100ML</v>
      </c>
      <c r="C72" s="218"/>
      <c r="D72" s="219"/>
      <c r="E72" s="220"/>
      <c r="F72" s="221" t="s">
        <v>960</v>
      </c>
      <c r="G72" s="222">
        <v>15</v>
      </c>
      <c r="H72" s="276">
        <f>G72/24*6.87</f>
        <v>4.2937500000000002</v>
      </c>
      <c r="I72" s="277">
        <f>G72/24*7.56</f>
        <v>4.7249999999999996</v>
      </c>
      <c r="J72" s="223">
        <f t="shared" si="2"/>
        <v>1</v>
      </c>
      <c r="K72" s="398" t="str">
        <v>33030010</v>
      </c>
      <c r="L72" s="224" t="str">
        <f>INDEX(bhpc_data[country_of_origin],MATCH($A72,bhpc_data[sku],0))</f>
        <v>SPAIN</v>
      </c>
    </row>
    <row r="73" spans="1:12" ht="14.5" x14ac:dyDescent="0.35">
      <c r="A73" s="217" t="str">
        <v>P05053</v>
      </c>
      <c r="B73" s="209" t="str">
        <f>INDEX(bhpc_data[description],MATCH($A73,bhpc_data[sku],0))</f>
        <v>BHPC WOMEN 2 EDP 100ML</v>
      </c>
      <c r="C73" s="218"/>
      <c r="D73" s="219"/>
      <c r="E73" s="220"/>
      <c r="F73" s="221" t="s">
        <v>960</v>
      </c>
      <c r="G73" s="222">
        <v>15</v>
      </c>
      <c r="H73" s="276">
        <f>G73/24*6.87</f>
        <v>4.2937500000000002</v>
      </c>
      <c r="I73" s="277">
        <f>G73/24*7.56</f>
        <v>4.7249999999999996</v>
      </c>
      <c r="J73" s="223">
        <f t="shared" si="2"/>
        <v>1</v>
      </c>
      <c r="K73" s="398" t="str">
        <v>33030010</v>
      </c>
      <c r="L73" s="224" t="str">
        <f>INDEX(bhpc_data[country_of_origin],MATCH($A73,bhpc_data[sku],0))</f>
        <v>SPAIN</v>
      </c>
    </row>
    <row r="74" spans="1:12" ht="14.5" x14ac:dyDescent="0.35">
      <c r="A74" s="217" t="str">
        <v>P06000</v>
      </c>
      <c r="B74" s="209" t="str">
        <f>INDEX(bhpc_data[description],MATCH($A74,bhpc_data[sku],0))</f>
        <v>BHPC PRESTIGE TROPHY 100ML EDP MEN</v>
      </c>
      <c r="C74" s="218"/>
      <c r="D74" s="219"/>
      <c r="E74" s="220"/>
      <c r="F74" s="221" t="s">
        <v>960</v>
      </c>
      <c r="G74" s="222">
        <v>6</v>
      </c>
      <c r="H74" s="276">
        <f>G74/24*9.48</f>
        <v>2.37</v>
      </c>
      <c r="I74" s="277">
        <f>G74/24*9.9</f>
        <v>2.4750000000000001</v>
      </c>
      <c r="J74" s="223">
        <f t="shared" si="2"/>
        <v>1</v>
      </c>
      <c r="K74" s="398" t="str">
        <v>33030010</v>
      </c>
      <c r="L74" s="224" t="str">
        <f>INDEX(bhpc_data[country_of_origin],MATCH($A74,bhpc_data[sku],0))</f>
        <v>SPAIN</v>
      </c>
    </row>
    <row r="75" spans="1:12" ht="14.5" x14ac:dyDescent="0.35">
      <c r="A75" s="217" t="str">
        <v>P06003</v>
      </c>
      <c r="B75" s="209" t="str">
        <f>INDEX(bhpc_data[description],MATCH($A75,bhpc_data[sku],0))</f>
        <v>BHPC PRESTIGE TITAN 100ML EDP MEN</v>
      </c>
      <c r="C75" s="218"/>
      <c r="D75" s="219"/>
      <c r="E75" s="220"/>
      <c r="F75" s="221" t="s">
        <v>960</v>
      </c>
      <c r="G75" s="222">
        <v>6</v>
      </c>
      <c r="H75" s="276">
        <f>G75/24*9.48</f>
        <v>2.37</v>
      </c>
      <c r="I75" s="277">
        <f>G75/24*9.9</f>
        <v>2.4750000000000001</v>
      </c>
      <c r="J75" s="223">
        <f t="shared" si="2"/>
        <v>1</v>
      </c>
      <c r="K75" s="398" t="str">
        <v>33030010</v>
      </c>
      <c r="L75" s="224" t="str">
        <f>INDEX(bhpc_data[country_of_origin],MATCH($A75,bhpc_data[sku],0))</f>
        <v>SPAIN</v>
      </c>
    </row>
    <row r="76" spans="1:12" ht="14.5" x14ac:dyDescent="0.35">
      <c r="A76" s="217" t="str">
        <v>P06004</v>
      </c>
      <c r="B76" s="209" t="str">
        <f>INDEX(bhpc_data[description],MATCH($A76,bhpc_data[sku],0))</f>
        <v>BHPC PRESTIGE ELEGANCE 100ML EDP WOMEN</v>
      </c>
      <c r="C76" s="218"/>
      <c r="D76" s="219"/>
      <c r="E76" s="220"/>
      <c r="F76" s="221" t="s">
        <v>960</v>
      </c>
      <c r="G76" s="222">
        <v>6</v>
      </c>
      <c r="H76" s="276">
        <f>G76/24*9.12</f>
        <v>2.2799999999999998</v>
      </c>
      <c r="I76" s="277">
        <f>G76/24*9.5</f>
        <v>2.375</v>
      </c>
      <c r="J76" s="223">
        <f t="shared" si="2"/>
        <v>1</v>
      </c>
      <c r="K76" s="398" t="str">
        <v>33030010</v>
      </c>
      <c r="L76" s="224" t="str">
        <f>INDEX(bhpc_data[country_of_origin],MATCH($A76,bhpc_data[sku],0))</f>
        <v>SPAIN</v>
      </c>
    </row>
    <row r="77" spans="1:12" ht="14.5" x14ac:dyDescent="0.35">
      <c r="A77" s="217" t="str">
        <v>P06005</v>
      </c>
      <c r="B77" s="209" t="str">
        <f>INDEX(bhpc_data[description],MATCH($A77,bhpc_data[sku],0))</f>
        <v>BHPC PRESTIGE CHALLENGE 100ML EDP WOMEN</v>
      </c>
      <c r="C77" s="218"/>
      <c r="D77" s="219"/>
      <c r="E77" s="220"/>
      <c r="F77" s="221" t="s">
        <v>960</v>
      </c>
      <c r="G77" s="222">
        <v>6</v>
      </c>
      <c r="H77" s="276">
        <f>G77/24*9.12</f>
        <v>2.2799999999999998</v>
      </c>
      <c r="I77" s="277">
        <f>G77/24*9.5</f>
        <v>2.375</v>
      </c>
      <c r="J77" s="223">
        <f t="shared" si="2"/>
        <v>1</v>
      </c>
      <c r="K77" s="398" t="str">
        <v>33030010</v>
      </c>
      <c r="L77" s="224" t="str">
        <f>INDEX(bhpc_data[country_of_origin],MATCH($A77,bhpc_data[sku],0))</f>
        <v>SPAIN</v>
      </c>
    </row>
    <row r="78" spans="1:12" ht="14.5" x14ac:dyDescent="0.35">
      <c r="A78" s="217" t="str">
        <v>P06006</v>
      </c>
      <c r="B78" s="209" t="str">
        <f>INDEX(bhpc_data[description],MATCH($A78,bhpc_data[sku],0))</f>
        <v>BHPC PRESTIGE MYSTIQUE 100ML EDP WOMEN</v>
      </c>
      <c r="C78" s="218"/>
      <c r="D78" s="219"/>
      <c r="E78" s="220"/>
      <c r="F78" s="221" t="s">
        <v>960</v>
      </c>
      <c r="G78" s="222">
        <v>6</v>
      </c>
      <c r="H78" s="276">
        <f>G78/24*9.12</f>
        <v>2.2799999999999998</v>
      </c>
      <c r="I78" s="277">
        <f>G78/24*9.5</f>
        <v>2.375</v>
      </c>
      <c r="J78" s="223">
        <f t="shared" si="2"/>
        <v>1</v>
      </c>
      <c r="K78" s="398" t="str">
        <v>33030010</v>
      </c>
      <c r="L78" s="224" t="str">
        <f>INDEX(bhpc_data[country_of_origin],MATCH($A78,bhpc_data[sku],0))</f>
        <v>SPAIN</v>
      </c>
    </row>
    <row r="79" spans="1:12" ht="14.5" x14ac:dyDescent="0.35">
      <c r="A79" s="217" t="str">
        <v>P06007</v>
      </c>
      <c r="B79" s="209" t="str">
        <f>INDEX(bhpc_data[description],MATCH($A79,bhpc_data[sku],0))</f>
        <v>BHPC PRESTIGE PASSION 100ML EDP WOMEN</v>
      </c>
      <c r="C79" s="218"/>
      <c r="D79" s="219"/>
      <c r="E79" s="220"/>
      <c r="F79" s="221" t="s">
        <v>960</v>
      </c>
      <c r="G79" s="222">
        <v>12</v>
      </c>
      <c r="H79" s="276">
        <f>G79/24*9.12</f>
        <v>4.5599999999999996</v>
      </c>
      <c r="I79" s="277">
        <f>G79/24*9.5</f>
        <v>4.75</v>
      </c>
      <c r="J79" s="223">
        <f t="shared" si="2"/>
        <v>1</v>
      </c>
      <c r="K79" s="398" t="str">
        <v>33030010</v>
      </c>
      <c r="L79" s="224" t="str">
        <f>INDEX(bhpc_data[country_of_origin],MATCH($A79,bhpc_data[sku],0))</f>
        <v>SPAIN</v>
      </c>
    </row>
    <row r="80" spans="1:12" ht="14.5" x14ac:dyDescent="0.35">
      <c r="A80" s="217"/>
      <c r="B80" s="209"/>
      <c r="C80" s="218"/>
      <c r="D80" s="219"/>
      <c r="E80" s="220"/>
      <c r="F80" s="221"/>
      <c r="G80" s="222"/>
      <c r="H80" s="276"/>
      <c r="I80" s="277"/>
      <c r="J80" s="223"/>
      <c r="K80" s="398"/>
      <c r="L80" s="224"/>
    </row>
    <row r="81" spans="1:12" ht="14.5" x14ac:dyDescent="0.35">
      <c r="A81" s="217"/>
      <c r="B81" s="209"/>
      <c r="C81" s="218"/>
      <c r="D81" s="219"/>
      <c r="E81" s="220"/>
      <c r="F81" s="221"/>
      <c r="G81" s="222"/>
      <c r="H81" s="276"/>
      <c r="I81" s="277"/>
      <c r="J81" s="223"/>
      <c r="K81" s="398"/>
      <c r="L81" s="224"/>
    </row>
    <row r="82" spans="1:12" ht="14.5" x14ac:dyDescent="0.35">
      <c r="A82" s="217"/>
      <c r="B82" s="209"/>
      <c r="C82" s="218"/>
      <c r="D82" s="219"/>
      <c r="E82" s="220"/>
      <c r="F82" s="221"/>
      <c r="G82" s="222"/>
      <c r="H82" s="276"/>
      <c r="I82" s="277"/>
      <c r="J82" s="223"/>
      <c r="K82" s="398"/>
      <c r="L82" s="224"/>
    </row>
    <row r="83" spans="1:12" ht="14.5" x14ac:dyDescent="0.35">
      <c r="A83" s="217"/>
      <c r="B83" s="209"/>
      <c r="C83" s="218"/>
      <c r="D83" s="219"/>
      <c r="E83" s="220"/>
      <c r="F83" s="221"/>
      <c r="G83" s="222"/>
      <c r="H83" s="276"/>
      <c r="I83" s="277"/>
      <c r="J83" s="223"/>
      <c r="K83" s="398"/>
      <c r="L83" s="224"/>
    </row>
    <row r="84" spans="1:12" ht="14.5" x14ac:dyDescent="0.35">
      <c r="A84" s="217"/>
      <c r="B84" s="209"/>
      <c r="C84" s="218"/>
      <c r="D84" s="219"/>
      <c r="E84" s="220"/>
      <c r="F84" s="221"/>
      <c r="G84" s="222"/>
      <c r="H84" s="276"/>
      <c r="I84" s="277"/>
      <c r="J84" s="223"/>
      <c r="K84" s="398"/>
      <c r="L84" s="224"/>
    </row>
    <row r="85" spans="1:12" ht="14.5" x14ac:dyDescent="0.35">
      <c r="A85" s="217"/>
      <c r="B85" s="209"/>
      <c r="C85" s="218"/>
      <c r="D85" s="219"/>
      <c r="E85" s="220"/>
      <c r="F85" s="221"/>
      <c r="G85" s="222"/>
      <c r="H85" s="276"/>
      <c r="I85" s="277"/>
      <c r="J85" s="223"/>
      <c r="K85" s="398"/>
      <c r="L85" s="224"/>
    </row>
    <row r="86" spans="1:12" ht="14.5" x14ac:dyDescent="0.35">
      <c r="A86" s="217"/>
      <c r="B86" s="209"/>
      <c r="C86" s="218"/>
      <c r="D86" s="219"/>
      <c r="E86" s="220"/>
      <c r="F86" s="221"/>
      <c r="G86" s="222"/>
      <c r="H86" s="276"/>
      <c r="I86" s="277"/>
      <c r="J86" s="223"/>
      <c r="K86" s="398"/>
      <c r="L86" s="224"/>
    </row>
    <row r="87" spans="1:12" ht="14.5" x14ac:dyDescent="0.35">
      <c r="A87" s="217"/>
      <c r="B87" s="209"/>
      <c r="C87" s="218"/>
      <c r="D87" s="219"/>
      <c r="E87" s="220"/>
      <c r="F87" s="221"/>
      <c r="G87" s="222"/>
      <c r="H87" s="276"/>
      <c r="I87" s="277"/>
      <c r="J87" s="223"/>
      <c r="K87" s="398"/>
      <c r="L87" s="224"/>
    </row>
    <row r="88" spans="1:12" ht="14.5" x14ac:dyDescent="0.35">
      <c r="A88" s="217"/>
      <c r="B88" s="209"/>
      <c r="C88" s="218"/>
      <c r="D88" s="219"/>
      <c r="E88" s="220"/>
      <c r="F88" s="221"/>
      <c r="G88" s="222"/>
      <c r="H88" s="276"/>
      <c r="I88" s="277"/>
      <c r="J88" s="223"/>
      <c r="K88" s="398"/>
      <c r="L88" s="224"/>
    </row>
    <row r="89" spans="1:12" ht="14.5" x14ac:dyDescent="0.35">
      <c r="A89" s="217"/>
      <c r="B89" s="209"/>
      <c r="C89" s="218"/>
      <c r="D89" s="219"/>
      <c r="E89" s="220"/>
      <c r="F89" s="221"/>
      <c r="G89" s="222"/>
      <c r="H89" s="276"/>
      <c r="I89" s="277"/>
      <c r="J89" s="223"/>
      <c r="K89" s="398"/>
      <c r="L89" s="224"/>
    </row>
    <row r="90" spans="1:12" ht="14.5" x14ac:dyDescent="0.35">
      <c r="A90" s="217"/>
      <c r="B90" s="209"/>
      <c r="C90" s="218"/>
      <c r="D90" s="219"/>
      <c r="E90" s="220"/>
      <c r="F90" s="221"/>
      <c r="G90" s="222"/>
      <c r="H90" s="276"/>
      <c r="I90" s="277"/>
      <c r="J90" s="223"/>
      <c r="K90" s="398"/>
      <c r="L90" s="224"/>
    </row>
    <row r="91" spans="1:12" ht="14.5" x14ac:dyDescent="0.35">
      <c r="A91" s="217"/>
      <c r="B91" s="209"/>
      <c r="C91" s="218"/>
      <c r="D91" s="219"/>
      <c r="E91" s="220"/>
      <c r="F91" s="221"/>
      <c r="G91" s="222"/>
      <c r="H91" s="276"/>
      <c r="I91" s="277"/>
      <c r="J91" s="223"/>
      <c r="K91" s="398"/>
      <c r="L91" s="224"/>
    </row>
    <row r="92" spans="1:12" ht="14.5" x14ac:dyDescent="0.35">
      <c r="A92" s="217"/>
      <c r="B92" s="209"/>
      <c r="C92" s="218"/>
      <c r="D92" s="219"/>
      <c r="E92" s="220"/>
      <c r="F92" s="221"/>
      <c r="G92" s="222"/>
      <c r="H92" s="276"/>
      <c r="I92" s="277"/>
      <c r="J92" s="223"/>
      <c r="K92" s="398"/>
      <c r="L92" s="224"/>
    </row>
    <row r="93" spans="1:12" ht="14.5" x14ac:dyDescent="0.35">
      <c r="A93" s="217"/>
      <c r="B93" s="209"/>
      <c r="C93" s="218"/>
      <c r="D93" s="219"/>
      <c r="E93" s="220"/>
      <c r="F93" s="221"/>
      <c r="G93" s="222"/>
      <c r="H93" s="276"/>
      <c r="I93" s="277"/>
      <c r="J93" s="223"/>
      <c r="K93" s="398"/>
      <c r="L93" s="224"/>
    </row>
    <row r="94" spans="1:12" ht="14.5" x14ac:dyDescent="0.35">
      <c r="A94" s="217"/>
      <c r="B94" s="209"/>
      <c r="C94" s="218"/>
      <c r="D94" s="219"/>
      <c r="E94" s="220"/>
      <c r="F94" s="221"/>
      <c r="G94" s="222"/>
      <c r="H94" s="276"/>
      <c r="I94" s="277"/>
      <c r="J94" s="223"/>
      <c r="K94" s="398"/>
      <c r="L94" s="224"/>
    </row>
    <row r="95" spans="1:12" ht="14.5" x14ac:dyDescent="0.35">
      <c r="A95" s="217"/>
      <c r="B95" s="209"/>
      <c r="C95" s="218"/>
      <c r="D95" s="219"/>
      <c r="E95" s="220"/>
      <c r="F95" s="221"/>
      <c r="G95" s="222"/>
      <c r="H95" s="276"/>
      <c r="I95" s="277"/>
      <c r="J95" s="223"/>
      <c r="K95" s="398"/>
      <c r="L95" s="224"/>
    </row>
    <row r="96" spans="1:12" ht="14.5" x14ac:dyDescent="0.35">
      <c r="A96" s="217"/>
      <c r="B96" s="209"/>
      <c r="C96" s="218"/>
      <c r="D96" s="219"/>
      <c r="E96" s="220"/>
      <c r="F96" s="221"/>
      <c r="G96" s="222"/>
      <c r="H96" s="276"/>
      <c r="I96" s="277"/>
      <c r="J96" s="223"/>
      <c r="K96" s="398"/>
      <c r="L96" s="224"/>
    </row>
    <row r="97" spans="1:12" ht="14.5" x14ac:dyDescent="0.35">
      <c r="A97" s="217"/>
      <c r="B97" s="209"/>
      <c r="C97" s="218"/>
      <c r="D97" s="219"/>
      <c r="E97" s="220"/>
      <c r="F97" s="221"/>
      <c r="G97" s="222"/>
      <c r="H97" s="276"/>
      <c r="I97" s="277"/>
      <c r="J97" s="223"/>
      <c r="K97" s="398"/>
      <c r="L97" s="224"/>
    </row>
    <row r="98" spans="1:12" ht="14.5" x14ac:dyDescent="0.35">
      <c r="A98" s="217"/>
      <c r="B98" s="209"/>
      <c r="C98" s="218"/>
      <c r="D98" s="219"/>
      <c r="E98" s="220"/>
      <c r="F98" s="221"/>
      <c r="G98" s="222"/>
      <c r="H98" s="276"/>
      <c r="I98" s="277"/>
      <c r="J98" s="223"/>
      <c r="K98" s="398"/>
      <c r="L98" s="224"/>
    </row>
    <row r="99" spans="1:12" ht="14.5" x14ac:dyDescent="0.35">
      <c r="A99" s="217"/>
      <c r="B99" s="209"/>
      <c r="C99" s="218"/>
      <c r="D99" s="219"/>
      <c r="E99" s="220"/>
      <c r="F99" s="221"/>
      <c r="G99" s="222"/>
      <c r="H99" s="276"/>
      <c r="I99" s="277"/>
      <c r="J99" s="223"/>
      <c r="K99" s="398"/>
      <c r="L99" s="224"/>
    </row>
    <row r="100" spans="1:12" ht="14.5" x14ac:dyDescent="0.35">
      <c r="A100" s="217"/>
      <c r="B100" s="209"/>
      <c r="C100" s="218"/>
      <c r="D100" s="219"/>
      <c r="E100" s="220"/>
      <c r="F100" s="221"/>
      <c r="G100" s="222"/>
      <c r="H100" s="276"/>
      <c r="I100" s="277"/>
      <c r="J100" s="223"/>
      <c r="K100" s="398"/>
      <c r="L100" s="224"/>
    </row>
    <row r="101" spans="1:12" ht="14.5" x14ac:dyDescent="0.35">
      <c r="A101" s="217"/>
      <c r="B101" s="209"/>
      <c r="C101" s="218"/>
      <c r="D101" s="219"/>
      <c r="E101" s="220"/>
      <c r="F101" s="221"/>
      <c r="G101" s="222"/>
      <c r="H101" s="276"/>
      <c r="I101" s="277"/>
      <c r="J101" s="223"/>
      <c r="K101" s="398"/>
      <c r="L101" s="224"/>
    </row>
    <row r="102" spans="1:12" ht="14.5" x14ac:dyDescent="0.35">
      <c r="A102" s="217"/>
      <c r="B102" s="209"/>
      <c r="C102" s="218"/>
      <c r="D102" s="219"/>
      <c r="E102" s="220"/>
      <c r="F102" s="221"/>
      <c r="G102" s="222"/>
      <c r="H102" s="276"/>
      <c r="I102" s="277"/>
      <c r="J102" s="223"/>
      <c r="K102" s="398"/>
      <c r="L102" s="224"/>
    </row>
    <row r="103" spans="1:12" ht="14.5" x14ac:dyDescent="0.35">
      <c r="A103" s="217"/>
      <c r="B103" s="209"/>
      <c r="C103" s="218"/>
      <c r="D103" s="219"/>
      <c r="E103" s="220"/>
      <c r="F103" s="221"/>
      <c r="G103" s="222"/>
      <c r="H103" s="276"/>
      <c r="I103" s="277"/>
      <c r="J103" s="223"/>
      <c r="K103" s="398"/>
      <c r="L103" s="224"/>
    </row>
    <row r="104" spans="1:12" ht="14.5" x14ac:dyDescent="0.35">
      <c r="A104" s="217"/>
      <c r="B104" s="209"/>
      <c r="C104" s="218"/>
      <c r="D104" s="219"/>
      <c r="E104" s="220"/>
      <c r="F104" s="221"/>
      <c r="G104" s="222"/>
      <c r="H104" s="276"/>
      <c r="I104" s="277"/>
      <c r="J104" s="223"/>
      <c r="K104" s="398"/>
      <c r="L104" s="224"/>
    </row>
    <row r="105" spans="1:12" ht="14.5" x14ac:dyDescent="0.35">
      <c r="A105" s="217"/>
      <c r="B105" s="209"/>
      <c r="C105" s="218"/>
      <c r="D105" s="219"/>
      <c r="E105" s="220"/>
      <c r="F105" s="221"/>
      <c r="G105" s="222"/>
      <c r="H105" s="276"/>
      <c r="I105" s="277"/>
      <c r="J105" s="223"/>
      <c r="K105" s="398"/>
      <c r="L105" s="224"/>
    </row>
    <row r="106" spans="1:12" ht="14.5" x14ac:dyDescent="0.35">
      <c r="A106" s="217"/>
      <c r="B106" s="209"/>
      <c r="C106" s="218"/>
      <c r="D106" s="219"/>
      <c r="E106" s="220"/>
      <c r="F106" s="221"/>
      <c r="G106" s="222"/>
      <c r="H106" s="276"/>
      <c r="I106" s="277"/>
      <c r="J106" s="223"/>
      <c r="K106" s="398"/>
      <c r="L106" s="224"/>
    </row>
    <row r="107" spans="1:12" ht="14.5" x14ac:dyDescent="0.35">
      <c r="A107" s="217"/>
      <c r="B107" s="209"/>
      <c r="C107" s="218"/>
      <c r="D107" s="219"/>
      <c r="E107" s="220"/>
      <c r="F107" s="221"/>
      <c r="G107" s="222"/>
      <c r="H107" s="276"/>
      <c r="I107" s="277"/>
      <c r="J107" s="223"/>
      <c r="K107" s="398"/>
      <c r="L107" s="224"/>
    </row>
    <row r="108" spans="1:12" ht="14.5" x14ac:dyDescent="0.35">
      <c r="A108" s="217"/>
      <c r="B108" s="209"/>
      <c r="C108" s="218"/>
      <c r="D108" s="219"/>
      <c r="E108" s="220"/>
      <c r="F108" s="221"/>
      <c r="G108" s="222"/>
      <c r="H108" s="276"/>
      <c r="I108" s="277"/>
      <c r="J108" s="223"/>
      <c r="K108" s="398"/>
      <c r="L108" s="224"/>
    </row>
    <row r="109" spans="1:12" x14ac:dyDescent="0.35">
      <c r="A109" s="225"/>
      <c r="B109" s="226"/>
      <c r="C109" s="206"/>
      <c r="D109" s="227"/>
      <c r="E109" s="206"/>
      <c r="F109" s="228"/>
      <c r="G109" s="225" t="s">
        <v>506</v>
      </c>
      <c r="H109" s="226"/>
      <c r="I109" s="225" t="s">
        <v>507</v>
      </c>
      <c r="J109" s="226"/>
      <c r="K109" s="226"/>
      <c r="L109" s="229"/>
    </row>
    <row r="110" spans="1:12" x14ac:dyDescent="0.35">
      <c r="A110" s="230"/>
      <c r="B110" s="231"/>
      <c r="C110" s="231"/>
      <c r="D110" s="232"/>
      <c r="E110" s="231"/>
      <c r="F110" s="136"/>
      <c r="G110" s="667"/>
      <c r="H110" s="669"/>
      <c r="I110" s="667"/>
      <c r="J110" s="668"/>
      <c r="K110" s="668"/>
      <c r="L110" s="669"/>
    </row>
    <row r="111" spans="1:12" x14ac:dyDescent="0.35">
      <c r="A111" s="233" t="s">
        <v>508</v>
      </c>
      <c r="B111" s="234"/>
      <c r="C111" s="235" t="s">
        <v>509</v>
      </c>
      <c r="D111" s="236"/>
      <c r="E111" s="237" t="s">
        <v>510</v>
      </c>
      <c r="F111" s="238"/>
      <c r="G111" s="237" t="s">
        <v>511</v>
      </c>
      <c r="H111" s="206"/>
      <c r="I111" s="237" t="s">
        <v>512</v>
      </c>
      <c r="J111" s="206"/>
      <c r="K111" s="206"/>
      <c r="L111" s="239"/>
    </row>
    <row r="112" spans="1:12" x14ac:dyDescent="0.35">
      <c r="A112" s="672">
        <f>A58+SUM($G$65:$G$108)</f>
        <v>3462</v>
      </c>
      <c r="B112" s="673"/>
      <c r="C112" s="672">
        <f>C58+SUM($J$65:$J$108)</f>
        <v>206</v>
      </c>
      <c r="D112" s="673"/>
      <c r="E112" s="667">
        <v>0</v>
      </c>
      <c r="F112" s="669"/>
      <c r="G112" s="667" t="s">
        <v>761</v>
      </c>
      <c r="H112" s="669"/>
      <c r="I112" s="667"/>
      <c r="J112" s="668"/>
      <c r="K112" s="668"/>
      <c r="L112" s="669"/>
    </row>
    <row r="113" spans="1:12" x14ac:dyDescent="0.35">
      <c r="A113" s="225" t="s">
        <v>513</v>
      </c>
      <c r="B113" s="229"/>
      <c r="C113" s="237" t="s">
        <v>514</v>
      </c>
      <c r="D113" s="240"/>
      <c r="E113" s="235" t="s">
        <v>515</v>
      </c>
      <c r="F113" s="140"/>
      <c r="G113" s="237" t="s">
        <v>516</v>
      </c>
      <c r="H113" s="206"/>
      <c r="I113" s="206"/>
      <c r="J113" s="226"/>
      <c r="K113" s="226"/>
      <c r="L113" s="229"/>
    </row>
    <row r="114" spans="1:12" x14ac:dyDescent="0.35">
      <c r="A114" s="670">
        <f>A60+ROUND(SUM(H$65:$H108),1)</f>
        <v>1198.3</v>
      </c>
      <c r="B114" s="671"/>
      <c r="C114" s="670">
        <f>C60+ROUND(SUM($I$65:$I$108),1)</f>
        <v>1314.2</v>
      </c>
      <c r="D114" s="671"/>
      <c r="E114" s="670">
        <f>C114+E112*IF(G112="80x120",25,20)</f>
        <v>1314.2</v>
      </c>
      <c r="F114" s="671"/>
      <c r="G114" s="241"/>
      <c r="H114" s="242"/>
      <c r="I114" s="242"/>
      <c r="J114" s="242"/>
      <c r="K114" s="242"/>
      <c r="L114" s="243"/>
    </row>
    <row r="115" spans="1:12" ht="15.5" x14ac:dyDescent="0.35">
      <c r="A115" s="237" t="s">
        <v>517</v>
      </c>
      <c r="B115" s="206"/>
      <c r="C115" s="206"/>
      <c r="D115" s="206"/>
      <c r="E115" s="244"/>
      <c r="F115" s="124"/>
      <c r="G115" s="245"/>
      <c r="H115" s="246"/>
      <c r="I115" s="246"/>
      <c r="J115" s="247"/>
      <c r="K115" s="247"/>
      <c r="L115" s="248"/>
    </row>
    <row r="116" spans="1:12" ht="15.5" x14ac:dyDescent="0.35">
      <c r="A116" s="249"/>
      <c r="B116" s="250"/>
      <c r="C116" s="242"/>
      <c r="D116" s="242"/>
      <c r="E116" s="242"/>
      <c r="F116" s="128"/>
      <c r="G116" s="245"/>
      <c r="H116" s="246"/>
      <c r="I116" s="246"/>
      <c r="J116" s="246"/>
      <c r="K116" s="246"/>
      <c r="L116" s="248"/>
    </row>
    <row r="117" spans="1:12" ht="15.5" x14ac:dyDescent="0.35">
      <c r="A117" s="249"/>
      <c r="B117" s="242"/>
      <c r="C117" s="242"/>
      <c r="D117" s="251"/>
      <c r="E117" s="242"/>
      <c r="F117" s="128"/>
      <c r="G117" s="245"/>
      <c r="H117" s="246"/>
      <c r="I117" s="246"/>
      <c r="J117" s="246"/>
      <c r="K117" s="246"/>
      <c r="L117" s="248"/>
    </row>
    <row r="118" spans="1:12" ht="15.5" x14ac:dyDescent="0.35">
      <c r="A118" s="230"/>
      <c r="B118" s="231"/>
      <c r="C118" s="231"/>
      <c r="D118" s="232"/>
      <c r="E118" s="231"/>
      <c r="F118" s="136"/>
      <c r="G118" s="252"/>
      <c r="H118" s="253"/>
      <c r="I118" s="253"/>
      <c r="J118" s="253"/>
      <c r="K118" s="253"/>
      <c r="L118" s="254"/>
    </row>
  </sheetData>
  <mergeCells count="33">
    <mergeCell ref="A114:B114"/>
    <mergeCell ref="C114:D114"/>
    <mergeCell ref="E114:F114"/>
    <mergeCell ref="A60:B60"/>
    <mergeCell ref="C60:D60"/>
    <mergeCell ref="E60:F60"/>
    <mergeCell ref="G110:H110"/>
    <mergeCell ref="I110:L110"/>
    <mergeCell ref="A112:B112"/>
    <mergeCell ref="C112:D112"/>
    <mergeCell ref="E112:F112"/>
    <mergeCell ref="G112:H112"/>
    <mergeCell ref="I112:L112"/>
    <mergeCell ref="G56:H56"/>
    <mergeCell ref="I56:L56"/>
    <mergeCell ref="A58:B58"/>
    <mergeCell ref="C58:D58"/>
    <mergeCell ref="E58:F58"/>
    <mergeCell ref="G58:H58"/>
    <mergeCell ref="I58:L58"/>
    <mergeCell ref="E57:F57"/>
    <mergeCell ref="B10:E10"/>
    <mergeCell ref="A1:B1"/>
    <mergeCell ref="H1:J1"/>
    <mergeCell ref="A8:B8"/>
    <mergeCell ref="C8:D8"/>
    <mergeCell ref="G8:I8"/>
    <mergeCell ref="J8:L8"/>
    <mergeCell ref="A9:B9"/>
    <mergeCell ref="C9:D9"/>
    <mergeCell ref="E9:F9"/>
    <mergeCell ref="G9:I9"/>
    <mergeCell ref="J9:L9"/>
  </mergeCells>
  <dataValidations count="1">
    <dataValidation type="list" allowBlank="1" showInputMessage="1" showErrorMessage="1" sqref="G58:H58" xr:uid="{00000000-0002-0000-0C00-000000000000}">
      <formula1>"80x120,100x120"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25"/>
  <dimension ref="A1:I12"/>
  <sheetViews>
    <sheetView workbookViewId="0">
      <pane ySplit="1" topLeftCell="A2" activePane="bottomLeft" state="frozen"/>
      <selection activeCell="B7" sqref="B7"/>
      <selection pane="bottomLeft" activeCell="C21" sqref="C21"/>
    </sheetView>
  </sheetViews>
  <sheetFormatPr defaultRowHeight="14.5" x14ac:dyDescent="0.35"/>
  <cols>
    <col min="1" max="2" width="23.453125" customWidth="1"/>
    <col min="3" max="3" width="37.7265625" bestFit="1" customWidth="1"/>
    <col min="4" max="6" width="26.81640625" customWidth="1"/>
    <col min="7" max="7" width="21.453125" style="115" customWidth="1"/>
    <col min="8" max="8" width="22.54296875" style="115" customWidth="1"/>
    <col min="9" max="9" width="23.1796875" style="115" customWidth="1"/>
  </cols>
  <sheetData>
    <row r="1" spans="1:9" s="3" customFormat="1" x14ac:dyDescent="0.35">
      <c r="A1" s="3" t="s">
        <v>1035</v>
      </c>
      <c r="B1" s="3" t="s">
        <v>1036</v>
      </c>
      <c r="C1" s="3" t="s">
        <v>1030</v>
      </c>
      <c r="D1" s="3" t="s">
        <v>1031</v>
      </c>
      <c r="E1" s="3" t="s">
        <v>1032</v>
      </c>
      <c r="F1" s="3" t="s">
        <v>1033</v>
      </c>
      <c r="G1" s="53" t="s">
        <v>1029</v>
      </c>
      <c r="H1" s="53" t="s">
        <v>1046</v>
      </c>
      <c r="I1" s="53" t="s">
        <v>1052</v>
      </c>
    </row>
    <row r="2" spans="1:9" x14ac:dyDescent="0.35">
      <c r="A2" t="s">
        <v>1034</v>
      </c>
      <c r="B2" t="s">
        <v>1054</v>
      </c>
      <c r="C2" t="s">
        <v>1063</v>
      </c>
      <c r="D2" t="s">
        <v>1064</v>
      </c>
      <c r="G2" s="115" t="s">
        <v>1055</v>
      </c>
    </row>
    <row r="3" spans="1:9" x14ac:dyDescent="0.35">
      <c r="A3" t="s">
        <v>846</v>
      </c>
      <c r="B3" t="s">
        <v>1087</v>
      </c>
    </row>
    <row r="4" spans="1:9" x14ac:dyDescent="0.35">
      <c r="A4" t="s">
        <v>1025</v>
      </c>
      <c r="B4" t="s">
        <v>1037</v>
      </c>
      <c r="C4" t="s">
        <v>1038</v>
      </c>
      <c r="D4" t="s">
        <v>1039</v>
      </c>
    </row>
    <row r="5" spans="1:9" x14ac:dyDescent="0.35">
      <c r="A5" t="s">
        <v>1040</v>
      </c>
      <c r="B5" t="s">
        <v>1040</v>
      </c>
      <c r="C5" t="s">
        <v>1044</v>
      </c>
      <c r="D5" t="s">
        <v>1045</v>
      </c>
      <c r="G5" s="115" t="s">
        <v>1050</v>
      </c>
      <c r="H5" s="115" t="s">
        <v>1047</v>
      </c>
    </row>
    <row r="6" spans="1:9" x14ac:dyDescent="0.35">
      <c r="A6" t="s">
        <v>1041</v>
      </c>
      <c r="B6" t="s">
        <v>1048</v>
      </c>
      <c r="C6" t="s">
        <v>1042</v>
      </c>
      <c r="D6" t="s">
        <v>1043</v>
      </c>
      <c r="G6" s="115" t="s">
        <v>1051</v>
      </c>
      <c r="H6" s="115" t="s">
        <v>1049</v>
      </c>
      <c r="I6" s="115" t="s">
        <v>1053</v>
      </c>
    </row>
    <row r="7" spans="1:9" x14ac:dyDescent="0.35">
      <c r="A7" t="s">
        <v>1061</v>
      </c>
      <c r="B7" t="s">
        <v>1086</v>
      </c>
    </row>
    <row r="8" spans="1:9" x14ac:dyDescent="0.35">
      <c r="A8" t="s">
        <v>1062</v>
      </c>
      <c r="B8" t="s">
        <v>1088</v>
      </c>
    </row>
    <row r="9" spans="1:9" x14ac:dyDescent="0.35">
      <c r="A9" t="s">
        <v>1069</v>
      </c>
      <c r="B9" t="s">
        <v>1070</v>
      </c>
      <c r="C9" t="s">
        <v>1071</v>
      </c>
      <c r="D9" t="s">
        <v>1072</v>
      </c>
      <c r="E9" t="s">
        <v>1073</v>
      </c>
    </row>
    <row r="10" spans="1:9" x14ac:dyDescent="0.35">
      <c r="A10" t="s">
        <v>1076</v>
      </c>
      <c r="B10" t="s">
        <v>1079</v>
      </c>
      <c r="C10" t="s">
        <v>1077</v>
      </c>
      <c r="D10" t="s">
        <v>1078</v>
      </c>
    </row>
    <row r="11" spans="1:9" x14ac:dyDescent="0.35">
      <c r="A11" t="s">
        <v>1080</v>
      </c>
      <c r="B11" t="s">
        <v>1085</v>
      </c>
      <c r="C11" t="s">
        <v>1084</v>
      </c>
      <c r="D11" t="s">
        <v>1083</v>
      </c>
    </row>
    <row r="12" spans="1:9" x14ac:dyDescent="0.35">
      <c r="A12" t="s">
        <v>1081</v>
      </c>
      <c r="B12" t="s">
        <v>1082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20">
    <pageSetUpPr fitToPage="1"/>
  </sheetPr>
  <dimension ref="A1:AB71"/>
  <sheetViews>
    <sheetView topLeftCell="A19" workbookViewId="0">
      <selection activeCell="L49" sqref="L49"/>
    </sheetView>
  </sheetViews>
  <sheetFormatPr defaultColWidth="9.1796875" defaultRowHeight="14.5" x14ac:dyDescent="0.35"/>
  <cols>
    <col min="1" max="1" width="8.26953125" style="11" customWidth="1"/>
    <col min="2" max="2" width="30.54296875" style="11" customWidth="1"/>
    <col min="3" max="3" width="20.54296875" style="11" customWidth="1"/>
    <col min="4" max="4" width="10.54296875" style="11" customWidth="1"/>
    <col min="5" max="6" width="8.81640625" style="11" customWidth="1"/>
    <col min="7" max="7" width="15.81640625" style="11" customWidth="1"/>
    <col min="8" max="9" width="16.7265625" style="11" customWidth="1"/>
    <col min="10" max="10" width="5.7265625" style="11" customWidth="1"/>
    <col min="11" max="14" width="9.1796875" style="11"/>
    <col min="15" max="17" width="18.1796875" style="305" customWidth="1"/>
    <col min="18" max="18" width="17.453125" style="305" customWidth="1"/>
    <col min="19" max="19" width="18.81640625" style="305" customWidth="1"/>
    <col min="20" max="21" width="18.453125" style="305" customWidth="1"/>
    <col min="22" max="22" width="13.1796875" style="305" customWidth="1"/>
    <col min="23" max="23" width="19.81640625" style="305" customWidth="1"/>
    <col min="24" max="24" width="13.1796875" style="305" customWidth="1"/>
    <col min="25" max="25" width="19.81640625" style="305" customWidth="1"/>
    <col min="26" max="26" width="13.1796875" style="305" customWidth="1"/>
    <col min="27" max="27" width="15.453125" style="305" customWidth="1"/>
    <col min="28" max="28" width="18.453125" style="305" customWidth="1"/>
    <col min="29" max="29" width="10.1796875" style="11" bestFit="1" customWidth="1"/>
    <col min="30" max="31" width="14.1796875" style="11" bestFit="1" customWidth="1"/>
    <col min="32" max="16384" width="9.1796875" style="11"/>
  </cols>
  <sheetData>
    <row r="1" spans="1:11" ht="20" x14ac:dyDescent="0.4">
      <c r="A1" s="9"/>
      <c r="B1" s="10"/>
      <c r="C1" s="10"/>
      <c r="D1" s="10"/>
      <c r="E1" s="711" t="s">
        <v>518</v>
      </c>
      <c r="F1" s="712"/>
      <c r="G1" s="712"/>
      <c r="H1" s="712"/>
      <c r="I1" s="712"/>
      <c r="J1" s="10"/>
      <c r="K1" s="10"/>
    </row>
    <row r="2" spans="1:11" ht="12.75" customHeight="1" x14ac:dyDescent="0.4">
      <c r="A2" s="9"/>
      <c r="B2" s="10" t="s">
        <v>519</v>
      </c>
      <c r="C2" s="10"/>
      <c r="D2" s="10"/>
      <c r="E2" s="12"/>
      <c r="F2" s="13"/>
      <c r="G2" s="13"/>
      <c r="H2" s="13"/>
      <c r="I2" s="13"/>
      <c r="J2" s="10"/>
      <c r="K2" s="10"/>
    </row>
    <row r="3" spans="1:11" ht="12.75" customHeight="1" x14ac:dyDescent="0.35">
      <c r="A3" s="9"/>
      <c r="B3" s="695" t="s">
        <v>520</v>
      </c>
      <c r="C3" s="691"/>
      <c r="D3" s="692"/>
      <c r="E3" s="695" t="s">
        <v>521</v>
      </c>
      <c r="F3" s="691"/>
      <c r="G3" s="691"/>
      <c r="H3" s="691"/>
      <c r="I3" s="692"/>
      <c r="J3" s="684" t="s">
        <v>522</v>
      </c>
      <c r="K3" s="10"/>
    </row>
    <row r="4" spans="1:11" ht="20.5" x14ac:dyDescent="0.35">
      <c r="A4" s="9"/>
      <c r="B4" s="14" t="s">
        <v>523</v>
      </c>
      <c r="C4" s="15"/>
      <c r="D4" s="16"/>
      <c r="E4" s="687"/>
      <c r="F4" s="688"/>
      <c r="G4" s="688"/>
      <c r="H4" s="688"/>
      <c r="I4" s="689"/>
      <c r="J4" s="684"/>
      <c r="K4" s="10"/>
    </row>
    <row r="5" spans="1:11" ht="20.5" x14ac:dyDescent="0.35">
      <c r="A5" s="9"/>
      <c r="B5" s="14" t="s">
        <v>524</v>
      </c>
      <c r="C5" s="15"/>
      <c r="D5" s="16"/>
      <c r="E5" s="690" t="s">
        <v>525</v>
      </c>
      <c r="F5" s="691"/>
      <c r="G5" s="692"/>
      <c r="H5" s="17" t="s">
        <v>526</v>
      </c>
      <c r="I5" s="18"/>
      <c r="J5" s="684"/>
      <c r="K5" s="10"/>
    </row>
    <row r="6" spans="1:11" ht="20.5" x14ac:dyDescent="0.35">
      <c r="A6" s="9"/>
      <c r="B6" s="14" t="s">
        <v>527</v>
      </c>
      <c r="C6" s="15"/>
      <c r="D6" s="16"/>
      <c r="E6" s="19" t="s">
        <v>528</v>
      </c>
      <c r="F6" s="20">
        <v>1</v>
      </c>
      <c r="G6" s="21" t="s">
        <v>529</v>
      </c>
      <c r="H6" s="693"/>
      <c r="I6" s="694"/>
      <c r="J6" s="684"/>
      <c r="K6" s="10"/>
    </row>
    <row r="7" spans="1:11" ht="20.5" x14ac:dyDescent="0.35">
      <c r="A7" s="9"/>
      <c r="B7" s="14" t="s">
        <v>292</v>
      </c>
      <c r="C7" s="15"/>
      <c r="D7" s="16"/>
      <c r="E7" s="695" t="s">
        <v>530</v>
      </c>
      <c r="F7" s="691"/>
      <c r="G7" s="692"/>
      <c r="H7" s="17" t="s">
        <v>531</v>
      </c>
      <c r="I7" s="18"/>
      <c r="J7" s="684"/>
      <c r="K7" s="10"/>
    </row>
    <row r="8" spans="1:11" x14ac:dyDescent="0.35">
      <c r="A8" s="9"/>
      <c r="B8" s="695" t="s">
        <v>532</v>
      </c>
      <c r="C8" s="691"/>
      <c r="D8" s="692"/>
      <c r="E8" s="695" t="s">
        <v>533</v>
      </c>
      <c r="F8" s="691"/>
      <c r="G8" s="691"/>
      <c r="H8" s="691"/>
      <c r="I8" s="692"/>
      <c r="J8" s="684"/>
      <c r="K8" s="10"/>
    </row>
    <row r="9" spans="1:11" ht="20.5" x14ac:dyDescent="0.35">
      <c r="A9" s="9"/>
      <c r="B9" s="183" t="str">
        <f>plModel12!$H$2</f>
        <v>GILMUR COMPANY S.A.</v>
      </c>
      <c r="C9" s="15"/>
      <c r="D9" s="16"/>
      <c r="E9" s="699"/>
      <c r="F9" s="700"/>
      <c r="G9" s="700"/>
      <c r="H9" s="700"/>
      <c r="I9" s="701"/>
      <c r="J9" s="684"/>
      <c r="K9" s="10"/>
    </row>
    <row r="10" spans="1:11" ht="20.5" x14ac:dyDescent="0.35">
      <c r="A10" s="9"/>
      <c r="B10" s="183">
        <f>plModel12!$H$3</f>
        <v>0</v>
      </c>
      <c r="C10" s="15"/>
      <c r="D10" s="16"/>
      <c r="E10" s="699"/>
      <c r="F10" s="700"/>
      <c r="G10" s="700"/>
      <c r="H10" s="700"/>
      <c r="I10" s="701"/>
      <c r="J10" s="684"/>
      <c r="K10" s="10"/>
    </row>
    <row r="11" spans="1:11" ht="20.5" x14ac:dyDescent="0.35">
      <c r="A11" s="9"/>
      <c r="B11" s="183" t="str">
        <f>plModel12!$H$4</f>
        <v>ITUZAINGO AL SUR S/N</v>
      </c>
      <c r="C11" s="15"/>
      <c r="D11" s="16"/>
      <c r="E11" s="699"/>
      <c r="F11" s="700"/>
      <c r="G11" s="700"/>
      <c r="H11" s="700"/>
      <c r="I11" s="701"/>
      <c r="J11" s="684"/>
      <c r="K11" s="10"/>
    </row>
    <row r="12" spans="1:11" ht="20.5" x14ac:dyDescent="0.35">
      <c r="A12" s="9"/>
      <c r="B12" s="183" t="str">
        <f>plModel12!$H$5</f>
        <v>ZONA FRANCA FLORID, FLORIDA</v>
      </c>
      <c r="C12" s="15"/>
      <c r="D12" s="16"/>
      <c r="E12" s="699"/>
      <c r="F12" s="700"/>
      <c r="G12" s="700"/>
      <c r="H12" s="700"/>
      <c r="I12" s="701"/>
      <c r="J12" s="684"/>
      <c r="K12" s="10"/>
    </row>
    <row r="13" spans="1:11" ht="20.5" x14ac:dyDescent="0.35">
      <c r="A13" s="9"/>
      <c r="B13" s="183" t="str">
        <f>plModel12!$H$6</f>
        <v>URUGUAY</v>
      </c>
      <c r="C13" s="15"/>
      <c r="D13" s="16"/>
      <c r="E13" s="702" t="s">
        <v>534</v>
      </c>
      <c r="F13" s="703"/>
      <c r="G13" s="703"/>
      <c r="H13" s="703"/>
      <c r="I13" s="704"/>
      <c r="J13" s="684"/>
      <c r="K13" s="10"/>
    </row>
    <row r="14" spans="1:11" x14ac:dyDescent="0.35">
      <c r="A14" s="9"/>
      <c r="B14" s="695" t="s">
        <v>535</v>
      </c>
      <c r="C14" s="691"/>
      <c r="D14" s="692"/>
      <c r="E14" s="696" t="s">
        <v>536</v>
      </c>
      <c r="F14" s="697"/>
      <c r="G14" s="697"/>
      <c r="H14" s="697"/>
      <c r="I14" s="698"/>
      <c r="J14" s="684"/>
      <c r="K14" s="10"/>
    </row>
    <row r="15" spans="1:11" x14ac:dyDescent="0.35">
      <c r="A15" s="9"/>
      <c r="B15" s="699"/>
      <c r="C15" s="700"/>
      <c r="D15" s="701"/>
      <c r="E15" s="705" t="s">
        <v>537</v>
      </c>
      <c r="F15" s="706"/>
      <c r="G15" s="706"/>
      <c r="H15" s="706"/>
      <c r="I15" s="707"/>
      <c r="J15" s="684"/>
      <c r="K15" s="10"/>
    </row>
    <row r="16" spans="1:11" x14ac:dyDescent="0.35">
      <c r="A16" s="9"/>
      <c r="B16" s="699"/>
      <c r="C16" s="700"/>
      <c r="D16" s="701"/>
      <c r="E16" s="705"/>
      <c r="F16" s="706"/>
      <c r="G16" s="706"/>
      <c r="H16" s="706"/>
      <c r="I16" s="707"/>
      <c r="J16" s="684"/>
      <c r="K16" s="10"/>
    </row>
    <row r="17" spans="1:14" x14ac:dyDescent="0.35">
      <c r="A17" s="9"/>
      <c r="B17" s="699"/>
      <c r="C17" s="700"/>
      <c r="D17" s="701"/>
      <c r="E17" s="705"/>
      <c r="F17" s="706"/>
      <c r="G17" s="706"/>
      <c r="H17" s="706"/>
      <c r="I17" s="707"/>
      <c r="J17" s="684"/>
      <c r="K17" s="10"/>
    </row>
    <row r="18" spans="1:14" x14ac:dyDescent="0.35">
      <c r="A18" s="9"/>
      <c r="B18" s="687"/>
      <c r="C18" s="688"/>
      <c r="D18" s="689"/>
      <c r="E18" s="708"/>
      <c r="F18" s="709"/>
      <c r="G18" s="709"/>
      <c r="H18" s="709"/>
      <c r="I18" s="710"/>
      <c r="J18" s="684"/>
      <c r="K18" s="10"/>
    </row>
    <row r="19" spans="1:14" x14ac:dyDescent="0.35">
      <c r="A19" s="713" t="s">
        <v>538</v>
      </c>
      <c r="B19" s="695" t="s">
        <v>539</v>
      </c>
      <c r="C19" s="691"/>
      <c r="D19" s="692"/>
      <c r="E19" s="715" t="s">
        <v>540</v>
      </c>
      <c r="F19" s="716"/>
      <c r="G19" s="716"/>
      <c r="H19" s="716"/>
      <c r="I19" s="717"/>
      <c r="J19" s="684"/>
      <c r="K19" s="10"/>
    </row>
    <row r="20" spans="1:14" x14ac:dyDescent="0.35">
      <c r="A20" s="714"/>
      <c r="B20" s="699"/>
      <c r="C20" s="700"/>
      <c r="D20" s="701"/>
      <c r="E20" s="699"/>
      <c r="F20" s="700"/>
      <c r="G20" s="700"/>
      <c r="H20" s="700"/>
      <c r="I20" s="701"/>
      <c r="J20" s="684"/>
      <c r="K20" s="10"/>
    </row>
    <row r="21" spans="1:14" ht="15.5" x14ac:dyDescent="0.35">
      <c r="A21" s="714"/>
      <c r="B21" s="699"/>
      <c r="C21" s="700"/>
      <c r="D21" s="701"/>
      <c r="E21" s="718" t="s">
        <v>541</v>
      </c>
      <c r="F21" s="719"/>
      <c r="G21" s="719"/>
      <c r="H21" s="719"/>
      <c r="I21" s="720"/>
      <c r="J21" s="684"/>
      <c r="K21" s="10"/>
    </row>
    <row r="22" spans="1:14" ht="15.5" x14ac:dyDescent="0.35">
      <c r="A22" s="714"/>
      <c r="B22" s="687"/>
      <c r="C22" s="688"/>
      <c r="D22" s="689"/>
      <c r="E22" s="699"/>
      <c r="F22" s="700"/>
      <c r="G22" s="700"/>
      <c r="H22" s="700"/>
      <c r="I22" s="701"/>
      <c r="J22" s="684"/>
      <c r="K22" s="10"/>
      <c r="L22" s="182"/>
    </row>
    <row r="23" spans="1:14" ht="12.75" customHeight="1" x14ac:dyDescent="0.35">
      <c r="A23" s="714"/>
      <c r="B23" s="22" t="s">
        <v>542</v>
      </c>
      <c r="C23" s="695" t="s">
        <v>543</v>
      </c>
      <c r="D23" s="692"/>
      <c r="E23" s="699"/>
      <c r="F23" s="700"/>
      <c r="G23" s="700"/>
      <c r="H23" s="700"/>
      <c r="I23" s="701"/>
      <c r="J23" s="684"/>
      <c r="K23" s="10"/>
    </row>
    <row r="24" spans="1:14" x14ac:dyDescent="0.35">
      <c r="A24" s="714"/>
      <c r="B24" s="23"/>
      <c r="C24" s="726"/>
      <c r="D24" s="727"/>
      <c r="E24" s="699"/>
      <c r="F24" s="700"/>
      <c r="G24" s="700"/>
      <c r="H24" s="728" t="s">
        <v>544</v>
      </c>
      <c r="I24" s="729"/>
      <c r="J24" s="684"/>
      <c r="K24" s="10"/>
    </row>
    <row r="25" spans="1:14" x14ac:dyDescent="0.35">
      <c r="A25" s="714"/>
      <c r="B25" s="22" t="s">
        <v>545</v>
      </c>
      <c r="C25" s="695" t="s">
        <v>546</v>
      </c>
      <c r="D25" s="692"/>
      <c r="E25" s="730" t="s">
        <v>547</v>
      </c>
      <c r="F25" s="731"/>
      <c r="G25" s="731"/>
      <c r="H25" s="731"/>
      <c r="I25" s="732"/>
      <c r="J25" s="684"/>
      <c r="K25" s="10"/>
    </row>
    <row r="26" spans="1:14" ht="20.25" customHeight="1" x14ac:dyDescent="0.35">
      <c r="A26" s="714"/>
      <c r="B26" s="23" t="s">
        <v>1074</v>
      </c>
      <c r="C26" s="726"/>
      <c r="D26" s="727"/>
      <c r="E26" s="702" t="s">
        <v>548</v>
      </c>
      <c r="F26" s="703"/>
      <c r="G26" s="24" t="s">
        <v>549</v>
      </c>
      <c r="H26" s="24" t="s">
        <v>550</v>
      </c>
      <c r="I26" s="21" t="s">
        <v>551</v>
      </c>
      <c r="J26" s="684"/>
      <c r="K26" s="10"/>
    </row>
    <row r="27" spans="1:14" ht="12.75" customHeight="1" x14ac:dyDescent="0.35">
      <c r="A27" s="714"/>
      <c r="B27" s="25" t="s">
        <v>552</v>
      </c>
      <c r="C27" s="733" t="s">
        <v>553</v>
      </c>
      <c r="D27" s="733"/>
      <c r="E27" s="733"/>
      <c r="F27" s="733"/>
      <c r="G27" s="26" t="s">
        <v>554</v>
      </c>
      <c r="H27" s="26" t="s">
        <v>555</v>
      </c>
      <c r="I27" s="27" t="s">
        <v>556</v>
      </c>
      <c r="J27" s="684"/>
      <c r="K27" s="10"/>
    </row>
    <row r="28" spans="1:14" x14ac:dyDescent="0.35">
      <c r="A28" s="714"/>
      <c r="B28" s="28"/>
      <c r="C28" s="29"/>
      <c r="D28" s="29"/>
      <c r="E28" s="29"/>
      <c r="F28" s="30"/>
      <c r="G28" s="300"/>
      <c r="H28" s="300"/>
      <c r="I28" s="31"/>
      <c r="J28" s="684"/>
      <c r="K28" s="10"/>
    </row>
    <row r="29" spans="1:14" ht="15.5" x14ac:dyDescent="0.35">
      <c r="A29" s="714"/>
      <c r="B29" s="182" t="s">
        <v>1193</v>
      </c>
      <c r="C29" s="33"/>
      <c r="D29" s="33"/>
      <c r="E29" s="33"/>
      <c r="F29" s="34"/>
      <c r="G29" s="299"/>
      <c r="H29" s="299"/>
      <c r="I29" s="35"/>
      <c r="J29" s="684"/>
      <c r="K29" s="10"/>
    </row>
    <row r="30" spans="1:14" ht="15.5" x14ac:dyDescent="0.35">
      <c r="A30" s="714"/>
      <c r="B30" s="69" t="s">
        <v>1194</v>
      </c>
      <c r="C30" s="33"/>
      <c r="D30" s="33"/>
      <c r="E30" s="33"/>
      <c r="F30" s="34"/>
      <c r="G30" s="299"/>
      <c r="H30" s="299"/>
      <c r="I30" s="35"/>
      <c r="J30" s="684"/>
      <c r="K30" s="10"/>
    </row>
    <row r="31" spans="1:14" ht="15.5" x14ac:dyDescent="0.35">
      <c r="A31" s="714"/>
      <c r="B31" s="69" t="str">
        <f t="array" aca="1" ref="B31" ca="1">CONCATENATE(SUM(SUMIF(plModel12!$A$11:$A$54, cartoni_profumi, plModel12!$J$11:$J$54))+SUM(SUMIF(plModel12!$A$65:$A$108, cartoni_profumi, plModel12!$J$65:$J$108)), " FIBREBOARD BOXES")</f>
        <v>186 FIBREBOARD BOXES</v>
      </c>
      <c r="C31" s="33"/>
      <c r="D31" s="33"/>
      <c r="E31" s="33"/>
      <c r="F31" s="34"/>
      <c r="G31" s="299"/>
      <c r="H31" s="299"/>
      <c r="I31" s="35"/>
      <c r="J31" s="684"/>
      <c r="K31" s="10"/>
      <c r="N31" s="304"/>
    </row>
    <row r="32" spans="1:14" ht="15.5" x14ac:dyDescent="0.35">
      <c r="A32" s="714"/>
      <c r="B32" s="69" t="str">
        <f t="array" aca="1" ref="B32" ca="1">CONCATENATE(SUM(SUMIF(plModel12!$A$11:$A$54, bt_profumi50, plModel12!$G$11:$G$54))+SUM(SUMIF(plModel12!$A$65:$A$108, bt_profumi50, plModel12!$J$65:$J$108)), " GLASS BOTTLES BY 50ML")</f>
        <v>1152 GLASS BOTTLES BY 50ML</v>
      </c>
      <c r="C32" s="33"/>
      <c r="D32" s="33"/>
      <c r="E32" s="33"/>
      <c r="F32" s="34"/>
      <c r="G32" s="299">
        <f t="array" aca="1" ref="G32" ca="1">SUM(SUMIF(plModel12!$A$11:$A$54, bt_profumi50, plModel12!$H$11:$H$54) * pesi_profumi50) + SUM(SUMIF(plModel12!$A$65:$A$108, bt_profumi50, plModel12!$H$65:$H$108) * pesi_profumi50)</f>
        <v>266.75549999999998</v>
      </c>
      <c r="H32" s="299">
        <f t="array" aca="1" ref="H32" ca="1">SUM(SUMIF(plModel12!$A$11:$A$54, bt_profumi50, plModel12!$I$11:$I$54) * pesi_profumi50) + SUM(SUMIF(plModel12!$A$65:$A$108, bt_profumi50, plModel12!$I$65:$I$108) * pesi_profumi50)</f>
        <v>297.27499999999998</v>
      </c>
      <c r="I32" s="72">
        <v>1.5607102500000001</v>
      </c>
      <c r="J32" s="684"/>
      <c r="K32" s="10"/>
    </row>
    <row r="33" spans="1:11" ht="15.5" x14ac:dyDescent="0.35">
      <c r="A33" s="714"/>
      <c r="B33" s="69" t="str">
        <f t="array" aca="1" ref="B33" ca="1">CONCATENATE(SUM(SUMIF(plModel12!$A$11:$A$54, bt_profumi100, plModel12!$G$11:$G$54))+SUM(SUMIF(plModel12!$A$65:$A$108, bt_profumi100, plModel12!$J$65:$J$108)), " GLASS BOTTLES BY 100ML")</f>
        <v>1678 GLASS BOTTLES BY 100ML</v>
      </c>
      <c r="C33" s="33"/>
      <c r="D33" s="33"/>
      <c r="E33" s="33"/>
      <c r="F33" s="34"/>
      <c r="G33" s="299">
        <f t="array" aca="1" ref="G33" ca="1">SUM(SUMIF(plModel12!$A$11:$A$54, bt_profumi100, plModel12!$H$11:$H$54) * pesi_profumi100) + SUM(SUMIF(plModel12!$A$65:$A$108, bt_profumi100, plModel12!$H$65:$H$108) * pesi_profumi100)</f>
        <v>586.30083333333323</v>
      </c>
      <c r="H33" s="299">
        <f t="array" aca="1" ref="H33" ca="1">SUM(SUMIF(plModel12!$A$11:$A$54, bt_profumi100, plModel12!$I$11:$I$54) * pesi_profumi100) + SUM(SUMIF(plModel12!$A$65:$A$108, bt_profumi100, plModel12!$I$65:$I$108) * pesi_profumi100)</f>
        <v>633.69416666666677</v>
      </c>
      <c r="I33" s="72">
        <v>1.6984631875</v>
      </c>
      <c r="J33" s="684"/>
      <c r="K33" s="10"/>
    </row>
    <row r="34" spans="1:11" ht="15.5" x14ac:dyDescent="0.35">
      <c r="A34" s="714"/>
      <c r="B34" s="70"/>
      <c r="C34" s="33"/>
      <c r="D34" s="33"/>
      <c r="E34" s="33"/>
      <c r="F34" s="34"/>
      <c r="G34" s="299"/>
      <c r="H34" s="299"/>
      <c r="I34" s="72"/>
      <c r="J34" s="684"/>
      <c r="K34" s="10"/>
    </row>
    <row r="35" spans="1:11" ht="15.5" x14ac:dyDescent="0.35">
      <c r="A35" s="714"/>
      <c r="B35" s="70" t="s">
        <v>1195</v>
      </c>
      <c r="C35" s="33"/>
      <c r="D35" s="33"/>
      <c r="E35" s="33"/>
      <c r="F35" s="34"/>
      <c r="G35" s="299"/>
      <c r="H35" s="299"/>
      <c r="I35" s="72"/>
      <c r="J35" s="684"/>
      <c r="K35" s="10"/>
    </row>
    <row r="36" spans="1:11" ht="15.5" x14ac:dyDescent="0.35">
      <c r="A36" s="714"/>
      <c r="B36" s="70" t="s">
        <v>1196</v>
      </c>
      <c r="C36" s="33"/>
      <c r="D36" s="33"/>
      <c r="E36" s="33"/>
      <c r="F36" s="34"/>
      <c r="G36" s="299"/>
      <c r="H36" s="299"/>
      <c r="I36" s="72"/>
      <c r="J36" s="684"/>
      <c r="K36" s="10"/>
    </row>
    <row r="37" spans="1:11" ht="15.5" x14ac:dyDescent="0.35">
      <c r="A37" s="714"/>
      <c r="B37" s="70" t="str">
        <f t="array" aca="1" ref="B37" ca="1">CONCATENATE(SUM(SUMIF(plModel12!$A$11:$A$54, cartoni_bm, plModel12!$J$11:$J$54))+SUM(SUMIF(plModel12!$A$65:$A$108, cartoni_bm, plModel12!$J$65:$J$108)), " FIBREBOARD BOXES")</f>
        <v>20 FIBREBOARD BOXES</v>
      </c>
      <c r="C37" s="33"/>
      <c r="D37" s="33"/>
      <c r="E37" s="33"/>
      <c r="F37" s="34"/>
      <c r="G37" s="299"/>
      <c r="H37" s="299"/>
      <c r="I37" s="72"/>
      <c r="J37" s="684"/>
      <c r="K37" s="10"/>
    </row>
    <row r="38" spans="1:11" ht="15.5" x14ac:dyDescent="0.35">
      <c r="A38" s="714"/>
      <c r="B38" s="70" t="str">
        <f t="array" aca="1" ref="B38" ca="1">CONCATENATE(SUM(SUMIF(plModel12!$A$11:$A$54, bt_bm200, plModel12!$G$11:$G$54))+SUM(SUMIF(plModel12!$A$65:$A$108, bt_bm200, plModel12!$J$65:$J$108)), " GLASS BOTTLES BY 200ML")</f>
        <v>480 GLASS BOTTLES BY 200ML</v>
      </c>
      <c r="C38" s="33"/>
      <c r="D38" s="33"/>
      <c r="E38" s="33"/>
      <c r="F38" s="34"/>
      <c r="G38" s="299">
        <f t="array" aca="1" ref="G38" ca="1">SUM(SUMIF(plModel12!$A$11:$A$54, bt_bm200, plModel12!$H$11:$H$54) + SUM(SUMIF(plModel12!$A$65:$A$108, bt_bm200, plModel12!$H$65:$H$108)))</f>
        <v>127</v>
      </c>
      <c r="H38" s="299">
        <f t="array" aca="1" ref="H38" ca="1">SUM(SUMIF(plModel12!$A$11:$A$54, bt_bm200, plModel12!$I$11:$I$54) + SUM(SUMIF(plModel12!$A$65:$A$108, bt_bm200, plModel12!$I$65:$I$108)))</f>
        <v>140</v>
      </c>
      <c r="I38" s="72">
        <v>0.31878000000000001</v>
      </c>
      <c r="J38" s="684"/>
      <c r="K38" s="10"/>
    </row>
    <row r="39" spans="1:11" ht="15.5" x14ac:dyDescent="0.35">
      <c r="A39" s="714"/>
      <c r="B39" s="71"/>
      <c r="C39" s="37"/>
      <c r="D39" s="37"/>
      <c r="E39" s="37"/>
      <c r="F39" s="38"/>
      <c r="G39" s="299"/>
      <c r="H39" s="299"/>
      <c r="I39" s="72"/>
      <c r="J39" s="684"/>
      <c r="K39" s="10"/>
    </row>
    <row r="40" spans="1:11" ht="15.5" x14ac:dyDescent="0.35">
      <c r="A40" s="714"/>
      <c r="B40" s="70" t="s">
        <v>1197</v>
      </c>
      <c r="C40" s="33"/>
      <c r="D40" s="33"/>
      <c r="E40" s="33"/>
      <c r="F40" s="34"/>
      <c r="G40" s="299"/>
      <c r="H40" s="299"/>
      <c r="I40" s="72"/>
      <c r="J40" s="684"/>
      <c r="K40" s="10"/>
    </row>
    <row r="41" spans="1:11" ht="15.5" x14ac:dyDescent="0.35">
      <c r="A41" s="714"/>
      <c r="B41" s="70" t="s">
        <v>1196</v>
      </c>
      <c r="C41" s="33"/>
      <c r="D41" s="33"/>
      <c r="E41" s="33"/>
      <c r="F41" s="34"/>
      <c r="G41" s="299"/>
      <c r="H41" s="299"/>
      <c r="I41" s="72"/>
      <c r="J41" s="684"/>
      <c r="K41" s="10"/>
    </row>
    <row r="42" spans="1:11" ht="15.5" x14ac:dyDescent="0.35">
      <c r="A42" s="714"/>
      <c r="B42" s="70" t="str">
        <f t="array" aca="1" ref="B42" ca="1">CONCATENATE(SUM(SUMIF(plModel12!$A$11:$A$54, cartoni_deo, plModel12!$J$11:$J$54))+SUM(SUMIF(plModel12!$A$65:$A$108, cartoni_deo, plModel12!$J$65:$J$108)), " FIBREBOARD BOXES")</f>
        <v>96 FIBREBOARD BOXES</v>
      </c>
      <c r="C42" s="33"/>
      <c r="D42" s="33"/>
      <c r="E42" s="33"/>
      <c r="F42" s="34"/>
      <c r="G42" s="299"/>
      <c r="H42" s="299"/>
      <c r="I42" s="72"/>
      <c r="J42" s="684"/>
      <c r="K42" s="10"/>
    </row>
    <row r="43" spans="1:11" ht="15.5" x14ac:dyDescent="0.35">
      <c r="A43" s="714"/>
      <c r="B43" s="70" t="str">
        <f t="array" aca="1" ref="B43" ca="1">CONCATENATE(SUM(SUMIF(plModel12!$A$11:$A$54, bt_deo150, plModel12!$G$11:$G$54))+SUM(SUMIF(plModel12!$A$65:$A$108, bt_deo150, plModel12!$J$65:$J$108)), " GLASS BOTTLES BY 150ML")</f>
        <v>624 GLASS BOTTLES BY 150ML</v>
      </c>
      <c r="C43" s="33"/>
      <c r="D43" s="33"/>
      <c r="E43" s="33"/>
      <c r="F43" s="34"/>
      <c r="G43" s="299">
        <f t="array" aca="1" ref="G43" ca="1">SUM(SUMIF(plModel12!$A$11:$A$54, bt_deo150, plModel12!$H$11:$H$54) * pesi_deo150) + SUM(SUMIF(plModel12!$A$65:$A$108, bt_deo150, plModel12!$H$65:$H$108) * pesi_deo150)</f>
        <v>111.852</v>
      </c>
      <c r="H43" s="299">
        <f t="array" aca="1" ref="H43" ca="1">SUM(SUMIF(plModel12!$A$11:$A$54, bt_deo150, plModel12!$I$11:$I$54) * pesi_deo150) + SUM(SUMIF(plModel12!$A$65:$A$108, bt_deo150, plModel12!$I$65:$I$108) * pesi_deo150)</f>
        <v>122.85000000000001</v>
      </c>
      <c r="I43" s="72">
        <v>0.65714220000000001</v>
      </c>
      <c r="J43" s="684"/>
      <c r="K43" s="10"/>
    </row>
    <row r="44" spans="1:11" ht="15.5" x14ac:dyDescent="0.35">
      <c r="A44" s="714"/>
      <c r="B44" s="70" t="str">
        <f t="array" aca="1" ref="B44" ca="1">CONCATENATE(SUM(SUMIF(plModel12!$A$11:$A$54, bt_deo175, plModel12!$G$11:$G$54))+SUM(SUMIF(plModel12!$A$65:$A$108, bt_deo175, plModel12!$J$65:$J$108)), " GLASS BOTTLES BY 175ML")</f>
        <v>528 GLASS BOTTLES BY 175ML</v>
      </c>
      <c r="C44" s="33"/>
      <c r="D44" s="33"/>
      <c r="E44" s="33"/>
      <c r="F44" s="34"/>
      <c r="G44" s="299">
        <f t="array" aca="1" ref="G44" ca="1">SUM(SUMIF(plModel12!$A$11:$A$54, bt_deo175, plModel12!$H$11:$H$54) * pesi_deo175) + SUM(SUMIF(plModel12!$A$65:$A$108, bt_deo175, plModel12!$H$65:$H$108) * pesi_deo175)</f>
        <v>106.4025</v>
      </c>
      <c r="H44" s="299">
        <f t="array" aca="1" ref="H44" ca="1">SUM(SUMIF(plModel12!$A$11:$A$54, bt_deo175, plModel12!$I$11:$I$54) * pesi_deo175) + SUM(SUMIF(plModel12!$A$65:$A$108, bt_deo175, plModel12!$I$65:$I$108) * pesi_deo175)</f>
        <v>120.375</v>
      </c>
      <c r="I44" s="72">
        <v>0.61980254999999995</v>
      </c>
      <c r="J44" s="684"/>
      <c r="K44" s="10"/>
    </row>
    <row r="45" spans="1:11" ht="15.5" x14ac:dyDescent="0.35">
      <c r="A45" s="714"/>
      <c r="B45" s="70" t="str">
        <f t="array" aca="1" ref="B45" ca="1">CONCATENATE(SUM(SUMIF(plModel12!$A$11:$A$54, bt_deo300, plModel12!$G$11:$G$54))+SUM(SUMIF(plModel12!$A$65:$A$108, bt_deo300, plModel12!$J$65:$J$108)), " GLASS BOTTLES BY 300ML")</f>
        <v>0 GLASS BOTTLES BY 300ML</v>
      </c>
      <c r="C45" s="33"/>
      <c r="D45" s="33"/>
      <c r="E45" s="33"/>
      <c r="F45" s="34"/>
      <c r="G45" s="299">
        <f t="array" aca="1" ref="G45" ca="1">SUM(SUMIF(plModel12!$A$11:$A$54, bt_deo300, plModel12!$H$11:$H$54) * pesi_deo300) + SUM(SUMIF(plModel12!$A$65:$A$108, bt_deo300, plModel12!$H$65:$H$108) * pesi_deo300)</f>
        <v>0</v>
      </c>
      <c r="H45" s="299">
        <f t="array" aca="1" ref="H45" ca="1">SUM(SUMIF(plModel12!$A$11:$A$54, bt_deo300, plModel12!$I$11:$I$54) * pesi_deo300) + SUM(SUMIF(plModel12!$A$65:$A$108, bt_deo300, plModel12!$I$65:$I$108) * pesi_deo300)</f>
        <v>0</v>
      </c>
      <c r="I45" s="72">
        <v>0</v>
      </c>
      <c r="J45" s="684"/>
      <c r="K45" s="10"/>
    </row>
    <row r="46" spans="1:11" ht="15.5" x14ac:dyDescent="0.35">
      <c r="A46" s="714"/>
      <c r="B46" s="70"/>
      <c r="C46" s="37"/>
      <c r="D46" s="37"/>
      <c r="E46" s="37"/>
      <c r="F46" s="38"/>
      <c r="G46" s="299"/>
      <c r="H46" s="299"/>
      <c r="I46" s="72"/>
      <c r="J46" s="684"/>
      <c r="K46" s="10"/>
    </row>
    <row r="47" spans="1:11" ht="15.5" x14ac:dyDescent="0.35">
      <c r="A47" s="714"/>
      <c r="B47" s="71"/>
      <c r="C47" s="37"/>
      <c r="D47" s="37"/>
      <c r="E47" s="37"/>
      <c r="F47" s="38"/>
      <c r="G47" s="299"/>
      <c r="H47" s="299"/>
      <c r="I47" s="35"/>
      <c r="J47" s="684"/>
      <c r="K47" s="10"/>
    </row>
    <row r="48" spans="1:11" ht="15.5" x14ac:dyDescent="0.35">
      <c r="A48" s="714"/>
      <c r="B48" s="71" t="s">
        <v>1198</v>
      </c>
      <c r="C48" s="37"/>
      <c r="D48" s="37"/>
      <c r="E48" s="37"/>
      <c r="F48" s="38"/>
      <c r="G48" s="299"/>
      <c r="H48" s="299"/>
      <c r="I48" s="35"/>
      <c r="J48" s="684"/>
      <c r="K48" s="10"/>
    </row>
    <row r="49" spans="1:15" ht="15.5" x14ac:dyDescent="0.35">
      <c r="A49" s="714"/>
      <c r="B49" s="71"/>
      <c r="C49" s="37"/>
      <c r="D49" s="37"/>
      <c r="E49" s="37"/>
      <c r="F49" s="38"/>
      <c r="G49" s="299"/>
      <c r="H49" s="299"/>
      <c r="I49" s="35"/>
      <c r="J49" s="684"/>
      <c r="K49" s="10"/>
    </row>
    <row r="50" spans="1:15" ht="15.5" x14ac:dyDescent="0.35">
      <c r="A50" s="714"/>
      <c r="B50" s="36"/>
      <c r="C50" s="37"/>
      <c r="D50" s="37"/>
      <c r="E50" s="37"/>
      <c r="F50" s="38"/>
      <c r="G50" s="299"/>
      <c r="H50" s="299"/>
      <c r="I50" s="35"/>
      <c r="J50" s="684"/>
      <c r="K50" s="10"/>
    </row>
    <row r="51" spans="1:15" ht="15.5" x14ac:dyDescent="0.35">
      <c r="A51" s="714"/>
      <c r="B51" s="36"/>
      <c r="C51" s="37"/>
      <c r="D51" s="37"/>
      <c r="E51" s="37"/>
      <c r="F51" s="38"/>
      <c r="G51" s="299"/>
      <c r="H51" s="299"/>
      <c r="I51" s="35"/>
      <c r="J51" s="684"/>
      <c r="K51" s="10"/>
    </row>
    <row r="52" spans="1:15" ht="15.5" x14ac:dyDescent="0.35">
      <c r="A52" s="714"/>
      <c r="B52" s="32"/>
      <c r="C52" s="33"/>
      <c r="D52" s="33"/>
      <c r="E52" s="33"/>
      <c r="F52" s="34"/>
      <c r="G52" s="299"/>
      <c r="H52" s="299"/>
      <c r="I52" s="35"/>
      <c r="J52" s="684"/>
      <c r="K52" s="10"/>
    </row>
    <row r="53" spans="1:15" ht="15.5" x14ac:dyDescent="0.35">
      <c r="A53" s="714"/>
      <c r="B53" s="32"/>
      <c r="C53" s="33"/>
      <c r="D53" s="33"/>
      <c r="E53" s="33"/>
      <c r="F53" s="34"/>
      <c r="G53" s="299"/>
      <c r="H53" s="301"/>
      <c r="I53" s="35"/>
      <c r="J53" s="684"/>
      <c r="K53" s="10"/>
    </row>
    <row r="54" spans="1:15" x14ac:dyDescent="0.35">
      <c r="A54" s="714"/>
      <c r="B54" s="39"/>
      <c r="C54" s="40"/>
      <c r="D54" s="40"/>
      <c r="E54" s="40"/>
      <c r="F54" s="41"/>
      <c r="G54" s="22" t="s">
        <v>1223</v>
      </c>
      <c r="H54" s="22" t="s">
        <v>557</v>
      </c>
      <c r="I54" s="22" t="s">
        <v>558</v>
      </c>
      <c r="J54" s="684"/>
      <c r="K54" s="10"/>
    </row>
    <row r="55" spans="1:15" ht="15.5" x14ac:dyDescent="0.35">
      <c r="A55" s="714"/>
      <c r="B55" s="42"/>
      <c r="C55" s="43"/>
      <c r="D55" s="43"/>
      <c r="E55" s="43"/>
      <c r="F55" s="44"/>
      <c r="G55" s="302">
        <f ca="1">SUM(G28:G53)</f>
        <v>1198.3108333333332</v>
      </c>
      <c r="H55" s="302">
        <f ca="1">SUM(H28:H53)</f>
        <v>1314.1941666666667</v>
      </c>
      <c r="I55" s="73">
        <f>SUM(I29:I54)</f>
        <v>4.8548981875000008</v>
      </c>
      <c r="J55" s="684"/>
      <c r="K55" s="10"/>
    </row>
    <row r="56" spans="1:15" x14ac:dyDescent="0.35">
      <c r="A56" s="714"/>
      <c r="B56" s="22" t="s">
        <v>559</v>
      </c>
      <c r="C56" s="695" t="s">
        <v>560</v>
      </c>
      <c r="D56" s="692"/>
      <c r="E56" s="695" t="s">
        <v>561</v>
      </c>
      <c r="F56" s="691"/>
      <c r="G56" s="692"/>
      <c r="H56" s="17" t="s">
        <v>562</v>
      </c>
      <c r="I56" s="22" t="s">
        <v>563</v>
      </c>
      <c r="J56" s="684"/>
      <c r="K56" s="10"/>
    </row>
    <row r="57" spans="1:15" x14ac:dyDescent="0.35">
      <c r="A57" s="714"/>
      <c r="B57" s="45" t="s">
        <v>564</v>
      </c>
      <c r="C57" s="734"/>
      <c r="D57" s="735"/>
      <c r="E57" s="734"/>
      <c r="F57" s="736"/>
      <c r="G57" s="735"/>
      <c r="H57" s="46"/>
      <c r="I57" s="47" t="s">
        <v>565</v>
      </c>
      <c r="J57" s="684"/>
      <c r="K57" s="10"/>
    </row>
    <row r="58" spans="1:15" ht="15.5" x14ac:dyDescent="0.35">
      <c r="A58" s="714"/>
      <c r="B58" s="48"/>
      <c r="C58" s="721"/>
      <c r="D58" s="722"/>
      <c r="E58" s="723"/>
      <c r="F58" s="724"/>
      <c r="G58" s="725"/>
      <c r="H58" s="46"/>
      <c r="I58" s="46"/>
      <c r="J58" s="684"/>
      <c r="K58" s="10"/>
    </row>
    <row r="59" spans="1:15" ht="12" customHeight="1" x14ac:dyDescent="0.35">
      <c r="A59" s="714"/>
      <c r="B59" s="49"/>
      <c r="C59" s="741"/>
      <c r="D59" s="742"/>
      <c r="E59" s="741"/>
      <c r="F59" s="743"/>
      <c r="G59" s="742"/>
      <c r="H59" s="50"/>
      <c r="I59" s="50"/>
      <c r="J59" s="684"/>
      <c r="K59" s="10"/>
    </row>
    <row r="60" spans="1:15" ht="13.5" customHeight="1" x14ac:dyDescent="0.35">
      <c r="A60" s="51"/>
      <c r="B60" s="744" t="s">
        <v>566</v>
      </c>
      <c r="C60" s="745"/>
      <c r="D60" s="746" t="s">
        <v>567</v>
      </c>
      <c r="E60" s="747"/>
      <c r="F60" s="747"/>
      <c r="G60" s="747"/>
      <c r="H60" s="747"/>
      <c r="I60" s="748"/>
      <c r="J60" s="685"/>
      <c r="K60" s="10"/>
    </row>
    <row r="61" spans="1:15" ht="25.5" customHeight="1" x14ac:dyDescent="0.35">
      <c r="A61" s="9"/>
      <c r="B61" s="749" t="s">
        <v>568</v>
      </c>
      <c r="C61" s="750"/>
      <c r="D61" s="749" t="s">
        <v>569</v>
      </c>
      <c r="E61" s="751"/>
      <c r="F61" s="751"/>
      <c r="G61" s="751"/>
      <c r="H61" s="751"/>
      <c r="I61" s="750"/>
      <c r="J61" s="685"/>
      <c r="K61" s="10"/>
    </row>
    <row r="62" spans="1:15" ht="34.5" customHeight="1" x14ac:dyDescent="0.45">
      <c r="A62" s="9"/>
      <c r="B62" s="752" t="s">
        <v>570</v>
      </c>
      <c r="C62" s="753"/>
      <c r="D62" s="754"/>
      <c r="E62" s="755"/>
      <c r="F62" s="755"/>
      <c r="G62" s="755"/>
      <c r="H62" s="755"/>
      <c r="I62" s="756"/>
      <c r="J62" s="685"/>
      <c r="K62" s="10"/>
    </row>
    <row r="63" spans="1:15" x14ac:dyDescent="0.35">
      <c r="A63" s="9"/>
      <c r="B63" s="695" t="s">
        <v>571</v>
      </c>
      <c r="C63" s="692"/>
      <c r="D63" s="695" t="s">
        <v>572</v>
      </c>
      <c r="E63" s="691"/>
      <c r="F63" s="692"/>
      <c r="G63" s="695" t="s">
        <v>573</v>
      </c>
      <c r="H63" s="691"/>
      <c r="I63" s="692"/>
      <c r="J63" s="686"/>
      <c r="K63" s="10"/>
      <c r="O63" s="307"/>
    </row>
    <row r="64" spans="1:15" ht="15.5" x14ac:dyDescent="0.35">
      <c r="A64" s="9"/>
      <c r="B64" s="737" t="s">
        <v>523</v>
      </c>
      <c r="C64" s="694"/>
      <c r="D64" s="738"/>
      <c r="E64" s="739"/>
      <c r="F64" s="740"/>
      <c r="G64" s="737" t="s">
        <v>574</v>
      </c>
      <c r="H64" s="693"/>
      <c r="I64" s="694"/>
      <c r="J64" s="686"/>
      <c r="K64" s="10"/>
      <c r="O64" s="307"/>
    </row>
    <row r="65" spans="1:15" x14ac:dyDescent="0.35">
      <c r="A65" s="9"/>
      <c r="B65" s="695" t="s">
        <v>575</v>
      </c>
      <c r="C65" s="692"/>
      <c r="D65" s="695" t="s">
        <v>576</v>
      </c>
      <c r="E65" s="691"/>
      <c r="F65" s="692"/>
      <c r="G65" s="695" t="s">
        <v>575</v>
      </c>
      <c r="H65" s="691"/>
      <c r="I65" s="692"/>
      <c r="J65" s="686"/>
      <c r="K65" s="10"/>
      <c r="O65" s="307"/>
    </row>
    <row r="66" spans="1:15" ht="15.5" x14ac:dyDescent="0.35">
      <c r="A66" s="9"/>
      <c r="B66" s="737" t="s">
        <v>577</v>
      </c>
      <c r="C66" s="694"/>
      <c r="D66" s="757"/>
      <c r="E66" s="758"/>
      <c r="F66" s="759"/>
      <c r="G66" s="737" t="s">
        <v>577</v>
      </c>
      <c r="H66" s="693"/>
      <c r="I66" s="694"/>
      <c r="J66" s="686"/>
      <c r="K66" s="10"/>
      <c r="O66" s="307"/>
    </row>
    <row r="67" spans="1:15" x14ac:dyDescent="0.35">
      <c r="A67" s="9"/>
      <c r="B67" s="695" t="s">
        <v>578</v>
      </c>
      <c r="C67" s="692"/>
      <c r="D67" s="695" t="s">
        <v>579</v>
      </c>
      <c r="E67" s="691"/>
      <c r="F67" s="692"/>
      <c r="G67" s="695" t="s">
        <v>578</v>
      </c>
      <c r="H67" s="691"/>
      <c r="I67" s="692"/>
      <c r="J67" s="686"/>
      <c r="K67" s="10"/>
      <c r="O67" s="307"/>
    </row>
    <row r="68" spans="1:15" ht="15.5" x14ac:dyDescent="0.35">
      <c r="A68" s="9"/>
      <c r="B68" s="737" t="str">
        <f>CONCATENATE("VENTIMIGLIA ","04/07/2024")</f>
        <v>VENTIMIGLIA 04/07/2024</v>
      </c>
      <c r="C68" s="694"/>
      <c r="D68" s="760"/>
      <c r="E68" s="739"/>
      <c r="F68" s="740"/>
      <c r="G68" s="737" t="str">
        <f>CONCATENATE("VENTIMIGLIA ","04/07/2024")</f>
        <v>VENTIMIGLIA 04/07/2024</v>
      </c>
      <c r="H68" s="693"/>
      <c r="I68" s="694"/>
      <c r="J68" s="686"/>
      <c r="K68" s="10"/>
      <c r="O68" s="307"/>
    </row>
    <row r="69" spans="1:15" x14ac:dyDescent="0.35">
      <c r="A69" s="9"/>
      <c r="B69" s="695" t="s">
        <v>580</v>
      </c>
      <c r="C69" s="692"/>
      <c r="D69" s="695" t="s">
        <v>581</v>
      </c>
      <c r="E69" s="691"/>
      <c r="F69" s="692"/>
      <c r="G69" s="695" t="s">
        <v>580</v>
      </c>
      <c r="H69" s="691"/>
      <c r="I69" s="692"/>
      <c r="J69" s="686"/>
      <c r="O69" s="307"/>
    </row>
    <row r="70" spans="1:15" ht="20.5" x14ac:dyDescent="0.35">
      <c r="A70" s="9"/>
      <c r="B70" s="767"/>
      <c r="C70" s="768"/>
      <c r="D70" s="767"/>
      <c r="E70" s="769"/>
      <c r="F70" s="768"/>
      <c r="G70" s="770"/>
      <c r="H70" s="771"/>
      <c r="I70" s="772"/>
      <c r="J70" s="686"/>
    </row>
    <row r="71" spans="1:15" ht="20.5" x14ac:dyDescent="0.35">
      <c r="A71" s="9"/>
      <c r="B71" s="761"/>
      <c r="C71" s="762"/>
      <c r="D71" s="761"/>
      <c r="E71" s="763"/>
      <c r="F71" s="762"/>
      <c r="G71" s="764"/>
      <c r="H71" s="765"/>
      <c r="I71" s="766"/>
      <c r="J71" s="686"/>
    </row>
  </sheetData>
  <mergeCells count="82"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  <mergeCell ref="B67:C67"/>
    <mergeCell ref="D67:F67"/>
    <mergeCell ref="G67:I67"/>
    <mergeCell ref="B68:C68"/>
    <mergeCell ref="D68:F68"/>
    <mergeCell ref="G68:I68"/>
    <mergeCell ref="B65:C65"/>
    <mergeCell ref="D65:F65"/>
    <mergeCell ref="G65:I65"/>
    <mergeCell ref="B66:C66"/>
    <mergeCell ref="D66:F66"/>
    <mergeCell ref="G66:I6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C26:D26"/>
    <mergeCell ref="E26:F26"/>
    <mergeCell ref="C27:F27"/>
    <mergeCell ref="C56:D56"/>
    <mergeCell ref="E56:G56"/>
    <mergeCell ref="B16:D16"/>
    <mergeCell ref="B17:D17"/>
    <mergeCell ref="B18:D18"/>
    <mergeCell ref="C25:D25"/>
    <mergeCell ref="E25:I25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E1:I1"/>
    <mergeCell ref="B3:D3"/>
    <mergeCell ref="E3:I3"/>
    <mergeCell ref="B8:D8"/>
    <mergeCell ref="E9:I9"/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</mergeCells>
  <conditionalFormatting sqref="B9:B13">
    <cfRule type="cellIs" dxfId="16" priority="1" operator="equal">
      <formula>0</formula>
    </cfRule>
  </conditionalFormatting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locked="0" defaultSize="0" autoFill="0" autoLine="0" autoPict="0">
                <anchor>
                  <from>
                    <xdr:col>3</xdr:col>
                    <xdr:colOff>723900</xdr:colOff>
                    <xdr:row>11</xdr:row>
                    <xdr:rowOff>190500</xdr:rowOff>
                  </from>
                  <to>
                    <xdr:col>4</xdr:col>
                    <xdr:colOff>457200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locked="0" defaultSize="0" autoFill="0" autoLine="0" autoPict="0">
                <anchor moveWithCells="1">
                  <from>
                    <xdr:col>7</xdr:col>
                    <xdr:colOff>730250</xdr:colOff>
                    <xdr:row>22</xdr:row>
                    <xdr:rowOff>114300</xdr:rowOff>
                  </from>
                  <to>
                    <xdr:col>7</xdr:col>
                    <xdr:colOff>971550</xdr:colOff>
                    <xdr:row>24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locked="0" defaultSize="0" autoFill="0" autoLine="0" autoPict="0">
                <anchor moveWithCells="1">
                  <from>
                    <xdr:col>5</xdr:col>
                    <xdr:colOff>273050</xdr:colOff>
                    <xdr:row>25</xdr:row>
                    <xdr:rowOff>69850</xdr:rowOff>
                  </from>
                  <to>
                    <xdr:col>5</xdr:col>
                    <xdr:colOff>501650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locked="0" defaultSize="0" autoFill="0" autoLine="0" autoPict="0">
                <anchor moveWithCells="1">
                  <from>
                    <xdr:col>6</xdr:col>
                    <xdr:colOff>863600</xdr:colOff>
                    <xdr:row>25</xdr:row>
                    <xdr:rowOff>57150</xdr:rowOff>
                  </from>
                  <to>
                    <xdr:col>6</xdr:col>
                    <xdr:colOff>1066800</xdr:colOff>
                    <xdr:row>25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locked="0" defaultSize="0" autoFill="0" autoLine="0" autoPict="0">
                <anchor moveWithCells="1">
                  <from>
                    <xdr:col>7</xdr:col>
                    <xdr:colOff>889000</xdr:colOff>
                    <xdr:row>25</xdr:row>
                    <xdr:rowOff>44450</xdr:rowOff>
                  </from>
                  <to>
                    <xdr:col>8</xdr:col>
                    <xdr:colOff>12700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locked="0" defaultSize="0" autoFill="0" autoLine="0" autoPict="0">
                <anchor moveWithCells="1">
                  <from>
                    <xdr:col>8</xdr:col>
                    <xdr:colOff>901700</xdr:colOff>
                    <xdr:row>25</xdr:row>
                    <xdr:rowOff>50800</xdr:rowOff>
                  </from>
                  <to>
                    <xdr:col>8</xdr:col>
                    <xdr:colOff>1149350</xdr:colOff>
                    <xdr:row>25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2"/>
  <dimension ref="A1:ZZ250"/>
  <sheetViews>
    <sheetView topLeftCell="C1" zoomScaleNormal="100" workbookViewId="0">
      <selection activeCell="D9" sqref="D9"/>
    </sheetView>
  </sheetViews>
  <sheetFormatPr defaultColWidth="9.1796875" defaultRowHeight="14.5" x14ac:dyDescent="0.35"/>
  <cols>
    <col min="1" max="1" width="24.54296875" style="78" hidden="1" customWidth="1"/>
    <col min="2" max="2" width="20.7265625" style="74" hidden="1" customWidth="1"/>
    <col min="3" max="3" width="3.453125" style="296" customWidth="1"/>
    <col min="4" max="4" width="25.54296875" style="296" customWidth="1"/>
    <col min="5" max="5" width="3.26953125" style="296" customWidth="1"/>
    <col min="6" max="6" width="2.54296875" style="296" customWidth="1"/>
    <col min="7" max="7" width="20.7265625" style="296" customWidth="1"/>
    <col min="8" max="8" width="4" style="296" customWidth="1"/>
    <col min="9" max="9" width="20.7265625" style="296" customWidth="1"/>
    <col min="10" max="10" width="2.54296875" style="296" customWidth="1"/>
    <col min="11" max="11" width="1.81640625" style="296" customWidth="1"/>
    <col min="12" max="12" width="31.7265625" style="296" customWidth="1"/>
    <col min="13" max="13" width="10.81640625" style="430" customWidth="1"/>
    <col min="14" max="14" width="13.1796875" style="296" customWidth="1"/>
    <col min="15" max="15" width="14.26953125" style="296" customWidth="1"/>
    <col min="16" max="16" width="13.81640625" style="296" customWidth="1"/>
    <col min="17" max="17" width="12.7265625" style="296" customWidth="1"/>
    <col min="18" max="19" width="13.81640625" style="296" customWidth="1"/>
    <col min="20" max="20" width="15.54296875" style="296" customWidth="1"/>
    <col min="21" max="21" width="15.81640625" style="296" customWidth="1"/>
    <col min="22" max="22" width="21.453125" style="296" customWidth="1"/>
    <col min="23" max="23" width="3.54296875" style="296" customWidth="1"/>
    <col min="24" max="24" width="24.54296875" style="296" customWidth="1"/>
    <col min="25" max="39" width="8.7265625" style="296" customWidth="1"/>
    <col min="40" max="40" width="2.54296875" style="296" customWidth="1"/>
    <col min="41" max="41" width="25.54296875" style="296" customWidth="1"/>
    <col min="42" max="42" width="3.1796875" style="296" customWidth="1"/>
    <col min="43" max="43" width="21" style="296" customWidth="1"/>
    <col min="44" max="44" width="13.7265625" style="296" customWidth="1"/>
    <col min="45" max="45" width="16.54296875" style="296" customWidth="1"/>
    <col min="46" max="46" width="14.453125" style="296" customWidth="1"/>
    <col min="47" max="49" width="2.1796875" style="296" customWidth="1"/>
    <col min="50" max="50" width="22.26953125" style="296" customWidth="1"/>
    <col min="51" max="51" width="5.81640625" style="296" customWidth="1"/>
    <col min="52" max="52" width="12.54296875" style="296" customWidth="1"/>
    <col min="53" max="53" width="8.54296875" style="296" customWidth="1"/>
    <col min="54" max="54" width="10.1796875" style="296" customWidth="1"/>
    <col min="55" max="57" width="2.1796875" style="296" customWidth="1"/>
    <col min="58" max="58" width="15.81640625" style="296" customWidth="1"/>
    <col min="59" max="59" width="9.7265625" style="430" customWidth="1"/>
    <col min="60" max="60" width="23.1796875" style="296" customWidth="1"/>
    <col min="61" max="61" width="37.1796875" style="296" customWidth="1"/>
    <col min="62" max="62" width="2.453125" style="296" customWidth="1"/>
    <col min="63" max="63" width="11.54296875" style="437" customWidth="1"/>
    <col min="64" max="64" width="11.54296875" style="438" customWidth="1"/>
    <col min="65" max="65" width="11.54296875" style="439" customWidth="1"/>
    <col min="66" max="66" width="11.54296875" style="438" customWidth="1"/>
    <col min="67" max="67" width="13.1796875" style="439" customWidth="1"/>
    <col min="68" max="68" width="14.26953125" style="296" customWidth="1"/>
    <col min="69" max="71" width="50.54296875" style="296" customWidth="1"/>
    <col min="72" max="73" width="8.7265625" style="296" customWidth="1"/>
    <col min="74" max="75" width="2.54296875" style="296" customWidth="1"/>
    <col min="76" max="76" width="25.54296875" style="296" customWidth="1"/>
    <col min="77" max="77" width="2.54296875" style="296" customWidth="1"/>
    <col min="78" max="78" width="11.1796875" style="296" customWidth="1"/>
    <col min="79" max="79" width="58.453125" style="296" customWidth="1"/>
    <col min="80" max="81" width="11.1796875" style="296" customWidth="1"/>
    <col min="82" max="82" width="11.1796875" style="440" customWidth="1"/>
    <col min="83" max="84" width="11.1796875" style="296" customWidth="1"/>
    <col min="85" max="86" width="8.81640625" style="414" customWidth="1"/>
    <col min="87" max="87" width="6.7265625" style="414" customWidth="1"/>
    <col min="88" max="88" width="10.26953125" style="441" customWidth="1"/>
    <col min="89" max="89" width="11.81640625" style="441" customWidth="1"/>
    <col min="90" max="90" width="8.81640625" style="441" customWidth="1"/>
    <col min="91" max="91" width="11.54296875" style="441" customWidth="1"/>
    <col min="92" max="93" width="8.81640625" style="442" customWidth="1"/>
    <col min="94" max="94" width="10.1796875" style="442" customWidth="1"/>
    <col min="95" max="95" width="11.1796875" style="296" customWidth="1"/>
    <col min="96" max="96" width="12.1796875" style="296" customWidth="1"/>
    <col min="97" max="97" width="13.26953125" style="296" customWidth="1"/>
    <col min="98" max="98" width="3.1796875" style="296" customWidth="1"/>
    <col min="99" max="99" width="2.1796875" style="296" customWidth="1"/>
    <col min="100" max="100" width="16.453125" style="296" customWidth="1"/>
    <col min="101" max="101" width="16.54296875" style="296" customWidth="1"/>
    <col min="102" max="102" width="14.26953125" style="296" customWidth="1"/>
    <col min="103" max="103" width="14.54296875" style="296" customWidth="1"/>
    <col min="104" max="104" width="2.1796875" style="296" customWidth="1"/>
    <col min="105" max="105" width="15.54296875" style="432" customWidth="1"/>
    <col min="106" max="111" width="15.54296875" style="296" customWidth="1"/>
    <col min="112" max="112" width="15.54296875" style="423" customWidth="1"/>
    <col min="113" max="120" width="15.54296875" style="296" customWidth="1"/>
    <col min="121" max="131" width="8.7265625" style="296" customWidth="1"/>
    <col min="132" max="132" width="2.7265625" style="296" customWidth="1"/>
    <col min="133" max="133" width="25.7265625" style="296" customWidth="1"/>
    <col min="134" max="134" width="2.7265625" style="296" customWidth="1"/>
    <col min="135" max="135" width="8.7265625" style="296" customWidth="1"/>
    <col min="136" max="136" width="64.7265625" style="296" customWidth="1"/>
    <col min="137" max="163" width="15.54296875" style="296" customWidth="1"/>
    <col min="164" max="164" width="53" style="296" customWidth="1"/>
    <col min="165" max="165" width="9" style="296" customWidth="1"/>
    <col min="166" max="166" width="4.26953125" style="296" customWidth="1"/>
    <col min="167" max="216" width="6.81640625" style="296" customWidth="1"/>
    <col min="217" max="218" width="7.54296875" style="296" customWidth="1"/>
    <col min="219" max="220" width="7.7265625" style="296" customWidth="1"/>
    <col min="221" max="221" width="2.453125" style="296" customWidth="1"/>
    <col min="222" max="222" width="9.1796875" style="296" customWidth="1"/>
    <col min="223" max="223" width="2.54296875" style="296" customWidth="1"/>
    <col min="224" max="237" width="9.1796875" style="296" customWidth="1"/>
    <col min="238" max="625" width="9.1796875" customWidth="1"/>
    <col min="626" max="677" width="9.1796875" style="296" customWidth="1"/>
    <col min="678" max="678" width="8.7265625" style="296" customWidth="1"/>
    <col min="679" max="679" width="2.54296875" style="296" customWidth="1"/>
    <col min="680" max="680" width="25.54296875" style="296" customWidth="1"/>
    <col min="681" max="681" width="2.54296875" style="296" customWidth="1"/>
    <col min="682" max="16384" width="9.1796875" style="296"/>
  </cols>
  <sheetData>
    <row r="1" spans="1:702" x14ac:dyDescent="0.35">
      <c r="B1" s="78"/>
      <c r="DH1" s="296"/>
      <c r="ID1" s="296"/>
      <c r="IE1" s="296"/>
      <c r="IF1" s="296"/>
      <c r="IG1" s="296"/>
      <c r="IH1" s="296"/>
      <c r="II1" s="296"/>
      <c r="IJ1" s="296"/>
      <c r="IK1" s="296"/>
      <c r="IL1" s="296"/>
      <c r="IM1" s="296"/>
      <c r="IN1" s="296"/>
      <c r="IO1" s="296"/>
      <c r="IP1" s="296"/>
      <c r="IQ1" s="296"/>
      <c r="IR1" s="296"/>
      <c r="IS1" s="296"/>
      <c r="IT1" s="296"/>
      <c r="IU1" s="296"/>
      <c r="IV1" s="296"/>
      <c r="IW1" s="296"/>
      <c r="IX1" s="296"/>
      <c r="IY1" s="296"/>
      <c r="IZ1" s="296"/>
      <c r="JA1" s="296"/>
      <c r="JB1" s="296"/>
      <c r="JC1" s="296"/>
      <c r="JD1" s="296"/>
      <c r="JE1" s="296"/>
      <c r="JF1" s="296"/>
      <c r="JG1" s="296"/>
      <c r="JH1" s="296"/>
      <c r="JI1" s="296"/>
      <c r="JJ1" s="296"/>
      <c r="JK1" s="296"/>
      <c r="JL1" s="296"/>
      <c r="JM1" s="296"/>
      <c r="JN1" s="296"/>
      <c r="JO1" s="296"/>
      <c r="JP1" s="296"/>
      <c r="JQ1" s="296"/>
      <c r="JR1" s="296"/>
      <c r="JS1" s="296"/>
      <c r="JT1" s="296"/>
      <c r="JU1" s="296"/>
      <c r="JV1" s="296"/>
      <c r="JW1" s="296"/>
      <c r="JX1" s="296"/>
      <c r="JY1" s="296"/>
      <c r="JZ1" s="296"/>
      <c r="KA1" s="296"/>
      <c r="KB1" s="296"/>
      <c r="KC1" s="296"/>
      <c r="KD1" s="296"/>
      <c r="KE1" s="296"/>
      <c r="KF1" s="296"/>
      <c r="KG1" s="296"/>
      <c r="KH1" s="296"/>
      <c r="KI1" s="296"/>
      <c r="KJ1" s="296"/>
      <c r="KK1" s="296"/>
      <c r="KL1" s="296"/>
      <c r="KM1" s="296"/>
      <c r="KN1" s="296"/>
      <c r="KO1" s="296"/>
      <c r="KP1" s="296"/>
      <c r="KQ1" s="296"/>
      <c r="KR1" s="296"/>
      <c r="KS1" s="296"/>
      <c r="KT1" s="296"/>
      <c r="KU1" s="296"/>
      <c r="KV1" s="296"/>
      <c r="KW1" s="296"/>
      <c r="KX1" s="296"/>
      <c r="KY1" s="296"/>
      <c r="KZ1" s="296"/>
      <c r="LA1" s="296"/>
      <c r="LB1" s="296"/>
      <c r="LC1" s="296"/>
      <c r="LD1" s="296"/>
      <c r="LE1" s="296"/>
      <c r="LF1" s="296"/>
      <c r="LG1" s="296"/>
      <c r="LH1" s="296"/>
      <c r="LI1" s="296"/>
      <c r="LJ1" s="296"/>
      <c r="LK1" s="296"/>
      <c r="LL1" s="296"/>
      <c r="LM1" s="296"/>
      <c r="LN1" s="296"/>
      <c r="LO1" s="296"/>
      <c r="LP1" s="296"/>
      <c r="LQ1" s="296"/>
      <c r="LR1" s="296"/>
      <c r="LS1" s="296"/>
      <c r="LT1" s="296"/>
      <c r="LU1" s="296"/>
      <c r="LV1" s="296"/>
      <c r="LW1" s="296"/>
      <c r="LX1" s="296"/>
      <c r="LY1" s="296"/>
      <c r="LZ1" s="296"/>
      <c r="MA1" s="296"/>
      <c r="MB1" s="296"/>
      <c r="MC1" s="296"/>
      <c r="MD1" s="296"/>
      <c r="ME1" s="296"/>
      <c r="MF1" s="296"/>
      <c r="MG1" s="296"/>
      <c r="MH1" s="296"/>
      <c r="MI1" s="296"/>
      <c r="MJ1" s="296"/>
      <c r="MK1" s="296"/>
      <c r="ML1" s="296"/>
      <c r="MM1" s="296"/>
      <c r="MN1" s="296"/>
      <c r="MO1" s="296"/>
      <c r="MP1" s="296"/>
      <c r="MQ1" s="296"/>
      <c r="MR1" s="296"/>
      <c r="MS1" s="296"/>
      <c r="MT1" s="296"/>
      <c r="MU1" s="296"/>
      <c r="MV1" s="296"/>
      <c r="MW1" s="296"/>
      <c r="MX1" s="296"/>
      <c r="MY1" s="296"/>
      <c r="MZ1" s="296"/>
      <c r="NA1" s="296"/>
      <c r="NB1" s="296"/>
      <c r="NC1" s="296"/>
      <c r="ND1" s="296"/>
      <c r="NE1" s="296"/>
      <c r="NF1" s="296"/>
      <c r="NG1" s="296"/>
      <c r="NH1" s="296"/>
      <c r="NI1" s="296"/>
      <c r="NJ1" s="296"/>
      <c r="NK1" s="296"/>
      <c r="NL1" s="296"/>
      <c r="NM1" s="296"/>
      <c r="NN1" s="296"/>
      <c r="NO1" s="296"/>
      <c r="NP1" s="296"/>
      <c r="NQ1" s="296"/>
      <c r="NR1" s="296"/>
      <c r="NS1" s="296"/>
      <c r="NT1" s="296"/>
      <c r="NU1" s="296"/>
      <c r="NV1" s="296"/>
      <c r="NW1" s="296"/>
      <c r="NX1" s="296"/>
      <c r="NY1" s="296"/>
      <c r="NZ1" s="296"/>
      <c r="OA1" s="296"/>
      <c r="OB1" s="296"/>
      <c r="OC1" s="296"/>
      <c r="OD1" s="296"/>
      <c r="OE1" s="296"/>
      <c r="OF1" s="296"/>
      <c r="OG1" s="296"/>
      <c r="OH1" s="296"/>
      <c r="OI1" s="296"/>
      <c r="OJ1" s="296"/>
      <c r="OK1" s="296"/>
      <c r="OL1" s="296"/>
      <c r="OM1" s="296"/>
      <c r="ON1" s="296"/>
      <c r="OO1" s="296"/>
      <c r="OP1" s="296"/>
      <c r="OQ1" s="296"/>
      <c r="OR1" s="296"/>
      <c r="OS1" s="296"/>
      <c r="OT1" s="296"/>
      <c r="OU1" s="296"/>
      <c r="OV1" s="296"/>
      <c r="OW1" s="296"/>
      <c r="OX1" s="296"/>
      <c r="OY1" s="296"/>
      <c r="OZ1" s="296"/>
      <c r="PA1" s="296"/>
      <c r="PB1" s="296"/>
      <c r="PC1" s="296"/>
      <c r="PD1" s="296"/>
      <c r="PE1" s="296"/>
      <c r="PF1" s="296"/>
      <c r="PG1" s="296"/>
      <c r="PH1" s="296"/>
      <c r="PI1" s="296"/>
      <c r="PJ1" s="296"/>
      <c r="PK1" s="296"/>
      <c r="PL1" s="296"/>
      <c r="PM1" s="296"/>
      <c r="PN1" s="296"/>
      <c r="PO1" s="296"/>
      <c r="PP1" s="296"/>
      <c r="PQ1" s="296"/>
      <c r="PR1" s="296"/>
      <c r="PS1" s="296"/>
      <c r="PT1" s="296"/>
      <c r="PU1" s="296"/>
      <c r="PV1" s="296"/>
      <c r="PW1" s="296"/>
      <c r="PX1" s="296"/>
      <c r="PY1" s="296"/>
      <c r="PZ1" s="296"/>
      <c r="QA1" s="296"/>
      <c r="QB1" s="296"/>
      <c r="QC1" s="296"/>
      <c r="QD1" s="296"/>
      <c r="QE1" s="296"/>
      <c r="QF1" s="296"/>
      <c r="QG1" s="296"/>
      <c r="QH1" s="296"/>
      <c r="QI1" s="296"/>
      <c r="QJ1" s="296"/>
      <c r="QK1" s="296"/>
      <c r="QL1" s="296"/>
      <c r="QM1" s="296"/>
      <c r="QN1" s="296"/>
      <c r="QO1" s="296"/>
      <c r="QP1" s="296"/>
      <c r="QQ1" s="296"/>
      <c r="QR1" s="296"/>
      <c r="QS1" s="296"/>
      <c r="QT1" s="296"/>
      <c r="QU1" s="296"/>
      <c r="QV1" s="296"/>
      <c r="QW1" s="296"/>
      <c r="QX1" s="296"/>
      <c r="QY1" s="296"/>
      <c r="QZ1" s="296"/>
      <c r="RA1" s="296"/>
      <c r="RB1" s="296"/>
      <c r="RC1" s="296"/>
      <c r="RD1" s="296"/>
      <c r="RE1" s="296"/>
      <c r="RF1" s="296"/>
      <c r="RG1" s="296"/>
      <c r="RH1" s="296"/>
      <c r="RI1" s="296"/>
      <c r="RJ1" s="296"/>
      <c r="RK1" s="296"/>
      <c r="RL1" s="296"/>
      <c r="RM1" s="296"/>
      <c r="RN1" s="296"/>
      <c r="RO1" s="296"/>
      <c r="RP1" s="296"/>
      <c r="RQ1" s="296"/>
      <c r="RR1" s="296"/>
      <c r="RS1" s="296"/>
      <c r="RT1" s="296"/>
      <c r="RU1" s="296"/>
      <c r="RV1" s="296"/>
      <c r="RW1" s="296"/>
      <c r="RX1" s="296"/>
      <c r="RY1" s="296"/>
      <c r="RZ1" s="296"/>
      <c r="SA1" s="296"/>
      <c r="SB1" s="296"/>
      <c r="SC1" s="296"/>
      <c r="SD1" s="296"/>
      <c r="SE1" s="296"/>
      <c r="SF1" s="296"/>
      <c r="SG1" s="296"/>
      <c r="SH1" s="296"/>
      <c r="SI1" s="296"/>
      <c r="SJ1" s="296"/>
      <c r="SK1" s="296"/>
      <c r="SL1" s="296"/>
      <c r="SM1" s="296"/>
      <c r="SN1" s="296"/>
      <c r="SO1" s="296"/>
      <c r="SP1" s="296"/>
      <c r="SQ1" s="296"/>
      <c r="SR1" s="296"/>
      <c r="SS1" s="296"/>
      <c r="ST1" s="296"/>
      <c r="SU1" s="296"/>
      <c r="SV1" s="296"/>
      <c r="SW1" s="296"/>
      <c r="SX1" s="296"/>
      <c r="SY1" s="296"/>
      <c r="SZ1" s="296"/>
      <c r="TA1" s="296"/>
      <c r="TB1" s="296"/>
      <c r="TC1" s="296"/>
      <c r="TD1" s="296"/>
      <c r="TE1" s="296"/>
      <c r="TF1" s="296"/>
      <c r="TG1" s="296"/>
      <c r="TH1" s="296"/>
      <c r="TI1" s="296"/>
      <c r="TJ1" s="296"/>
      <c r="TK1" s="296"/>
      <c r="TL1" s="296"/>
      <c r="TM1" s="296"/>
      <c r="TN1" s="296"/>
      <c r="TO1" s="296"/>
      <c r="TP1" s="296"/>
      <c r="TQ1" s="296"/>
      <c r="TR1" s="296"/>
      <c r="TS1" s="296"/>
      <c r="TT1" s="296"/>
      <c r="TU1" s="296"/>
      <c r="TV1" s="296"/>
      <c r="TW1" s="296"/>
      <c r="TX1" s="296"/>
      <c r="TY1" s="296"/>
      <c r="TZ1" s="296"/>
      <c r="UA1" s="296"/>
      <c r="UB1" s="296"/>
      <c r="UC1" s="296"/>
      <c r="UD1" s="296"/>
      <c r="UE1" s="296"/>
      <c r="UF1" s="296"/>
      <c r="UG1" s="296"/>
      <c r="UH1" s="296"/>
      <c r="UI1" s="296"/>
      <c r="UJ1" s="296"/>
      <c r="UK1" s="296"/>
      <c r="UL1" s="296"/>
      <c r="UM1" s="296"/>
      <c r="UN1" s="296"/>
      <c r="UO1" s="296"/>
      <c r="UP1" s="296"/>
      <c r="UQ1" s="296"/>
      <c r="UR1" s="296"/>
      <c r="US1" s="296"/>
      <c r="UT1" s="296"/>
      <c r="UU1" s="296"/>
      <c r="UV1" s="296"/>
      <c r="UW1" s="296"/>
      <c r="UX1" s="296"/>
      <c r="UY1" s="296"/>
      <c r="UZ1" s="296"/>
      <c r="VA1" s="296"/>
      <c r="VB1" s="296"/>
      <c r="VC1" s="296"/>
      <c r="VD1" s="296"/>
      <c r="VE1" s="296"/>
      <c r="VF1" s="296"/>
      <c r="VG1" s="296"/>
      <c r="VH1" s="296"/>
      <c r="VI1" s="296"/>
      <c r="VJ1" s="296"/>
      <c r="VK1" s="296"/>
      <c r="VL1" s="296"/>
      <c r="VM1" s="296"/>
      <c r="VN1" s="296"/>
      <c r="VO1" s="296"/>
      <c r="VP1" s="296"/>
      <c r="VQ1" s="296"/>
      <c r="VR1" s="296"/>
      <c r="VS1" s="296"/>
      <c r="VT1" s="296"/>
      <c r="VU1" s="296"/>
      <c r="VV1" s="296"/>
      <c r="VW1" s="296"/>
      <c r="VX1" s="296"/>
      <c r="VY1" s="296"/>
      <c r="VZ1" s="296"/>
      <c r="WA1" s="296"/>
      <c r="WB1" s="296"/>
      <c r="WC1" s="296"/>
      <c r="WD1" s="296"/>
      <c r="WE1" s="296"/>
      <c r="WF1" s="296"/>
      <c r="WG1" s="296"/>
      <c r="WH1" s="296"/>
      <c r="WI1" s="296"/>
      <c r="WJ1" s="296"/>
      <c r="WK1" s="296"/>
      <c r="WL1" s="296"/>
      <c r="WM1" s="296"/>
      <c r="WN1" s="296"/>
      <c r="WO1" s="296"/>
      <c r="WP1" s="296"/>
      <c r="WQ1" s="296"/>
      <c r="WR1" s="296"/>
      <c r="WS1" s="296"/>
      <c r="WT1" s="296"/>
      <c r="WU1" s="296"/>
      <c r="WV1" s="296"/>
      <c r="WW1" s="296"/>
      <c r="WX1" s="296"/>
      <c r="WY1" s="296"/>
      <c r="WZ1" s="296"/>
      <c r="XA1" s="296"/>
    </row>
    <row r="2" spans="1:702" ht="9" customHeight="1" x14ac:dyDescent="0.35">
      <c r="A2" s="156" t="s">
        <v>582</v>
      </c>
      <c r="B2" s="184">
        <f>IF(B4="","",MATCH(B4,M10:M60,0)+9)</f>
        <v>11</v>
      </c>
      <c r="D2" s="411"/>
      <c r="T2" s="443"/>
      <c r="U2" s="444"/>
      <c r="W2" s="445"/>
      <c r="AR2" s="445"/>
      <c r="AS2" s="445"/>
      <c r="AT2" s="445"/>
      <c r="DH2" s="296"/>
      <c r="ID2" s="296"/>
      <c r="IE2" s="296"/>
      <c r="IF2" s="296"/>
      <c r="IG2" s="296"/>
      <c r="IH2" s="296"/>
      <c r="II2" s="296"/>
      <c r="IJ2" s="296"/>
      <c r="IK2" s="296"/>
      <c r="IL2" s="296"/>
      <c r="IM2" s="296"/>
      <c r="IN2" s="296"/>
      <c r="IO2" s="296"/>
      <c r="IP2" s="296"/>
      <c r="IQ2" s="296"/>
      <c r="IR2" s="296"/>
      <c r="IS2" s="296"/>
      <c r="IT2" s="296"/>
      <c r="IU2" s="296"/>
      <c r="IV2" s="296"/>
      <c r="IW2" s="296"/>
      <c r="IX2" s="296"/>
      <c r="IY2" s="296"/>
      <c r="IZ2" s="296"/>
      <c r="JA2" s="296"/>
      <c r="JB2" s="296"/>
      <c r="JC2" s="296"/>
      <c r="JD2" s="296"/>
      <c r="JE2" s="296"/>
      <c r="JF2" s="296"/>
      <c r="JG2" s="296"/>
      <c r="JH2" s="296"/>
      <c r="JI2" s="296"/>
      <c r="JJ2" s="296"/>
      <c r="JK2" s="296"/>
      <c r="JL2" s="296"/>
      <c r="JM2" s="296"/>
      <c r="JN2" s="296"/>
      <c r="JO2" s="296"/>
      <c r="JP2" s="296"/>
      <c r="JQ2" s="296"/>
      <c r="JR2" s="296"/>
      <c r="JS2" s="296"/>
      <c r="JT2" s="296"/>
      <c r="JU2" s="296"/>
      <c r="JV2" s="296"/>
      <c r="JW2" s="296"/>
      <c r="JX2" s="296"/>
      <c r="JY2" s="296"/>
      <c r="JZ2" s="296"/>
      <c r="KA2" s="296"/>
      <c r="KB2" s="296"/>
      <c r="KC2" s="296"/>
      <c r="KD2" s="296"/>
      <c r="KE2" s="296"/>
      <c r="KF2" s="296"/>
      <c r="KG2" s="296"/>
      <c r="KH2" s="296"/>
      <c r="KI2" s="296"/>
      <c r="KJ2" s="296"/>
      <c r="KK2" s="296"/>
      <c r="KL2" s="296"/>
      <c r="KM2" s="296"/>
      <c r="KN2" s="296"/>
      <c r="KO2" s="296"/>
      <c r="KP2" s="296"/>
      <c r="KQ2" s="296"/>
      <c r="KR2" s="296"/>
      <c r="KS2" s="296"/>
      <c r="KT2" s="296"/>
      <c r="KU2" s="296"/>
      <c r="KV2" s="296"/>
      <c r="KW2" s="296"/>
      <c r="KX2" s="296"/>
      <c r="KY2" s="296"/>
      <c r="KZ2" s="296"/>
      <c r="LA2" s="296"/>
      <c r="LB2" s="296"/>
      <c r="LC2" s="296"/>
      <c r="LD2" s="296"/>
      <c r="LE2" s="296"/>
      <c r="LF2" s="296"/>
      <c r="LG2" s="296"/>
      <c r="LH2" s="296"/>
      <c r="LI2" s="296"/>
      <c r="LJ2" s="296"/>
      <c r="LK2" s="296"/>
      <c r="LL2" s="296"/>
      <c r="LM2" s="296"/>
      <c r="LN2" s="296"/>
      <c r="LO2" s="296"/>
      <c r="LP2" s="296"/>
      <c r="LQ2" s="296"/>
      <c r="LR2" s="296"/>
      <c r="LS2" s="296"/>
      <c r="LT2" s="296"/>
      <c r="LU2" s="296"/>
      <c r="LV2" s="296"/>
      <c r="LW2" s="296"/>
      <c r="LX2" s="296"/>
      <c r="LY2" s="296"/>
      <c r="LZ2" s="296"/>
      <c r="MA2" s="296"/>
      <c r="MB2" s="296"/>
      <c r="MC2" s="296"/>
      <c r="MD2" s="296"/>
      <c r="ME2" s="296"/>
      <c r="MF2" s="296"/>
      <c r="MG2" s="296"/>
      <c r="MH2" s="296"/>
      <c r="MI2" s="296"/>
      <c r="MJ2" s="296"/>
      <c r="MK2" s="296"/>
      <c r="ML2" s="296"/>
      <c r="MM2" s="296"/>
      <c r="MN2" s="296"/>
      <c r="MO2" s="296"/>
      <c r="MP2" s="296"/>
      <c r="MQ2" s="296"/>
      <c r="MR2" s="296"/>
      <c r="MS2" s="296"/>
      <c r="MT2" s="296"/>
      <c r="MU2" s="296"/>
      <c r="MV2" s="296"/>
      <c r="MW2" s="296"/>
      <c r="MX2" s="296"/>
      <c r="MY2" s="296"/>
      <c r="MZ2" s="296"/>
      <c r="NA2" s="296"/>
      <c r="NB2" s="296"/>
      <c r="NC2" s="296"/>
      <c r="ND2" s="296"/>
      <c r="NE2" s="296"/>
      <c r="NF2" s="296"/>
      <c r="NG2" s="296"/>
      <c r="NH2" s="296"/>
      <c r="NI2" s="296"/>
      <c r="NJ2" s="296"/>
      <c r="NK2" s="296"/>
      <c r="NL2" s="296"/>
      <c r="NM2" s="296"/>
      <c r="NN2" s="296"/>
      <c r="NO2" s="296"/>
      <c r="NP2" s="296"/>
      <c r="NQ2" s="296"/>
      <c r="NR2" s="296"/>
      <c r="NS2" s="296"/>
      <c r="NT2" s="296"/>
      <c r="NU2" s="296"/>
      <c r="NV2" s="296"/>
      <c r="NW2" s="296"/>
      <c r="NX2" s="296"/>
      <c r="NY2" s="296"/>
      <c r="NZ2" s="296"/>
      <c r="OA2" s="296"/>
      <c r="OB2" s="296"/>
      <c r="OC2" s="296"/>
      <c r="OD2" s="296"/>
      <c r="OE2" s="296"/>
      <c r="OF2" s="296"/>
      <c r="OG2" s="296"/>
      <c r="OH2" s="296"/>
      <c r="OI2" s="296"/>
      <c r="OJ2" s="296"/>
      <c r="OK2" s="296"/>
      <c r="OL2" s="296"/>
      <c r="OM2" s="296"/>
      <c r="ON2" s="296"/>
      <c r="OO2" s="296"/>
      <c r="OP2" s="296"/>
      <c r="OQ2" s="296"/>
      <c r="OR2" s="296"/>
      <c r="OS2" s="296"/>
      <c r="OT2" s="296"/>
      <c r="OU2" s="296"/>
      <c r="OV2" s="296"/>
      <c r="OW2" s="296"/>
      <c r="OX2" s="296"/>
      <c r="OY2" s="296"/>
      <c r="OZ2" s="296"/>
      <c r="PA2" s="296"/>
      <c r="PB2" s="296"/>
      <c r="PC2" s="296"/>
      <c r="PD2" s="296"/>
      <c r="PE2" s="296"/>
      <c r="PF2" s="296"/>
      <c r="PG2" s="296"/>
      <c r="PH2" s="296"/>
      <c r="PI2" s="296"/>
      <c r="PJ2" s="296"/>
      <c r="PK2" s="296"/>
      <c r="PL2" s="296"/>
      <c r="PM2" s="296"/>
      <c r="PN2" s="296"/>
      <c r="PO2" s="296"/>
      <c r="PP2" s="296"/>
      <c r="PQ2" s="296"/>
      <c r="PR2" s="296"/>
      <c r="PS2" s="296"/>
      <c r="PT2" s="296"/>
      <c r="PU2" s="296"/>
      <c r="PV2" s="296"/>
      <c r="PW2" s="296"/>
      <c r="PX2" s="296"/>
      <c r="PY2" s="296"/>
      <c r="PZ2" s="296"/>
      <c r="QA2" s="296"/>
      <c r="QB2" s="296"/>
      <c r="QC2" s="296"/>
      <c r="QD2" s="296"/>
      <c r="QE2" s="296"/>
      <c r="QF2" s="296"/>
      <c r="QG2" s="296"/>
      <c r="QH2" s="296"/>
      <c r="QI2" s="296"/>
      <c r="QJ2" s="296"/>
      <c r="QK2" s="296"/>
      <c r="QL2" s="296"/>
      <c r="QM2" s="296"/>
      <c r="QN2" s="296"/>
      <c r="QO2" s="296"/>
      <c r="QP2" s="296"/>
      <c r="QQ2" s="296"/>
      <c r="QR2" s="296"/>
      <c r="QS2" s="296"/>
      <c r="QT2" s="296"/>
      <c r="QU2" s="296"/>
      <c r="QV2" s="296"/>
      <c r="QW2" s="296"/>
      <c r="QX2" s="296"/>
      <c r="QY2" s="296"/>
      <c r="QZ2" s="296"/>
      <c r="RA2" s="296"/>
      <c r="RB2" s="296"/>
      <c r="RC2" s="296"/>
      <c r="RD2" s="296"/>
      <c r="RE2" s="296"/>
      <c r="RF2" s="296"/>
      <c r="RG2" s="296"/>
      <c r="RH2" s="296"/>
      <c r="RI2" s="296"/>
      <c r="RJ2" s="296"/>
      <c r="RK2" s="296"/>
      <c r="RL2" s="296"/>
      <c r="RM2" s="296"/>
      <c r="RN2" s="296"/>
      <c r="RO2" s="296"/>
      <c r="RP2" s="296"/>
      <c r="RQ2" s="296"/>
      <c r="RR2" s="296"/>
      <c r="RS2" s="296"/>
      <c r="RT2" s="296"/>
      <c r="RU2" s="296"/>
      <c r="RV2" s="296"/>
      <c r="RW2" s="296"/>
      <c r="RX2" s="296"/>
      <c r="RY2" s="296"/>
      <c r="RZ2" s="296"/>
      <c r="SA2" s="296"/>
      <c r="SB2" s="296"/>
      <c r="SC2" s="296"/>
      <c r="SD2" s="296"/>
      <c r="SE2" s="296"/>
      <c r="SF2" s="296"/>
      <c r="SG2" s="296"/>
      <c r="SH2" s="296"/>
      <c r="SI2" s="296"/>
      <c r="SJ2" s="296"/>
      <c r="SK2" s="296"/>
      <c r="SL2" s="296"/>
      <c r="SM2" s="296"/>
      <c r="SN2" s="296"/>
      <c r="SO2" s="296"/>
      <c r="SP2" s="296"/>
      <c r="SQ2" s="296"/>
      <c r="SR2" s="296"/>
      <c r="SS2" s="296"/>
      <c r="ST2" s="296"/>
      <c r="SU2" s="296"/>
      <c r="SV2" s="296"/>
      <c r="SW2" s="296"/>
      <c r="SX2" s="296"/>
      <c r="SY2" s="296"/>
      <c r="SZ2" s="296"/>
      <c r="TA2" s="296"/>
      <c r="TB2" s="296"/>
      <c r="TC2" s="296"/>
      <c r="TD2" s="296"/>
      <c r="TE2" s="296"/>
      <c r="TF2" s="296"/>
      <c r="TG2" s="296"/>
      <c r="TH2" s="296"/>
      <c r="TI2" s="296"/>
      <c r="TJ2" s="296"/>
      <c r="TK2" s="296"/>
      <c r="TL2" s="296"/>
      <c r="TM2" s="296"/>
      <c r="TN2" s="296"/>
      <c r="TO2" s="296"/>
      <c r="TP2" s="296"/>
      <c r="TQ2" s="296"/>
      <c r="TR2" s="296"/>
      <c r="TS2" s="296"/>
      <c r="TT2" s="296"/>
      <c r="TU2" s="296"/>
      <c r="TV2" s="296"/>
      <c r="TW2" s="296"/>
      <c r="TX2" s="296"/>
      <c r="TY2" s="296"/>
      <c r="TZ2" s="296"/>
      <c r="UA2" s="296"/>
      <c r="UB2" s="296"/>
      <c r="UC2" s="296"/>
      <c r="UD2" s="296"/>
      <c r="UE2" s="296"/>
      <c r="UF2" s="296"/>
      <c r="UG2" s="296"/>
      <c r="UH2" s="296"/>
      <c r="UI2" s="296"/>
      <c r="UJ2" s="296"/>
      <c r="UK2" s="296"/>
      <c r="UL2" s="296"/>
      <c r="UM2" s="296"/>
      <c r="UN2" s="296"/>
      <c r="UO2" s="296"/>
      <c r="UP2" s="296"/>
      <c r="UQ2" s="296"/>
      <c r="UR2" s="296"/>
      <c r="US2" s="296"/>
      <c r="UT2" s="296"/>
      <c r="UU2" s="296"/>
      <c r="UV2" s="296"/>
      <c r="UW2" s="296"/>
      <c r="UX2" s="296"/>
      <c r="UY2" s="296"/>
      <c r="UZ2" s="296"/>
      <c r="VA2" s="296"/>
      <c r="VB2" s="296"/>
      <c r="VC2" s="296"/>
      <c r="VD2" s="296"/>
      <c r="VE2" s="296"/>
      <c r="VF2" s="296"/>
      <c r="VG2" s="296"/>
      <c r="VH2" s="296"/>
      <c r="VI2" s="296"/>
      <c r="VJ2" s="296"/>
      <c r="VK2" s="296"/>
      <c r="VL2" s="296"/>
      <c r="VM2" s="296"/>
      <c r="VN2" s="296"/>
      <c r="VO2" s="296"/>
      <c r="VP2" s="296"/>
      <c r="VQ2" s="296"/>
      <c r="VR2" s="296"/>
      <c r="VS2" s="296"/>
      <c r="VT2" s="296"/>
      <c r="VU2" s="296"/>
      <c r="VV2" s="296"/>
      <c r="VW2" s="296"/>
      <c r="VX2" s="296"/>
      <c r="VY2" s="296"/>
      <c r="VZ2" s="296"/>
      <c r="WA2" s="296"/>
      <c r="WB2" s="296"/>
      <c r="WC2" s="296"/>
      <c r="WD2" s="296"/>
      <c r="WE2" s="296"/>
      <c r="WF2" s="296"/>
      <c r="WG2" s="296"/>
      <c r="WH2" s="296"/>
      <c r="WI2" s="296"/>
      <c r="WJ2" s="296"/>
      <c r="WK2" s="296"/>
      <c r="WL2" s="296"/>
      <c r="WM2" s="296"/>
      <c r="WN2" s="296"/>
      <c r="WO2" s="296"/>
      <c r="WP2" s="296"/>
      <c r="WQ2" s="296"/>
      <c r="WR2" s="296"/>
      <c r="WS2" s="296"/>
      <c r="WT2" s="296"/>
      <c r="WU2" s="296"/>
      <c r="WV2" s="296"/>
      <c r="WW2" s="296"/>
      <c r="WX2" s="296"/>
      <c r="WY2" s="296"/>
      <c r="WZ2" s="296"/>
      <c r="XA2" s="296"/>
    </row>
    <row r="3" spans="1:702" ht="8.15" customHeight="1" x14ac:dyDescent="0.35">
      <c r="A3" s="156" t="s">
        <v>583</v>
      </c>
      <c r="B3" s="184">
        <v>0</v>
      </c>
      <c r="D3" s="412"/>
      <c r="U3" s="445"/>
      <c r="W3" s="445"/>
      <c r="AR3" s="445"/>
      <c r="AS3" s="445"/>
      <c r="AT3" s="445"/>
      <c r="DH3" s="296"/>
      <c r="ID3" s="296"/>
      <c r="IE3" s="296"/>
      <c r="IF3" s="296"/>
      <c r="IG3" s="296"/>
      <c r="IH3" s="296"/>
      <c r="II3" s="296"/>
      <c r="IJ3" s="296"/>
      <c r="IK3" s="296"/>
      <c r="IL3" s="296"/>
      <c r="IM3" s="296"/>
      <c r="IN3" s="296"/>
      <c r="IO3" s="296"/>
      <c r="IP3" s="296"/>
      <c r="IQ3" s="296"/>
      <c r="IR3" s="296"/>
      <c r="IS3" s="296"/>
      <c r="IT3" s="296"/>
      <c r="IU3" s="296"/>
      <c r="IV3" s="296"/>
      <c r="IW3" s="296"/>
      <c r="IX3" s="296"/>
      <c r="IY3" s="296"/>
      <c r="IZ3" s="296"/>
      <c r="JA3" s="296"/>
      <c r="JB3" s="296"/>
      <c r="JC3" s="296"/>
      <c r="JD3" s="296"/>
      <c r="JE3" s="296"/>
      <c r="JF3" s="296"/>
      <c r="JG3" s="296"/>
      <c r="JH3" s="296"/>
      <c r="JI3" s="296"/>
      <c r="JJ3" s="296"/>
      <c r="JK3" s="296"/>
      <c r="JL3" s="296"/>
      <c r="JM3" s="296"/>
      <c r="JN3" s="296"/>
      <c r="JO3" s="296"/>
      <c r="JP3" s="296"/>
      <c r="JQ3" s="296"/>
      <c r="JR3" s="296"/>
      <c r="JS3" s="296"/>
      <c r="JT3" s="296"/>
      <c r="JU3" s="296"/>
      <c r="JV3" s="296"/>
      <c r="JW3" s="296"/>
      <c r="JX3" s="296"/>
      <c r="JY3" s="296"/>
      <c r="JZ3" s="296"/>
      <c r="KA3" s="296"/>
      <c r="KB3" s="296"/>
      <c r="KC3" s="296"/>
      <c r="KD3" s="296"/>
      <c r="KE3" s="296"/>
      <c r="KF3" s="296"/>
      <c r="KG3" s="296"/>
      <c r="KH3" s="296"/>
      <c r="KI3" s="296"/>
      <c r="KJ3" s="296"/>
      <c r="KK3" s="296"/>
      <c r="KL3" s="296"/>
      <c r="KM3" s="296"/>
      <c r="KN3" s="296"/>
      <c r="KO3" s="296"/>
      <c r="KP3" s="296"/>
      <c r="KQ3" s="296"/>
      <c r="KR3" s="296"/>
      <c r="KS3" s="296"/>
      <c r="KT3" s="296"/>
      <c r="KU3" s="296"/>
      <c r="KV3" s="296"/>
      <c r="KW3" s="296"/>
      <c r="KX3" s="296"/>
      <c r="KY3" s="296"/>
      <c r="KZ3" s="296"/>
      <c r="LA3" s="296"/>
      <c r="LB3" s="296"/>
      <c r="LC3" s="296"/>
      <c r="LD3" s="296"/>
      <c r="LE3" s="296"/>
      <c r="LF3" s="296"/>
      <c r="LG3" s="296"/>
      <c r="LH3" s="296"/>
      <c r="LI3" s="296"/>
      <c r="LJ3" s="296"/>
      <c r="LK3" s="296"/>
      <c r="LL3" s="296"/>
      <c r="LM3" s="296"/>
      <c r="LN3" s="296"/>
      <c r="LO3" s="296"/>
      <c r="LP3" s="296"/>
      <c r="LQ3" s="296"/>
      <c r="LR3" s="296"/>
      <c r="LS3" s="296"/>
      <c r="LT3" s="296"/>
      <c r="LU3" s="296"/>
      <c r="LV3" s="296"/>
      <c r="LW3" s="296"/>
      <c r="LX3" s="296"/>
      <c r="LY3" s="296"/>
      <c r="LZ3" s="296"/>
      <c r="MA3" s="296"/>
      <c r="MB3" s="296"/>
      <c r="MC3" s="296"/>
      <c r="MD3" s="296"/>
      <c r="ME3" s="296"/>
      <c r="MF3" s="296"/>
      <c r="MG3" s="296"/>
      <c r="MH3" s="296"/>
      <c r="MI3" s="296"/>
      <c r="MJ3" s="296"/>
      <c r="MK3" s="296"/>
      <c r="ML3" s="296"/>
      <c r="MM3" s="296"/>
      <c r="MN3" s="296"/>
      <c r="MO3" s="296"/>
      <c r="MP3" s="296"/>
      <c r="MQ3" s="296"/>
      <c r="MR3" s="296"/>
      <c r="MS3" s="296"/>
      <c r="MT3" s="296"/>
      <c r="MU3" s="296"/>
      <c r="MV3" s="296"/>
      <c r="MW3" s="296"/>
      <c r="MX3" s="296"/>
      <c r="MY3" s="296"/>
      <c r="MZ3" s="296"/>
      <c r="NA3" s="296"/>
      <c r="NB3" s="296"/>
      <c r="NC3" s="296"/>
      <c r="ND3" s="296"/>
      <c r="NE3" s="296"/>
      <c r="NF3" s="296"/>
      <c r="NG3" s="296"/>
      <c r="NH3" s="296"/>
      <c r="NI3" s="296"/>
      <c r="NJ3" s="296"/>
      <c r="NK3" s="296"/>
      <c r="NL3" s="296"/>
      <c r="NM3" s="296"/>
      <c r="NN3" s="296"/>
      <c r="NO3" s="296"/>
      <c r="NP3" s="296"/>
      <c r="NQ3" s="296"/>
      <c r="NR3" s="296"/>
      <c r="NS3" s="296"/>
      <c r="NT3" s="296"/>
      <c r="NU3" s="296"/>
      <c r="NV3" s="296"/>
      <c r="NW3" s="296"/>
      <c r="NX3" s="296"/>
      <c r="NY3" s="296"/>
      <c r="NZ3" s="296"/>
      <c r="OA3" s="296"/>
      <c r="OB3" s="296"/>
      <c r="OC3" s="296"/>
      <c r="OD3" s="296"/>
      <c r="OE3" s="296"/>
      <c r="OF3" s="296"/>
      <c r="OG3" s="296"/>
      <c r="OH3" s="296"/>
      <c r="OI3" s="296"/>
      <c r="OJ3" s="296"/>
      <c r="OK3" s="296"/>
      <c r="OL3" s="296"/>
      <c r="OM3" s="296"/>
      <c r="ON3" s="296"/>
      <c r="OO3" s="296"/>
      <c r="OP3" s="296"/>
      <c r="OQ3" s="296"/>
      <c r="OR3" s="296"/>
      <c r="OS3" s="296"/>
      <c r="OT3" s="296"/>
      <c r="OU3" s="296"/>
      <c r="OV3" s="296"/>
      <c r="OW3" s="296"/>
      <c r="OX3" s="296"/>
      <c r="OY3" s="296"/>
      <c r="OZ3" s="296"/>
      <c r="PA3" s="296"/>
      <c r="PB3" s="296"/>
      <c r="PC3" s="296"/>
      <c r="PD3" s="296"/>
      <c r="PE3" s="296"/>
      <c r="PF3" s="296"/>
      <c r="PG3" s="296"/>
      <c r="PH3" s="296"/>
      <c r="PI3" s="296"/>
      <c r="PJ3" s="296"/>
      <c r="PK3" s="296"/>
      <c r="PL3" s="296"/>
      <c r="PM3" s="296"/>
      <c r="PN3" s="296"/>
      <c r="PO3" s="296"/>
      <c r="PP3" s="296"/>
      <c r="PQ3" s="296"/>
      <c r="PR3" s="296"/>
      <c r="PS3" s="296"/>
      <c r="PT3" s="296"/>
      <c r="PU3" s="296"/>
      <c r="PV3" s="296"/>
      <c r="PW3" s="296"/>
      <c r="PX3" s="296"/>
      <c r="PY3" s="296"/>
      <c r="PZ3" s="296"/>
      <c r="QA3" s="296"/>
      <c r="QB3" s="296"/>
      <c r="QC3" s="296"/>
      <c r="QD3" s="296"/>
      <c r="QE3" s="296"/>
      <c r="QF3" s="296"/>
      <c r="QG3" s="296"/>
      <c r="QH3" s="296"/>
      <c r="QI3" s="296"/>
      <c r="QJ3" s="296"/>
      <c r="QK3" s="296"/>
      <c r="QL3" s="296"/>
      <c r="QM3" s="296"/>
      <c r="QN3" s="296"/>
      <c r="QO3" s="296"/>
      <c r="QP3" s="296"/>
      <c r="QQ3" s="296"/>
      <c r="QR3" s="296"/>
      <c r="QS3" s="296"/>
      <c r="QT3" s="296"/>
      <c r="QU3" s="296"/>
      <c r="QV3" s="296"/>
      <c r="QW3" s="296"/>
      <c r="QX3" s="296"/>
      <c r="QY3" s="296"/>
      <c r="QZ3" s="296"/>
      <c r="RA3" s="296"/>
      <c r="RB3" s="296"/>
      <c r="RC3" s="296"/>
      <c r="RD3" s="296"/>
      <c r="RE3" s="296"/>
      <c r="RF3" s="296"/>
      <c r="RG3" s="296"/>
      <c r="RH3" s="296"/>
      <c r="RI3" s="296"/>
      <c r="RJ3" s="296"/>
      <c r="RK3" s="296"/>
      <c r="RL3" s="296"/>
      <c r="RM3" s="296"/>
      <c r="RN3" s="296"/>
      <c r="RO3" s="296"/>
      <c r="RP3" s="296"/>
      <c r="RQ3" s="296"/>
      <c r="RR3" s="296"/>
      <c r="RS3" s="296"/>
      <c r="RT3" s="296"/>
      <c r="RU3" s="296"/>
      <c r="RV3" s="296"/>
      <c r="RW3" s="296"/>
      <c r="RX3" s="296"/>
      <c r="RY3" s="296"/>
      <c r="RZ3" s="296"/>
      <c r="SA3" s="296"/>
      <c r="SB3" s="296"/>
      <c r="SC3" s="296"/>
      <c r="SD3" s="296"/>
      <c r="SE3" s="296"/>
      <c r="SF3" s="296"/>
      <c r="SG3" s="296"/>
      <c r="SH3" s="296"/>
      <c r="SI3" s="296"/>
      <c r="SJ3" s="296"/>
      <c r="SK3" s="296"/>
      <c r="SL3" s="296"/>
      <c r="SM3" s="296"/>
      <c r="SN3" s="296"/>
      <c r="SO3" s="296"/>
      <c r="SP3" s="296"/>
      <c r="SQ3" s="296"/>
      <c r="SR3" s="296"/>
      <c r="SS3" s="296"/>
      <c r="ST3" s="296"/>
      <c r="SU3" s="296"/>
      <c r="SV3" s="296"/>
      <c r="SW3" s="296"/>
      <c r="SX3" s="296"/>
      <c r="SY3" s="296"/>
      <c r="SZ3" s="296"/>
      <c r="TA3" s="296"/>
      <c r="TB3" s="296"/>
      <c r="TC3" s="296"/>
      <c r="TD3" s="296"/>
      <c r="TE3" s="296"/>
      <c r="TF3" s="296"/>
      <c r="TG3" s="296"/>
      <c r="TH3" s="296"/>
      <c r="TI3" s="296"/>
      <c r="TJ3" s="296"/>
      <c r="TK3" s="296"/>
      <c r="TL3" s="296"/>
      <c r="TM3" s="296"/>
      <c r="TN3" s="296"/>
      <c r="TO3" s="296"/>
      <c r="TP3" s="296"/>
      <c r="TQ3" s="296"/>
      <c r="TR3" s="296"/>
      <c r="TS3" s="296"/>
      <c r="TT3" s="296"/>
      <c r="TU3" s="296"/>
      <c r="TV3" s="296"/>
      <c r="TW3" s="296"/>
      <c r="TX3" s="296"/>
      <c r="TY3" s="296"/>
      <c r="TZ3" s="296"/>
      <c r="UA3" s="296"/>
      <c r="UB3" s="296"/>
      <c r="UC3" s="296"/>
      <c r="UD3" s="296"/>
      <c r="UE3" s="296"/>
      <c r="UF3" s="296"/>
      <c r="UG3" s="296"/>
      <c r="UH3" s="296"/>
      <c r="UI3" s="296"/>
      <c r="UJ3" s="296"/>
      <c r="UK3" s="296"/>
      <c r="UL3" s="296"/>
      <c r="UM3" s="296"/>
      <c r="UN3" s="296"/>
      <c r="UO3" s="296"/>
      <c r="UP3" s="296"/>
      <c r="UQ3" s="296"/>
      <c r="UR3" s="296"/>
      <c r="US3" s="296"/>
      <c r="UT3" s="296"/>
      <c r="UU3" s="296"/>
      <c r="UV3" s="296"/>
      <c r="UW3" s="296"/>
      <c r="UX3" s="296"/>
      <c r="UY3" s="296"/>
      <c r="UZ3" s="296"/>
      <c r="VA3" s="296"/>
      <c r="VB3" s="296"/>
      <c r="VC3" s="296"/>
      <c r="VD3" s="296"/>
      <c r="VE3" s="296"/>
      <c r="VF3" s="296"/>
      <c r="VG3" s="296"/>
      <c r="VH3" s="296"/>
      <c r="VI3" s="296"/>
      <c r="VJ3" s="296"/>
      <c r="VK3" s="296"/>
      <c r="VL3" s="296"/>
      <c r="VM3" s="296"/>
      <c r="VN3" s="296"/>
      <c r="VO3" s="296"/>
      <c r="VP3" s="296"/>
      <c r="VQ3" s="296"/>
      <c r="VR3" s="296"/>
      <c r="VS3" s="296"/>
      <c r="VT3" s="296"/>
      <c r="VU3" s="296"/>
      <c r="VV3" s="296"/>
      <c r="VW3" s="296"/>
      <c r="VX3" s="296"/>
      <c r="VY3" s="296"/>
      <c r="VZ3" s="296"/>
      <c r="WA3" s="296"/>
      <c r="WB3" s="296"/>
      <c r="WC3" s="296"/>
      <c r="WD3" s="296"/>
      <c r="WE3" s="296"/>
      <c r="WF3" s="296"/>
      <c r="WG3" s="296"/>
      <c r="WH3" s="296"/>
      <c r="WI3" s="296"/>
      <c r="WJ3" s="296"/>
      <c r="WK3" s="296"/>
      <c r="WL3" s="296"/>
      <c r="WM3" s="296"/>
      <c r="WN3" s="296"/>
      <c r="WO3" s="296"/>
      <c r="WP3" s="296"/>
      <c r="WQ3" s="296"/>
      <c r="WR3" s="296"/>
      <c r="WS3" s="296"/>
      <c r="WT3" s="296"/>
      <c r="WU3" s="296"/>
      <c r="WV3" s="296"/>
      <c r="WW3" s="296"/>
      <c r="WX3" s="296"/>
      <c r="WY3" s="296"/>
      <c r="WZ3" s="296"/>
      <c r="XA3" s="296"/>
    </row>
    <row r="4" spans="1:702" ht="8.15" customHeight="1" x14ac:dyDescent="0.35">
      <c r="A4" s="156" t="s">
        <v>584</v>
      </c>
      <c r="B4" s="184">
        <f>M11</f>
        <v>60</v>
      </c>
      <c r="D4" s="412"/>
      <c r="R4" s="431"/>
      <c r="S4" s="431"/>
      <c r="U4" s="445"/>
      <c r="W4" s="445"/>
      <c r="AR4" s="445"/>
      <c r="AS4" s="445"/>
      <c r="AT4" s="445"/>
      <c r="DH4" s="296"/>
      <c r="ID4" s="296"/>
      <c r="IE4" s="296"/>
      <c r="IF4" s="296"/>
      <c r="IG4" s="296"/>
      <c r="IH4" s="296"/>
      <c r="II4" s="296"/>
      <c r="IJ4" s="296"/>
      <c r="IK4" s="296"/>
      <c r="IL4" s="296"/>
      <c r="IM4" s="296"/>
      <c r="IN4" s="296"/>
      <c r="IO4" s="296"/>
      <c r="IP4" s="296"/>
      <c r="IQ4" s="296"/>
      <c r="IR4" s="296"/>
      <c r="IS4" s="296"/>
      <c r="IT4" s="296"/>
      <c r="IU4" s="296"/>
      <c r="IV4" s="296"/>
      <c r="IW4" s="296"/>
      <c r="IX4" s="296"/>
      <c r="IY4" s="296"/>
      <c r="IZ4" s="296"/>
      <c r="JA4" s="296"/>
      <c r="JB4" s="296"/>
      <c r="JC4" s="296"/>
      <c r="JD4" s="296"/>
      <c r="JE4" s="296"/>
      <c r="JF4" s="296"/>
      <c r="JG4" s="296"/>
      <c r="JH4" s="296"/>
      <c r="JI4" s="296"/>
      <c r="JJ4" s="296"/>
      <c r="JK4" s="296"/>
      <c r="JL4" s="296"/>
      <c r="JM4" s="296"/>
      <c r="JN4" s="296"/>
      <c r="JO4" s="296"/>
      <c r="JP4" s="296"/>
      <c r="JQ4" s="296"/>
      <c r="JR4" s="296"/>
      <c r="JS4" s="296"/>
      <c r="JT4" s="296"/>
      <c r="JU4" s="296"/>
      <c r="JV4" s="296"/>
      <c r="JW4" s="296"/>
      <c r="JX4" s="296"/>
      <c r="JY4" s="296"/>
      <c r="JZ4" s="296"/>
      <c r="KA4" s="296"/>
      <c r="KB4" s="296"/>
      <c r="KC4" s="296"/>
      <c r="KD4" s="296"/>
      <c r="KE4" s="296"/>
      <c r="KF4" s="296"/>
      <c r="KG4" s="296"/>
      <c r="KH4" s="296"/>
      <c r="KI4" s="296"/>
      <c r="KJ4" s="296"/>
      <c r="KK4" s="296"/>
      <c r="KL4" s="296"/>
      <c r="KM4" s="296"/>
      <c r="KN4" s="296"/>
      <c r="KO4" s="296"/>
      <c r="KP4" s="296"/>
      <c r="KQ4" s="296"/>
      <c r="KR4" s="296"/>
      <c r="KS4" s="296"/>
      <c r="KT4" s="296"/>
      <c r="KU4" s="296"/>
      <c r="KV4" s="296"/>
      <c r="KW4" s="296"/>
      <c r="KX4" s="296"/>
      <c r="KY4" s="296"/>
      <c r="KZ4" s="296"/>
      <c r="LA4" s="296"/>
      <c r="LB4" s="296"/>
      <c r="LC4" s="296"/>
      <c r="LD4" s="296"/>
      <c r="LE4" s="296"/>
      <c r="LF4" s="296"/>
      <c r="LG4" s="296"/>
      <c r="LH4" s="296"/>
      <c r="LI4" s="296"/>
      <c r="LJ4" s="296"/>
      <c r="LK4" s="296"/>
      <c r="LL4" s="296"/>
      <c r="LM4" s="296"/>
      <c r="LN4" s="296"/>
      <c r="LO4" s="296"/>
      <c r="LP4" s="296"/>
      <c r="LQ4" s="296"/>
      <c r="LR4" s="296"/>
      <c r="LS4" s="296"/>
      <c r="LT4" s="296"/>
      <c r="LU4" s="296"/>
      <c r="LV4" s="296"/>
      <c r="LW4" s="296"/>
      <c r="LX4" s="296"/>
      <c r="LY4" s="296"/>
      <c r="LZ4" s="296"/>
      <c r="MA4" s="296"/>
      <c r="MB4" s="296"/>
      <c r="MC4" s="296"/>
      <c r="MD4" s="296"/>
      <c r="ME4" s="296"/>
      <c r="MF4" s="296"/>
      <c r="MG4" s="296"/>
      <c r="MH4" s="296"/>
      <c r="MI4" s="296"/>
      <c r="MJ4" s="296"/>
      <c r="MK4" s="296"/>
      <c r="ML4" s="296"/>
      <c r="MM4" s="296"/>
      <c r="MN4" s="296"/>
      <c r="MO4" s="296"/>
      <c r="MP4" s="296"/>
      <c r="MQ4" s="296"/>
      <c r="MR4" s="296"/>
      <c r="MS4" s="296"/>
      <c r="MT4" s="296"/>
      <c r="MU4" s="296"/>
      <c r="MV4" s="296"/>
      <c r="MW4" s="296"/>
      <c r="MX4" s="296"/>
      <c r="MY4" s="296"/>
      <c r="MZ4" s="296"/>
      <c r="NA4" s="296"/>
      <c r="NB4" s="296"/>
      <c r="NC4" s="296"/>
      <c r="ND4" s="296"/>
      <c r="NE4" s="296"/>
      <c r="NF4" s="296"/>
      <c r="NG4" s="296"/>
      <c r="NH4" s="296"/>
      <c r="NI4" s="296"/>
      <c r="NJ4" s="296"/>
      <c r="NK4" s="296"/>
      <c r="NL4" s="296"/>
      <c r="NM4" s="296"/>
      <c r="NN4" s="296"/>
      <c r="NO4" s="296"/>
      <c r="NP4" s="296"/>
      <c r="NQ4" s="296"/>
      <c r="NR4" s="296"/>
      <c r="NS4" s="296"/>
      <c r="NT4" s="296"/>
      <c r="NU4" s="296"/>
      <c r="NV4" s="296"/>
      <c r="NW4" s="296"/>
      <c r="NX4" s="296"/>
      <c r="NY4" s="296"/>
      <c r="NZ4" s="296"/>
      <c r="OA4" s="296"/>
      <c r="OB4" s="296"/>
      <c r="OC4" s="296"/>
      <c r="OD4" s="296"/>
      <c r="OE4" s="296"/>
      <c r="OF4" s="296"/>
      <c r="OG4" s="296"/>
      <c r="OH4" s="296"/>
      <c r="OI4" s="296"/>
      <c r="OJ4" s="296"/>
      <c r="OK4" s="296"/>
      <c r="OL4" s="296"/>
      <c r="OM4" s="296"/>
      <c r="ON4" s="296"/>
      <c r="OO4" s="296"/>
      <c r="OP4" s="296"/>
      <c r="OQ4" s="296"/>
      <c r="OR4" s="296"/>
      <c r="OS4" s="296"/>
      <c r="OT4" s="296"/>
      <c r="OU4" s="296"/>
      <c r="OV4" s="296"/>
      <c r="OW4" s="296"/>
      <c r="OX4" s="296"/>
      <c r="OY4" s="296"/>
      <c r="OZ4" s="296"/>
      <c r="PA4" s="296"/>
      <c r="PB4" s="296"/>
      <c r="PC4" s="296"/>
      <c r="PD4" s="296"/>
      <c r="PE4" s="296"/>
      <c r="PF4" s="296"/>
      <c r="PG4" s="296"/>
      <c r="PH4" s="296"/>
      <c r="PI4" s="296"/>
      <c r="PJ4" s="296"/>
      <c r="PK4" s="296"/>
      <c r="PL4" s="296"/>
      <c r="PM4" s="296"/>
      <c r="PN4" s="296"/>
      <c r="PO4" s="296"/>
      <c r="PP4" s="296"/>
      <c r="PQ4" s="296"/>
      <c r="PR4" s="296"/>
      <c r="PS4" s="296"/>
      <c r="PT4" s="296"/>
      <c r="PU4" s="296"/>
      <c r="PV4" s="296"/>
      <c r="PW4" s="296"/>
      <c r="PX4" s="296"/>
      <c r="PY4" s="296"/>
      <c r="PZ4" s="296"/>
      <c r="QA4" s="296"/>
      <c r="QB4" s="296"/>
      <c r="QC4" s="296"/>
      <c r="QD4" s="296"/>
      <c r="QE4" s="296"/>
      <c r="QF4" s="296"/>
      <c r="QG4" s="296"/>
      <c r="QH4" s="296"/>
      <c r="QI4" s="296"/>
      <c r="QJ4" s="296"/>
      <c r="QK4" s="296"/>
      <c r="QL4" s="296"/>
      <c r="QM4" s="296"/>
      <c r="QN4" s="296"/>
      <c r="QO4" s="296"/>
      <c r="QP4" s="296"/>
      <c r="QQ4" s="296"/>
      <c r="QR4" s="296"/>
      <c r="QS4" s="296"/>
      <c r="QT4" s="296"/>
      <c r="QU4" s="296"/>
      <c r="QV4" s="296"/>
      <c r="QW4" s="296"/>
      <c r="QX4" s="296"/>
      <c r="QY4" s="296"/>
      <c r="QZ4" s="296"/>
      <c r="RA4" s="296"/>
      <c r="RB4" s="296"/>
      <c r="RC4" s="296"/>
      <c r="RD4" s="296"/>
      <c r="RE4" s="296"/>
      <c r="RF4" s="296"/>
      <c r="RG4" s="296"/>
      <c r="RH4" s="296"/>
      <c r="RI4" s="296"/>
      <c r="RJ4" s="296"/>
      <c r="RK4" s="296"/>
      <c r="RL4" s="296"/>
      <c r="RM4" s="296"/>
      <c r="RN4" s="296"/>
      <c r="RO4" s="296"/>
      <c r="RP4" s="296"/>
      <c r="RQ4" s="296"/>
      <c r="RR4" s="296"/>
      <c r="RS4" s="296"/>
      <c r="RT4" s="296"/>
      <c r="RU4" s="296"/>
      <c r="RV4" s="296"/>
      <c r="RW4" s="296"/>
      <c r="RX4" s="296"/>
      <c r="RY4" s="296"/>
      <c r="RZ4" s="296"/>
      <c r="SA4" s="296"/>
      <c r="SB4" s="296"/>
      <c r="SC4" s="296"/>
      <c r="SD4" s="296"/>
      <c r="SE4" s="296"/>
      <c r="SF4" s="296"/>
      <c r="SG4" s="296"/>
      <c r="SH4" s="296"/>
      <c r="SI4" s="296"/>
      <c r="SJ4" s="296"/>
      <c r="SK4" s="296"/>
      <c r="SL4" s="296"/>
      <c r="SM4" s="296"/>
      <c r="SN4" s="296"/>
      <c r="SO4" s="296"/>
      <c r="SP4" s="296"/>
      <c r="SQ4" s="296"/>
      <c r="SR4" s="296"/>
      <c r="SS4" s="296"/>
      <c r="ST4" s="296"/>
      <c r="SU4" s="296"/>
      <c r="SV4" s="296"/>
      <c r="SW4" s="296"/>
      <c r="SX4" s="296"/>
      <c r="SY4" s="296"/>
      <c r="SZ4" s="296"/>
      <c r="TA4" s="296"/>
      <c r="TB4" s="296"/>
      <c r="TC4" s="296"/>
      <c r="TD4" s="296"/>
      <c r="TE4" s="296"/>
      <c r="TF4" s="296"/>
      <c r="TG4" s="296"/>
      <c r="TH4" s="296"/>
      <c r="TI4" s="296"/>
      <c r="TJ4" s="296"/>
      <c r="TK4" s="296"/>
      <c r="TL4" s="296"/>
      <c r="TM4" s="296"/>
      <c r="TN4" s="296"/>
      <c r="TO4" s="296"/>
      <c r="TP4" s="296"/>
      <c r="TQ4" s="296"/>
      <c r="TR4" s="296"/>
      <c r="TS4" s="296"/>
      <c r="TT4" s="296"/>
      <c r="TU4" s="296"/>
      <c r="TV4" s="296"/>
      <c r="TW4" s="296"/>
      <c r="TX4" s="296"/>
      <c r="TY4" s="296"/>
      <c r="TZ4" s="296"/>
      <c r="UA4" s="296"/>
      <c r="UB4" s="296"/>
      <c r="UC4" s="296"/>
      <c r="UD4" s="296"/>
      <c r="UE4" s="296"/>
      <c r="UF4" s="296"/>
      <c r="UG4" s="296"/>
      <c r="UH4" s="296"/>
      <c r="UI4" s="296"/>
      <c r="UJ4" s="296"/>
      <c r="UK4" s="296"/>
      <c r="UL4" s="296"/>
      <c r="UM4" s="296"/>
      <c r="UN4" s="296"/>
      <c r="UO4" s="296"/>
      <c r="UP4" s="296"/>
      <c r="UQ4" s="296"/>
      <c r="UR4" s="296"/>
      <c r="US4" s="296"/>
      <c r="UT4" s="296"/>
      <c r="UU4" s="296"/>
      <c r="UV4" s="296"/>
      <c r="UW4" s="296"/>
      <c r="UX4" s="296"/>
      <c r="UY4" s="296"/>
      <c r="UZ4" s="296"/>
      <c r="VA4" s="296"/>
      <c r="VB4" s="296"/>
      <c r="VC4" s="296"/>
      <c r="VD4" s="296"/>
      <c r="VE4" s="296"/>
      <c r="VF4" s="296"/>
      <c r="VG4" s="296"/>
      <c r="VH4" s="296"/>
      <c r="VI4" s="296"/>
      <c r="VJ4" s="296"/>
      <c r="VK4" s="296"/>
      <c r="VL4" s="296"/>
      <c r="VM4" s="296"/>
      <c r="VN4" s="296"/>
      <c r="VO4" s="296"/>
      <c r="VP4" s="296"/>
      <c r="VQ4" s="296"/>
      <c r="VR4" s="296"/>
      <c r="VS4" s="296"/>
      <c r="VT4" s="296"/>
      <c r="VU4" s="296"/>
      <c r="VV4" s="296"/>
      <c r="VW4" s="296"/>
      <c r="VX4" s="296"/>
      <c r="VY4" s="296"/>
      <c r="VZ4" s="296"/>
      <c r="WA4" s="296"/>
      <c r="WB4" s="296"/>
      <c r="WC4" s="296"/>
      <c r="WD4" s="296"/>
      <c r="WE4" s="296"/>
      <c r="WF4" s="296"/>
      <c r="WG4" s="296"/>
      <c r="WH4" s="296"/>
      <c r="WI4" s="296"/>
      <c r="WJ4" s="296"/>
      <c r="WK4" s="296"/>
      <c r="WL4" s="296"/>
      <c r="WM4" s="296"/>
      <c r="WN4" s="296"/>
      <c r="WO4" s="296"/>
      <c r="WP4" s="296"/>
      <c r="WQ4" s="296"/>
      <c r="WR4" s="296"/>
      <c r="WS4" s="296"/>
      <c r="WT4" s="296"/>
      <c r="WU4" s="296"/>
      <c r="WV4" s="296"/>
      <c r="WW4" s="296"/>
      <c r="WX4" s="296"/>
      <c r="WY4" s="296"/>
      <c r="WZ4" s="296"/>
      <c r="XA4" s="296"/>
    </row>
    <row r="5" spans="1:702" ht="8.15" customHeight="1" x14ac:dyDescent="0.35">
      <c r="A5" s="156" t="s">
        <v>585</v>
      </c>
      <c r="B5" s="184">
        <v>6</v>
      </c>
      <c r="D5" s="412"/>
      <c r="I5" s="413"/>
      <c r="L5" s="432"/>
      <c r="M5" s="432"/>
      <c r="O5" s="413"/>
      <c r="P5" s="414"/>
      <c r="U5" s="445"/>
      <c r="W5" s="445"/>
      <c r="AQ5" s="431"/>
      <c r="AR5" s="445"/>
      <c r="AS5" s="445"/>
      <c r="AT5" s="445"/>
      <c r="DH5" s="296"/>
      <c r="ID5" s="296"/>
      <c r="IE5" s="296"/>
      <c r="IF5" s="296"/>
      <c r="IG5" s="296"/>
      <c r="IH5" s="296"/>
      <c r="II5" s="296"/>
      <c r="IJ5" s="296"/>
      <c r="IK5" s="296"/>
      <c r="IL5" s="296"/>
      <c r="IM5" s="296"/>
      <c r="IN5" s="296"/>
      <c r="IO5" s="296"/>
      <c r="IP5" s="296"/>
      <c r="IQ5" s="296"/>
      <c r="IR5" s="296"/>
      <c r="IS5" s="296"/>
      <c r="IT5" s="296"/>
      <c r="IU5" s="296"/>
      <c r="IV5" s="296"/>
      <c r="IW5" s="296"/>
      <c r="IX5" s="296"/>
      <c r="IY5" s="296"/>
      <c r="IZ5" s="296"/>
      <c r="JA5" s="296"/>
      <c r="JB5" s="296"/>
      <c r="JC5" s="296"/>
      <c r="JD5" s="296"/>
      <c r="JE5" s="296"/>
      <c r="JF5" s="296"/>
      <c r="JG5" s="296"/>
      <c r="JH5" s="296"/>
      <c r="JI5" s="296"/>
      <c r="JJ5" s="296"/>
      <c r="JK5" s="296"/>
      <c r="JL5" s="296"/>
      <c r="JM5" s="296"/>
      <c r="JN5" s="296"/>
      <c r="JO5" s="296"/>
      <c r="JP5" s="296"/>
      <c r="JQ5" s="296"/>
      <c r="JR5" s="296"/>
      <c r="JS5" s="296"/>
      <c r="JT5" s="296"/>
      <c r="JU5" s="296"/>
      <c r="JV5" s="296"/>
      <c r="JW5" s="296"/>
      <c r="JX5" s="296"/>
      <c r="JY5" s="296"/>
      <c r="JZ5" s="296"/>
      <c r="KA5" s="296"/>
      <c r="KB5" s="296"/>
      <c r="KC5" s="296"/>
      <c r="KD5" s="296"/>
      <c r="KE5" s="296"/>
      <c r="KF5" s="296"/>
      <c r="KG5" s="296"/>
      <c r="KH5" s="296"/>
      <c r="KI5" s="296"/>
      <c r="KJ5" s="296"/>
      <c r="KK5" s="296"/>
      <c r="KL5" s="296"/>
      <c r="KM5" s="296"/>
      <c r="KN5" s="296"/>
      <c r="KO5" s="296"/>
      <c r="KP5" s="296"/>
      <c r="KQ5" s="296"/>
      <c r="KR5" s="296"/>
      <c r="KS5" s="296"/>
      <c r="KT5" s="296"/>
      <c r="KU5" s="296"/>
      <c r="KV5" s="296"/>
      <c r="KW5" s="296"/>
      <c r="KX5" s="296"/>
      <c r="KY5" s="296"/>
      <c r="KZ5" s="296"/>
      <c r="LA5" s="296"/>
      <c r="LB5" s="296"/>
      <c r="LC5" s="296"/>
      <c r="LD5" s="296"/>
      <c r="LE5" s="296"/>
      <c r="LF5" s="296"/>
      <c r="LG5" s="296"/>
      <c r="LH5" s="296"/>
      <c r="LI5" s="296"/>
      <c r="LJ5" s="296"/>
      <c r="LK5" s="296"/>
      <c r="LL5" s="296"/>
      <c r="LM5" s="296"/>
      <c r="LN5" s="296"/>
      <c r="LO5" s="296"/>
      <c r="LP5" s="296"/>
      <c r="LQ5" s="296"/>
      <c r="LR5" s="296"/>
      <c r="LS5" s="296"/>
      <c r="LT5" s="296"/>
      <c r="LU5" s="296"/>
      <c r="LV5" s="296"/>
      <c r="LW5" s="296"/>
      <c r="LX5" s="296"/>
      <c r="LY5" s="296"/>
      <c r="LZ5" s="296"/>
      <c r="MA5" s="296"/>
      <c r="MB5" s="296"/>
      <c r="MC5" s="296"/>
      <c r="MD5" s="296"/>
      <c r="ME5" s="296"/>
      <c r="MF5" s="296"/>
      <c r="MG5" s="296"/>
      <c r="MH5" s="296"/>
      <c r="MI5" s="296"/>
      <c r="MJ5" s="296"/>
      <c r="MK5" s="296"/>
      <c r="ML5" s="296"/>
      <c r="MM5" s="296"/>
      <c r="MN5" s="296"/>
      <c r="MO5" s="296"/>
      <c r="MP5" s="296"/>
      <c r="MQ5" s="296"/>
      <c r="MR5" s="296"/>
      <c r="MS5" s="296"/>
      <c r="MT5" s="296"/>
      <c r="MU5" s="296"/>
      <c r="MV5" s="296"/>
      <c r="MW5" s="296"/>
      <c r="MX5" s="296"/>
      <c r="MY5" s="296"/>
      <c r="MZ5" s="296"/>
      <c r="NA5" s="296"/>
      <c r="NB5" s="296"/>
      <c r="NC5" s="296"/>
      <c r="ND5" s="296"/>
      <c r="NE5" s="296"/>
      <c r="NF5" s="296"/>
      <c r="NG5" s="296"/>
      <c r="NH5" s="296"/>
      <c r="NI5" s="296"/>
      <c r="NJ5" s="296"/>
      <c r="NK5" s="296"/>
      <c r="NL5" s="296"/>
      <c r="NM5" s="296"/>
      <c r="NN5" s="296"/>
      <c r="NO5" s="296"/>
      <c r="NP5" s="296"/>
      <c r="NQ5" s="296"/>
      <c r="NR5" s="296"/>
      <c r="NS5" s="296"/>
      <c r="NT5" s="296"/>
      <c r="NU5" s="296"/>
      <c r="NV5" s="296"/>
      <c r="NW5" s="296"/>
      <c r="NX5" s="296"/>
      <c r="NY5" s="296"/>
      <c r="NZ5" s="296"/>
      <c r="OA5" s="296"/>
      <c r="OB5" s="296"/>
      <c r="OC5" s="296"/>
      <c r="OD5" s="296"/>
      <c r="OE5" s="296"/>
      <c r="OF5" s="296"/>
      <c r="OG5" s="296"/>
      <c r="OH5" s="296"/>
      <c r="OI5" s="296"/>
      <c r="OJ5" s="296"/>
      <c r="OK5" s="296"/>
      <c r="OL5" s="296"/>
      <c r="OM5" s="296"/>
      <c r="ON5" s="296"/>
      <c r="OO5" s="296"/>
      <c r="OP5" s="296"/>
      <c r="OQ5" s="296"/>
      <c r="OR5" s="296"/>
      <c r="OS5" s="296"/>
      <c r="OT5" s="296"/>
      <c r="OU5" s="296"/>
      <c r="OV5" s="296"/>
      <c r="OW5" s="296"/>
      <c r="OX5" s="296"/>
      <c r="OY5" s="296"/>
      <c r="OZ5" s="296"/>
      <c r="PA5" s="296"/>
      <c r="PB5" s="296"/>
      <c r="PC5" s="296"/>
      <c r="PD5" s="296"/>
      <c r="PE5" s="296"/>
      <c r="PF5" s="296"/>
      <c r="PG5" s="296"/>
      <c r="PH5" s="296"/>
      <c r="PI5" s="296"/>
      <c r="PJ5" s="296"/>
      <c r="PK5" s="296"/>
      <c r="PL5" s="296"/>
      <c r="PM5" s="296"/>
      <c r="PN5" s="296"/>
      <c r="PO5" s="296"/>
      <c r="PP5" s="296"/>
      <c r="PQ5" s="296"/>
      <c r="PR5" s="296"/>
      <c r="PS5" s="296"/>
      <c r="PT5" s="296"/>
      <c r="PU5" s="296"/>
      <c r="PV5" s="296"/>
      <c r="PW5" s="296"/>
      <c r="PX5" s="296"/>
      <c r="PY5" s="296"/>
      <c r="PZ5" s="296"/>
      <c r="QA5" s="296"/>
      <c r="QB5" s="296"/>
      <c r="QC5" s="296"/>
      <c r="QD5" s="296"/>
      <c r="QE5" s="296"/>
      <c r="QF5" s="296"/>
      <c r="QG5" s="296"/>
      <c r="QH5" s="296"/>
      <c r="QI5" s="296"/>
      <c r="QJ5" s="296"/>
      <c r="QK5" s="296"/>
      <c r="QL5" s="296"/>
      <c r="QM5" s="296"/>
      <c r="QN5" s="296"/>
      <c r="QO5" s="296"/>
      <c r="QP5" s="296"/>
      <c r="QQ5" s="296"/>
      <c r="QR5" s="296"/>
      <c r="QS5" s="296"/>
      <c r="QT5" s="296"/>
      <c r="QU5" s="296"/>
      <c r="QV5" s="296"/>
      <c r="QW5" s="296"/>
      <c r="QX5" s="296"/>
      <c r="QY5" s="296"/>
      <c r="QZ5" s="296"/>
      <c r="RA5" s="296"/>
      <c r="RB5" s="296"/>
      <c r="RC5" s="296"/>
      <c r="RD5" s="296"/>
      <c r="RE5" s="296"/>
      <c r="RF5" s="296"/>
      <c r="RG5" s="296"/>
      <c r="RH5" s="296"/>
      <c r="RI5" s="296"/>
      <c r="RJ5" s="296"/>
      <c r="RK5" s="296"/>
      <c r="RL5" s="296"/>
      <c r="RM5" s="296"/>
      <c r="RN5" s="296"/>
      <c r="RO5" s="296"/>
      <c r="RP5" s="296"/>
      <c r="RQ5" s="296"/>
      <c r="RR5" s="296"/>
      <c r="RS5" s="296"/>
      <c r="RT5" s="296"/>
      <c r="RU5" s="296"/>
      <c r="RV5" s="296"/>
      <c r="RW5" s="296"/>
      <c r="RX5" s="296"/>
      <c r="RY5" s="296"/>
      <c r="RZ5" s="296"/>
      <c r="SA5" s="296"/>
      <c r="SB5" s="296"/>
      <c r="SC5" s="296"/>
      <c r="SD5" s="296"/>
      <c r="SE5" s="296"/>
      <c r="SF5" s="296"/>
      <c r="SG5" s="296"/>
      <c r="SH5" s="296"/>
      <c r="SI5" s="296"/>
      <c r="SJ5" s="296"/>
      <c r="SK5" s="296"/>
      <c r="SL5" s="296"/>
      <c r="SM5" s="296"/>
      <c r="SN5" s="296"/>
      <c r="SO5" s="296"/>
      <c r="SP5" s="296"/>
      <c r="SQ5" s="296"/>
      <c r="SR5" s="296"/>
      <c r="SS5" s="296"/>
      <c r="ST5" s="296"/>
      <c r="SU5" s="296"/>
      <c r="SV5" s="296"/>
      <c r="SW5" s="296"/>
      <c r="SX5" s="296"/>
      <c r="SY5" s="296"/>
      <c r="SZ5" s="296"/>
      <c r="TA5" s="296"/>
      <c r="TB5" s="296"/>
      <c r="TC5" s="296"/>
      <c r="TD5" s="296"/>
      <c r="TE5" s="296"/>
      <c r="TF5" s="296"/>
      <c r="TG5" s="296"/>
      <c r="TH5" s="296"/>
      <c r="TI5" s="296"/>
      <c r="TJ5" s="296"/>
      <c r="TK5" s="296"/>
      <c r="TL5" s="296"/>
      <c r="TM5" s="296"/>
      <c r="TN5" s="296"/>
      <c r="TO5" s="296"/>
      <c r="TP5" s="296"/>
      <c r="TQ5" s="296"/>
      <c r="TR5" s="296"/>
      <c r="TS5" s="296"/>
      <c r="TT5" s="296"/>
      <c r="TU5" s="296"/>
      <c r="TV5" s="296"/>
      <c r="TW5" s="296"/>
      <c r="TX5" s="296"/>
      <c r="TY5" s="296"/>
      <c r="TZ5" s="296"/>
      <c r="UA5" s="296"/>
      <c r="UB5" s="296"/>
      <c r="UC5" s="296"/>
      <c r="UD5" s="296"/>
      <c r="UE5" s="296"/>
      <c r="UF5" s="296"/>
      <c r="UG5" s="296"/>
      <c r="UH5" s="296"/>
      <c r="UI5" s="296"/>
      <c r="UJ5" s="296"/>
      <c r="UK5" s="296"/>
      <c r="UL5" s="296"/>
      <c r="UM5" s="296"/>
      <c r="UN5" s="296"/>
      <c r="UO5" s="296"/>
      <c r="UP5" s="296"/>
      <c r="UQ5" s="296"/>
      <c r="UR5" s="296"/>
      <c r="US5" s="296"/>
      <c r="UT5" s="296"/>
      <c r="UU5" s="296"/>
      <c r="UV5" s="296"/>
      <c r="UW5" s="296"/>
      <c r="UX5" s="296"/>
      <c r="UY5" s="296"/>
      <c r="UZ5" s="296"/>
      <c r="VA5" s="296"/>
      <c r="VB5" s="296"/>
      <c r="VC5" s="296"/>
      <c r="VD5" s="296"/>
      <c r="VE5" s="296"/>
      <c r="VF5" s="296"/>
      <c r="VG5" s="296"/>
      <c r="VH5" s="296"/>
      <c r="VI5" s="296"/>
      <c r="VJ5" s="296"/>
      <c r="VK5" s="296"/>
      <c r="VL5" s="296"/>
      <c r="VM5" s="296"/>
      <c r="VN5" s="296"/>
      <c r="VO5" s="296"/>
      <c r="VP5" s="296"/>
      <c r="VQ5" s="296"/>
      <c r="VR5" s="296"/>
      <c r="VS5" s="296"/>
      <c r="VT5" s="296"/>
      <c r="VU5" s="296"/>
      <c r="VV5" s="296"/>
      <c r="VW5" s="296"/>
      <c r="VX5" s="296"/>
      <c r="VY5" s="296"/>
      <c r="VZ5" s="296"/>
      <c r="WA5" s="296"/>
      <c r="WB5" s="296"/>
      <c r="WC5" s="296"/>
      <c r="WD5" s="296"/>
      <c r="WE5" s="296"/>
      <c r="WF5" s="296"/>
      <c r="WG5" s="296"/>
      <c r="WH5" s="296"/>
      <c r="WI5" s="296"/>
      <c r="WJ5" s="296"/>
      <c r="WK5" s="296"/>
      <c r="WL5" s="296"/>
      <c r="WM5" s="296"/>
      <c r="WN5" s="296"/>
      <c r="WO5" s="296"/>
      <c r="WP5" s="296"/>
      <c r="WQ5" s="296"/>
      <c r="WR5" s="296"/>
      <c r="WS5" s="296"/>
      <c r="WT5" s="296"/>
      <c r="WU5" s="296"/>
      <c r="WV5" s="296"/>
      <c r="WW5" s="296"/>
      <c r="WX5" s="296"/>
      <c r="WY5" s="296"/>
      <c r="WZ5" s="296"/>
      <c r="XA5" s="296"/>
    </row>
    <row r="6" spans="1:702" x14ac:dyDescent="0.35">
      <c r="A6" s="156" t="s">
        <v>586</v>
      </c>
      <c r="B6" s="157" t="str">
        <f>L11</f>
        <v>DUBAI - GRV</v>
      </c>
      <c r="D6" s="412"/>
      <c r="L6" s="433" t="s">
        <v>636</v>
      </c>
      <c r="M6" s="434" t="s">
        <v>733</v>
      </c>
      <c r="N6" s="830" t="s">
        <v>386</v>
      </c>
      <c r="O6" s="831"/>
      <c r="P6" s="434" t="s">
        <v>732</v>
      </c>
      <c r="Q6" s="830" t="s">
        <v>978</v>
      </c>
      <c r="R6" s="831"/>
      <c r="U6" s="446"/>
      <c r="V6" s="447"/>
      <c r="W6" s="445"/>
      <c r="AQ6" s="431"/>
      <c r="AR6" s="445"/>
      <c r="AS6" s="445"/>
      <c r="AT6" s="445"/>
      <c r="AY6" s="431"/>
      <c r="AZ6" s="431"/>
      <c r="BA6" s="431"/>
      <c r="BB6" s="431"/>
      <c r="BC6" s="431"/>
      <c r="DH6" s="296"/>
      <c r="ID6" s="296"/>
      <c r="IE6" s="296"/>
      <c r="IF6" s="296"/>
      <c r="IG6" s="296"/>
      <c r="IH6" s="296"/>
      <c r="II6" s="296"/>
      <c r="IJ6" s="296"/>
      <c r="IK6" s="296"/>
      <c r="IL6" s="296"/>
      <c r="IM6" s="296"/>
      <c r="IN6" s="296"/>
      <c r="IO6" s="296"/>
      <c r="IP6" s="296"/>
      <c r="IQ6" s="296"/>
      <c r="IR6" s="296"/>
      <c r="IS6" s="296"/>
      <c r="IT6" s="296"/>
      <c r="IU6" s="296"/>
      <c r="IV6" s="296"/>
      <c r="IW6" s="296"/>
      <c r="IX6" s="296"/>
      <c r="IY6" s="296"/>
      <c r="IZ6" s="296"/>
      <c r="JA6" s="296"/>
      <c r="JB6" s="296"/>
      <c r="JC6" s="296"/>
      <c r="JD6" s="296"/>
      <c r="JE6" s="296"/>
      <c r="JF6" s="296"/>
      <c r="JG6" s="296"/>
      <c r="JH6" s="296"/>
      <c r="JI6" s="296"/>
      <c r="JJ6" s="296"/>
      <c r="JK6" s="296"/>
      <c r="JL6" s="296"/>
      <c r="JM6" s="296"/>
      <c r="JN6" s="296"/>
      <c r="JO6" s="296"/>
      <c r="JP6" s="296"/>
      <c r="JQ6" s="296"/>
      <c r="JR6" s="296"/>
      <c r="JS6" s="296"/>
      <c r="JT6" s="296"/>
      <c r="JU6" s="296"/>
      <c r="JV6" s="296"/>
      <c r="JW6" s="296"/>
      <c r="JX6" s="296"/>
      <c r="JY6" s="296"/>
      <c r="JZ6" s="296"/>
      <c r="KA6" s="296"/>
      <c r="KB6" s="296"/>
      <c r="KC6" s="296"/>
      <c r="KD6" s="296"/>
      <c r="KE6" s="296"/>
      <c r="KF6" s="296"/>
      <c r="KG6" s="296"/>
      <c r="KH6" s="296"/>
      <c r="KI6" s="296"/>
      <c r="KJ6" s="296"/>
      <c r="KK6" s="296"/>
      <c r="KL6" s="296"/>
      <c r="KM6" s="296"/>
      <c r="KN6" s="296"/>
      <c r="KO6" s="296"/>
      <c r="KP6" s="296"/>
      <c r="KQ6" s="296"/>
      <c r="KR6" s="296"/>
      <c r="KS6" s="296"/>
      <c r="KT6" s="296"/>
      <c r="KU6" s="296"/>
      <c r="KV6" s="296"/>
      <c r="KW6" s="296"/>
      <c r="KX6" s="296"/>
      <c r="KY6" s="296"/>
      <c r="KZ6" s="296"/>
      <c r="LA6" s="296"/>
      <c r="LB6" s="296"/>
      <c r="LC6" s="296"/>
      <c r="LD6" s="296"/>
      <c r="LE6" s="296"/>
      <c r="LF6" s="296"/>
      <c r="LG6" s="296"/>
      <c r="LH6" s="296"/>
      <c r="LI6" s="296"/>
      <c r="LJ6" s="296"/>
      <c r="LK6" s="296"/>
      <c r="LL6" s="296"/>
      <c r="LM6" s="296"/>
      <c r="LN6" s="296"/>
      <c r="LO6" s="296"/>
      <c r="LP6" s="296"/>
      <c r="LQ6" s="296"/>
      <c r="LR6" s="296"/>
      <c r="LS6" s="296"/>
      <c r="LT6" s="296"/>
      <c r="LU6" s="296"/>
      <c r="LV6" s="296"/>
      <c r="LW6" s="296"/>
      <c r="LX6" s="296"/>
      <c r="LY6" s="296"/>
      <c r="LZ6" s="296"/>
      <c r="MA6" s="296"/>
      <c r="MB6" s="296"/>
      <c r="MC6" s="296"/>
      <c r="MD6" s="296"/>
      <c r="ME6" s="296"/>
      <c r="MF6" s="296"/>
      <c r="MG6" s="296"/>
      <c r="MH6" s="296"/>
      <c r="MI6" s="296"/>
      <c r="MJ6" s="296"/>
      <c r="MK6" s="296"/>
      <c r="ML6" s="296"/>
      <c r="MM6" s="296"/>
      <c r="MN6" s="296"/>
      <c r="MO6" s="296"/>
      <c r="MP6" s="296"/>
      <c r="MQ6" s="296"/>
      <c r="MR6" s="296"/>
      <c r="MS6" s="296"/>
      <c r="MT6" s="296"/>
      <c r="MU6" s="296"/>
      <c r="MV6" s="296"/>
      <c r="MW6" s="296"/>
      <c r="MX6" s="296"/>
      <c r="MY6" s="296"/>
      <c r="MZ6" s="296"/>
      <c r="NA6" s="296"/>
      <c r="NB6" s="296"/>
      <c r="NC6" s="296"/>
      <c r="ND6" s="296"/>
      <c r="NE6" s="296"/>
      <c r="NF6" s="296"/>
      <c r="NG6" s="296"/>
      <c r="NH6" s="296"/>
      <c r="NI6" s="296"/>
      <c r="NJ6" s="296"/>
      <c r="NK6" s="296"/>
      <c r="NL6" s="296"/>
      <c r="NM6" s="296"/>
      <c r="NN6" s="296"/>
      <c r="NO6" s="296"/>
      <c r="NP6" s="296"/>
      <c r="NQ6" s="296"/>
      <c r="NR6" s="296"/>
      <c r="NS6" s="296"/>
      <c r="NT6" s="296"/>
      <c r="NU6" s="296"/>
      <c r="NV6" s="296"/>
      <c r="NW6" s="296"/>
      <c r="NX6" s="296"/>
      <c r="NY6" s="296"/>
      <c r="NZ6" s="296"/>
      <c r="OA6" s="296"/>
      <c r="OB6" s="296"/>
      <c r="OC6" s="296"/>
      <c r="OD6" s="296"/>
      <c r="OE6" s="296"/>
      <c r="OF6" s="296"/>
      <c r="OG6" s="296"/>
      <c r="OH6" s="296"/>
      <c r="OI6" s="296"/>
      <c r="OJ6" s="296"/>
      <c r="OK6" s="296"/>
      <c r="OL6" s="296"/>
      <c r="OM6" s="296"/>
      <c r="ON6" s="296"/>
      <c r="OO6" s="296"/>
      <c r="OP6" s="296"/>
      <c r="OQ6" s="296"/>
      <c r="OR6" s="296"/>
      <c r="OS6" s="296"/>
      <c r="OT6" s="296"/>
      <c r="OU6" s="296"/>
      <c r="OV6" s="296"/>
      <c r="OW6" s="296"/>
      <c r="OX6" s="296"/>
      <c r="OY6" s="296"/>
      <c r="OZ6" s="296"/>
      <c r="PA6" s="296"/>
      <c r="PB6" s="296"/>
      <c r="PC6" s="296"/>
      <c r="PD6" s="296"/>
      <c r="PE6" s="296"/>
      <c r="PF6" s="296"/>
      <c r="PG6" s="296"/>
      <c r="PH6" s="296"/>
      <c r="PI6" s="296"/>
      <c r="PJ6" s="296"/>
      <c r="PK6" s="296"/>
      <c r="PL6" s="296"/>
      <c r="PM6" s="296"/>
      <c r="PN6" s="296"/>
      <c r="PO6" s="296"/>
      <c r="PP6" s="296"/>
      <c r="PQ6" s="296"/>
      <c r="PR6" s="296"/>
      <c r="PS6" s="296"/>
      <c r="PT6" s="296"/>
      <c r="PU6" s="296"/>
      <c r="PV6" s="296"/>
      <c r="PW6" s="296"/>
      <c r="PX6" s="296"/>
      <c r="PY6" s="296"/>
      <c r="PZ6" s="296"/>
      <c r="QA6" s="296"/>
      <c r="QB6" s="296"/>
      <c r="QC6" s="296"/>
      <c r="QD6" s="296"/>
      <c r="QE6" s="296"/>
      <c r="QF6" s="296"/>
      <c r="QG6" s="296"/>
      <c r="QH6" s="296"/>
      <c r="QI6" s="296"/>
      <c r="QJ6" s="296"/>
      <c r="QK6" s="296"/>
      <c r="QL6" s="296"/>
      <c r="QM6" s="296"/>
      <c r="QN6" s="296"/>
      <c r="QO6" s="296"/>
      <c r="QP6" s="296"/>
      <c r="QQ6" s="296"/>
      <c r="QR6" s="296"/>
      <c r="QS6" s="296"/>
      <c r="QT6" s="296"/>
      <c r="QU6" s="296"/>
      <c r="QV6" s="296"/>
      <c r="QW6" s="296"/>
      <c r="QX6" s="296"/>
      <c r="QY6" s="296"/>
      <c r="QZ6" s="296"/>
      <c r="RA6" s="296"/>
      <c r="RB6" s="296"/>
      <c r="RC6" s="296"/>
      <c r="RD6" s="296"/>
      <c r="RE6" s="296"/>
      <c r="RF6" s="296"/>
      <c r="RG6" s="296"/>
      <c r="RH6" s="296"/>
      <c r="RI6" s="296"/>
      <c r="RJ6" s="296"/>
      <c r="RK6" s="296"/>
      <c r="RL6" s="296"/>
      <c r="RM6" s="296"/>
      <c r="RN6" s="296"/>
      <c r="RO6" s="296"/>
      <c r="RP6" s="296"/>
      <c r="RQ6" s="296"/>
      <c r="RR6" s="296"/>
      <c r="RS6" s="296"/>
      <c r="RT6" s="296"/>
      <c r="RU6" s="296"/>
      <c r="RV6" s="296"/>
      <c r="RW6" s="296"/>
      <c r="RX6" s="296"/>
      <c r="RY6" s="296"/>
      <c r="RZ6" s="296"/>
      <c r="SA6" s="296"/>
      <c r="SB6" s="296"/>
      <c r="SC6" s="296"/>
      <c r="SD6" s="296"/>
      <c r="SE6" s="296"/>
      <c r="SF6" s="296"/>
      <c r="SG6" s="296"/>
      <c r="SH6" s="296"/>
      <c r="SI6" s="296"/>
      <c r="SJ6" s="296"/>
      <c r="SK6" s="296"/>
      <c r="SL6" s="296"/>
      <c r="SM6" s="296"/>
      <c r="SN6" s="296"/>
      <c r="SO6" s="296"/>
      <c r="SP6" s="296"/>
      <c r="SQ6" s="296"/>
      <c r="SR6" s="296"/>
      <c r="SS6" s="296"/>
      <c r="ST6" s="296"/>
      <c r="SU6" s="296"/>
      <c r="SV6" s="296"/>
      <c r="SW6" s="296"/>
      <c r="SX6" s="296"/>
      <c r="SY6" s="296"/>
      <c r="SZ6" s="296"/>
      <c r="TA6" s="296"/>
      <c r="TB6" s="296"/>
      <c r="TC6" s="296"/>
      <c r="TD6" s="296"/>
      <c r="TE6" s="296"/>
      <c r="TF6" s="296"/>
      <c r="TG6" s="296"/>
      <c r="TH6" s="296"/>
      <c r="TI6" s="296"/>
      <c r="TJ6" s="296"/>
      <c r="TK6" s="296"/>
      <c r="TL6" s="296"/>
      <c r="TM6" s="296"/>
      <c r="TN6" s="296"/>
      <c r="TO6" s="296"/>
      <c r="TP6" s="296"/>
      <c r="TQ6" s="296"/>
      <c r="TR6" s="296"/>
      <c r="TS6" s="296"/>
      <c r="TT6" s="296"/>
      <c r="TU6" s="296"/>
      <c r="TV6" s="296"/>
      <c r="TW6" s="296"/>
      <c r="TX6" s="296"/>
      <c r="TY6" s="296"/>
      <c r="TZ6" s="296"/>
      <c r="UA6" s="296"/>
      <c r="UB6" s="296"/>
      <c r="UC6" s="296"/>
      <c r="UD6" s="296"/>
      <c r="UE6" s="296"/>
      <c r="UF6" s="296"/>
      <c r="UG6" s="296"/>
      <c r="UH6" s="296"/>
      <c r="UI6" s="296"/>
      <c r="UJ6" s="296"/>
      <c r="UK6" s="296"/>
      <c r="UL6" s="296"/>
      <c r="UM6" s="296"/>
      <c r="UN6" s="296"/>
      <c r="UO6" s="296"/>
      <c r="UP6" s="296"/>
      <c r="UQ6" s="296"/>
      <c r="UR6" s="296"/>
      <c r="US6" s="296"/>
      <c r="UT6" s="296"/>
      <c r="UU6" s="296"/>
      <c r="UV6" s="296"/>
      <c r="UW6" s="296"/>
      <c r="UX6" s="296"/>
      <c r="UY6" s="296"/>
      <c r="UZ6" s="296"/>
      <c r="VA6" s="296"/>
      <c r="VB6" s="296"/>
      <c r="VC6" s="296"/>
      <c r="VD6" s="296"/>
      <c r="VE6" s="296"/>
      <c r="VF6" s="296"/>
      <c r="VG6" s="296"/>
      <c r="VH6" s="296"/>
      <c r="VI6" s="296"/>
      <c r="VJ6" s="296"/>
      <c r="VK6" s="296"/>
      <c r="VL6" s="296"/>
      <c r="VM6" s="296"/>
      <c r="VN6" s="296"/>
      <c r="VO6" s="296"/>
      <c r="VP6" s="296"/>
      <c r="VQ6" s="296"/>
      <c r="VR6" s="296"/>
      <c r="VS6" s="296"/>
      <c r="VT6" s="296"/>
      <c r="VU6" s="296"/>
      <c r="VV6" s="296"/>
      <c r="VW6" s="296"/>
      <c r="VX6" s="296"/>
      <c r="VY6" s="296"/>
      <c r="VZ6" s="296"/>
      <c r="WA6" s="296"/>
      <c r="WB6" s="296"/>
      <c r="WC6" s="296"/>
      <c r="WD6" s="296"/>
      <c r="WE6" s="296"/>
      <c r="WF6" s="296"/>
      <c r="WG6" s="296"/>
      <c r="WH6" s="296"/>
      <c r="WI6" s="296"/>
      <c r="WJ6" s="296"/>
      <c r="WK6" s="296"/>
      <c r="WL6" s="296"/>
      <c r="WM6" s="296"/>
      <c r="WN6" s="296"/>
      <c r="WO6" s="296"/>
      <c r="WP6" s="296"/>
      <c r="WQ6" s="296"/>
      <c r="WR6" s="296"/>
      <c r="WS6" s="296"/>
      <c r="WT6" s="296"/>
      <c r="WU6" s="296"/>
      <c r="WV6" s="296"/>
      <c r="WW6" s="296"/>
      <c r="WX6" s="296"/>
      <c r="WY6" s="296"/>
      <c r="WZ6" s="296"/>
      <c r="XA6" s="296"/>
      <c r="ZF6" s="296" t="s">
        <v>783</v>
      </c>
      <c r="ZQ6" s="296" t="s">
        <v>784</v>
      </c>
    </row>
    <row r="7" spans="1:702" x14ac:dyDescent="0.35">
      <c r="A7" s="156" t="s">
        <v>735</v>
      </c>
      <c r="B7" s="157">
        <f>IFERROR(VLOOKUP(B4,orderHistory[],2,FALSE),"")</f>
        <v>45450</v>
      </c>
      <c r="D7" s="414"/>
      <c r="E7" s="414"/>
      <c r="F7" s="414"/>
      <c r="G7" s="414"/>
      <c r="H7" s="414"/>
      <c r="I7" s="414"/>
      <c r="J7" s="414"/>
      <c r="K7" s="414"/>
      <c r="L7" s="432"/>
      <c r="M7" s="435"/>
      <c r="T7" s="296">
        <f ca="1">YEAR(TODAY())</f>
        <v>2024</v>
      </c>
      <c r="U7" s="296">
        <f ca="1">YEAR(TODAY())-1</f>
        <v>2023</v>
      </c>
      <c r="V7" s="414"/>
      <c r="W7" s="445"/>
      <c r="AR7" s="445"/>
      <c r="AS7" s="445"/>
      <c r="AT7" s="445"/>
      <c r="AY7" s="448"/>
      <c r="AZ7" s="414"/>
      <c r="BB7" s="448"/>
      <c r="BC7" s="414"/>
      <c r="DH7" s="296"/>
      <c r="ID7" s="296"/>
      <c r="IE7" s="296"/>
      <c r="IF7" s="296"/>
      <c r="IG7" s="296"/>
      <c r="IH7" s="296"/>
      <c r="II7" s="296"/>
      <c r="IJ7" s="296"/>
      <c r="IK7" s="296"/>
      <c r="IL7" s="296"/>
      <c r="IM7" s="296"/>
      <c r="IN7" s="296"/>
      <c r="IO7" s="296"/>
      <c r="IP7" s="296"/>
      <c r="IQ7" s="296"/>
      <c r="IR7" s="296"/>
      <c r="IS7" s="296"/>
      <c r="IT7" s="296"/>
      <c r="IU7" s="296"/>
      <c r="IV7" s="296"/>
      <c r="IW7" s="296"/>
      <c r="IX7" s="296"/>
      <c r="IY7" s="296"/>
      <c r="IZ7" s="296"/>
      <c r="JA7" s="296"/>
      <c r="JB7" s="296"/>
      <c r="JC7" s="296"/>
      <c r="JD7" s="296"/>
      <c r="JE7" s="296"/>
      <c r="JF7" s="296"/>
      <c r="JG7" s="296"/>
      <c r="JH7" s="296"/>
      <c r="JI7" s="296"/>
      <c r="JJ7" s="296"/>
      <c r="JK7" s="296"/>
      <c r="JL7" s="296"/>
      <c r="JM7" s="296"/>
      <c r="JN7" s="296"/>
      <c r="JO7" s="296"/>
      <c r="JP7" s="296"/>
      <c r="JQ7" s="296"/>
      <c r="JR7" s="296"/>
      <c r="JS7" s="296"/>
      <c r="JT7" s="296"/>
      <c r="JU7" s="296"/>
      <c r="JV7" s="296"/>
      <c r="JW7" s="296"/>
      <c r="JX7" s="296"/>
      <c r="JY7" s="296"/>
      <c r="JZ7" s="296"/>
      <c r="KA7" s="296"/>
      <c r="KB7" s="296"/>
      <c r="KC7" s="296"/>
      <c r="KD7" s="296"/>
      <c r="KE7" s="296"/>
      <c r="KF7" s="296"/>
      <c r="KG7" s="296"/>
      <c r="KH7" s="296"/>
      <c r="KI7" s="296"/>
      <c r="KJ7" s="296"/>
      <c r="KK7" s="296"/>
      <c r="KL7" s="296"/>
      <c r="KM7" s="296"/>
      <c r="KN7" s="296"/>
      <c r="KO7" s="296"/>
      <c r="KP7" s="296"/>
      <c r="KQ7" s="296"/>
      <c r="KR7" s="296"/>
      <c r="KS7" s="296"/>
      <c r="KT7" s="296"/>
      <c r="KU7" s="296"/>
      <c r="KV7" s="296"/>
      <c r="KW7" s="296"/>
      <c r="KX7" s="296"/>
      <c r="KY7" s="296"/>
      <c r="KZ7" s="296"/>
      <c r="LA7" s="296"/>
      <c r="LB7" s="296"/>
      <c r="LC7" s="296"/>
      <c r="LD7" s="296"/>
      <c r="LE7" s="296"/>
      <c r="LF7" s="296"/>
      <c r="LG7" s="296"/>
      <c r="LH7" s="296"/>
      <c r="LI7" s="296"/>
      <c r="LJ7" s="296"/>
      <c r="LK7" s="296"/>
      <c r="LL7" s="296"/>
      <c r="LM7" s="296"/>
      <c r="LN7" s="296"/>
      <c r="LO7" s="296"/>
      <c r="LP7" s="296"/>
      <c r="LQ7" s="296"/>
      <c r="LR7" s="296"/>
      <c r="LS7" s="296"/>
      <c r="LT7" s="296"/>
      <c r="LU7" s="296"/>
      <c r="LV7" s="296"/>
      <c r="LW7" s="296"/>
      <c r="LX7" s="296"/>
      <c r="LY7" s="296"/>
      <c r="LZ7" s="296"/>
      <c r="MA7" s="296"/>
      <c r="MB7" s="296"/>
      <c r="MC7" s="296"/>
      <c r="MD7" s="296"/>
      <c r="ME7" s="296"/>
      <c r="MF7" s="296"/>
      <c r="MG7" s="296"/>
      <c r="MH7" s="296"/>
      <c r="MI7" s="296"/>
      <c r="MJ7" s="296"/>
      <c r="MK7" s="296"/>
      <c r="ML7" s="296"/>
      <c r="MM7" s="296"/>
      <c r="MN7" s="296"/>
      <c r="MO7" s="296"/>
      <c r="MP7" s="296"/>
      <c r="MQ7" s="296"/>
      <c r="MR7" s="296"/>
      <c r="MS7" s="296"/>
      <c r="MT7" s="296"/>
      <c r="MU7" s="296"/>
      <c r="MV7" s="296"/>
      <c r="MW7" s="296"/>
      <c r="MX7" s="296"/>
      <c r="MY7" s="296"/>
      <c r="MZ7" s="296"/>
      <c r="NA7" s="296"/>
      <c r="NB7" s="296"/>
      <c r="NC7" s="296"/>
      <c r="ND7" s="296"/>
      <c r="NE7" s="296"/>
      <c r="NF7" s="296"/>
      <c r="NG7" s="296"/>
      <c r="NH7" s="296"/>
      <c r="NI7" s="296"/>
      <c r="NJ7" s="296"/>
      <c r="NK7" s="296"/>
      <c r="NL7" s="296"/>
      <c r="NM7" s="296"/>
      <c r="NN7" s="296"/>
      <c r="NO7" s="296"/>
      <c r="NP7" s="296"/>
      <c r="NQ7" s="296"/>
      <c r="NR7" s="296"/>
      <c r="NS7" s="296"/>
      <c r="NT7" s="296"/>
      <c r="NU7" s="296"/>
      <c r="NV7" s="296"/>
      <c r="NW7" s="296"/>
      <c r="NX7" s="296"/>
      <c r="NY7" s="296"/>
      <c r="NZ7" s="296"/>
      <c r="OA7" s="296"/>
      <c r="OB7" s="296"/>
      <c r="OC7" s="296"/>
      <c r="OD7" s="296"/>
      <c r="OE7" s="296"/>
      <c r="OF7" s="296"/>
      <c r="OG7" s="296"/>
      <c r="OH7" s="296"/>
      <c r="OI7" s="296"/>
      <c r="OJ7" s="296"/>
      <c r="OK7" s="296"/>
      <c r="OL7" s="296"/>
      <c r="OM7" s="296"/>
      <c r="ON7" s="296"/>
      <c r="OO7" s="296"/>
      <c r="OP7" s="296"/>
      <c r="OQ7" s="296"/>
      <c r="OR7" s="296"/>
      <c r="OS7" s="296"/>
      <c r="OT7" s="296"/>
      <c r="OU7" s="296"/>
      <c r="OV7" s="296"/>
      <c r="OW7" s="296"/>
      <c r="OX7" s="296"/>
      <c r="OY7" s="296"/>
      <c r="OZ7" s="296"/>
      <c r="PA7" s="296"/>
      <c r="PB7" s="296"/>
      <c r="PC7" s="296"/>
      <c r="PD7" s="296"/>
      <c r="PE7" s="296"/>
      <c r="PF7" s="296"/>
      <c r="PG7" s="296"/>
      <c r="PH7" s="296"/>
      <c r="PI7" s="296"/>
      <c r="PJ7" s="296"/>
      <c r="PK7" s="296"/>
      <c r="PL7" s="296"/>
      <c r="PM7" s="296"/>
      <c r="PN7" s="296"/>
      <c r="PO7" s="296"/>
      <c r="PP7" s="296"/>
      <c r="PQ7" s="296"/>
      <c r="PR7" s="296"/>
      <c r="PS7" s="296"/>
      <c r="PT7" s="296"/>
      <c r="PU7" s="296"/>
      <c r="PV7" s="296"/>
      <c r="PW7" s="296"/>
      <c r="PX7" s="296"/>
      <c r="PY7" s="296"/>
      <c r="PZ7" s="296"/>
      <c r="QA7" s="296"/>
      <c r="QB7" s="296"/>
      <c r="QC7" s="296"/>
      <c r="QD7" s="296"/>
      <c r="QE7" s="296"/>
      <c r="QF7" s="296"/>
      <c r="QG7" s="296"/>
      <c r="QH7" s="296"/>
      <c r="QI7" s="296"/>
      <c r="QJ7" s="296"/>
      <c r="QK7" s="296"/>
      <c r="QL7" s="296"/>
      <c r="QM7" s="296"/>
      <c r="QN7" s="296"/>
      <c r="QO7" s="296"/>
      <c r="QP7" s="296"/>
      <c r="QQ7" s="296"/>
      <c r="QR7" s="296"/>
      <c r="QS7" s="296"/>
      <c r="QT7" s="296"/>
      <c r="QU7" s="296"/>
      <c r="QV7" s="296"/>
      <c r="QW7" s="296"/>
      <c r="QX7" s="296"/>
      <c r="QY7" s="296"/>
      <c r="QZ7" s="296"/>
      <c r="RA7" s="296"/>
      <c r="RB7" s="296"/>
      <c r="RC7" s="296"/>
      <c r="RD7" s="296"/>
      <c r="RE7" s="296"/>
      <c r="RF7" s="296"/>
      <c r="RG7" s="296"/>
      <c r="RH7" s="296"/>
      <c r="RI7" s="296"/>
      <c r="RJ7" s="296"/>
      <c r="RK7" s="296"/>
      <c r="RL7" s="296"/>
      <c r="RM7" s="296"/>
      <c r="RN7" s="296"/>
      <c r="RO7" s="296"/>
      <c r="RP7" s="296"/>
      <c r="RQ7" s="296"/>
      <c r="RR7" s="296"/>
      <c r="RS7" s="296"/>
      <c r="RT7" s="296"/>
      <c r="RU7" s="296"/>
      <c r="RV7" s="296"/>
      <c r="RW7" s="296"/>
      <c r="RX7" s="296"/>
      <c r="RY7" s="296"/>
      <c r="RZ7" s="296"/>
      <c r="SA7" s="296"/>
      <c r="SB7" s="296"/>
      <c r="SC7" s="296"/>
      <c r="SD7" s="296"/>
      <c r="SE7" s="296"/>
      <c r="SF7" s="296"/>
      <c r="SG7" s="296"/>
      <c r="SH7" s="296"/>
      <c r="SI7" s="296"/>
      <c r="SJ7" s="296"/>
      <c r="SK7" s="296"/>
      <c r="SL7" s="296"/>
      <c r="SM7" s="296"/>
      <c r="SN7" s="296"/>
      <c r="SO7" s="296"/>
      <c r="SP7" s="296"/>
      <c r="SQ7" s="296"/>
      <c r="SR7" s="296"/>
      <c r="SS7" s="296"/>
      <c r="ST7" s="296"/>
      <c r="SU7" s="296"/>
      <c r="SV7" s="296"/>
      <c r="SW7" s="296"/>
      <c r="SX7" s="296"/>
      <c r="SY7" s="296"/>
      <c r="SZ7" s="296"/>
      <c r="TA7" s="296"/>
      <c r="TB7" s="296"/>
      <c r="TC7" s="296"/>
      <c r="TD7" s="296"/>
      <c r="TE7" s="296"/>
      <c r="TF7" s="296"/>
      <c r="TG7" s="296"/>
      <c r="TH7" s="296"/>
      <c r="TI7" s="296"/>
      <c r="TJ7" s="296"/>
      <c r="TK7" s="296"/>
      <c r="TL7" s="296"/>
      <c r="TM7" s="296"/>
      <c r="TN7" s="296"/>
      <c r="TO7" s="296"/>
      <c r="TP7" s="296"/>
      <c r="TQ7" s="296"/>
      <c r="TR7" s="296"/>
      <c r="TS7" s="296"/>
      <c r="TT7" s="296"/>
      <c r="TU7" s="296"/>
      <c r="TV7" s="296"/>
      <c r="TW7" s="296"/>
      <c r="TX7" s="296"/>
      <c r="TY7" s="296"/>
      <c r="TZ7" s="296"/>
      <c r="UA7" s="296"/>
      <c r="UB7" s="296"/>
      <c r="UC7" s="296"/>
      <c r="UD7" s="296"/>
      <c r="UE7" s="296"/>
      <c r="UF7" s="296"/>
      <c r="UG7" s="296"/>
      <c r="UH7" s="296"/>
      <c r="UI7" s="296"/>
      <c r="UJ7" s="296"/>
      <c r="UK7" s="296"/>
      <c r="UL7" s="296"/>
      <c r="UM7" s="296"/>
      <c r="UN7" s="296"/>
      <c r="UO7" s="296"/>
      <c r="UP7" s="296"/>
      <c r="UQ7" s="296"/>
      <c r="UR7" s="296"/>
      <c r="US7" s="296"/>
      <c r="UT7" s="296"/>
      <c r="UU7" s="296"/>
      <c r="UV7" s="296"/>
      <c r="UW7" s="296"/>
      <c r="UX7" s="296"/>
      <c r="UY7" s="296"/>
      <c r="UZ7" s="296"/>
      <c r="VA7" s="296"/>
      <c r="VB7" s="296"/>
      <c r="VC7" s="296"/>
      <c r="VD7" s="296"/>
      <c r="VE7" s="296"/>
      <c r="VF7" s="296"/>
      <c r="VG7" s="296"/>
      <c r="VH7" s="296"/>
      <c r="VI7" s="296"/>
      <c r="VJ7" s="296"/>
      <c r="VK7" s="296"/>
      <c r="VL7" s="296"/>
      <c r="VM7" s="296"/>
      <c r="VN7" s="296"/>
      <c r="VO7" s="296"/>
      <c r="VP7" s="296"/>
      <c r="VQ7" s="296"/>
      <c r="VR7" s="296"/>
      <c r="VS7" s="296"/>
      <c r="VT7" s="296"/>
      <c r="VU7" s="296"/>
      <c r="VV7" s="296"/>
      <c r="VW7" s="296"/>
      <c r="VX7" s="296"/>
      <c r="VY7" s="296"/>
      <c r="VZ7" s="296"/>
      <c r="WA7" s="296"/>
      <c r="WB7" s="296"/>
      <c r="WC7" s="296"/>
      <c r="WD7" s="296"/>
      <c r="WE7" s="296"/>
      <c r="WF7" s="296"/>
      <c r="WG7" s="296"/>
      <c r="WH7" s="296"/>
      <c r="WI7" s="296"/>
      <c r="WJ7" s="296"/>
      <c r="WK7" s="296"/>
      <c r="WL7" s="296"/>
      <c r="WM7" s="296"/>
      <c r="WN7" s="296"/>
      <c r="WO7" s="296"/>
      <c r="WP7" s="296"/>
      <c r="WQ7" s="296"/>
      <c r="WR7" s="296"/>
      <c r="WS7" s="296"/>
      <c r="WT7" s="296"/>
      <c r="WU7" s="296"/>
      <c r="WV7" s="296"/>
      <c r="WW7" s="296"/>
      <c r="WX7" s="296"/>
      <c r="WY7" s="296"/>
      <c r="WZ7" s="296"/>
      <c r="XA7" s="296"/>
    </row>
    <row r="8" spans="1:702" ht="15" customHeight="1" thickBot="1" x14ac:dyDescent="0.4">
      <c r="A8" s="156" t="s">
        <v>587</v>
      </c>
      <c r="B8" s="157">
        <v>0</v>
      </c>
      <c r="D8" s="415" t="s">
        <v>588</v>
      </c>
      <c r="F8" s="416" t="s">
        <v>633</v>
      </c>
      <c r="L8" s="436" t="s">
        <v>736</v>
      </c>
      <c r="U8" s="445"/>
      <c r="W8" s="445"/>
      <c r="AO8" s="413"/>
      <c r="AQ8" s="416"/>
      <c r="AR8" s="445"/>
      <c r="AS8" s="445"/>
      <c r="AT8" s="445"/>
      <c r="AW8" s="416"/>
      <c r="BE8" s="416"/>
      <c r="BO8" s="449"/>
      <c r="BX8" s="413" t="s">
        <v>589</v>
      </c>
      <c r="BZ8" s="416" t="s">
        <v>590</v>
      </c>
      <c r="CU8" s="416" t="s">
        <v>591</v>
      </c>
      <c r="DH8" s="296"/>
      <c r="EC8" s="413" t="s">
        <v>1093</v>
      </c>
      <c r="EE8" s="436" t="s">
        <v>932</v>
      </c>
      <c r="EF8" s="430"/>
      <c r="FD8" s="413"/>
      <c r="FF8" s="413"/>
      <c r="FG8" s="413"/>
      <c r="FH8" s="413"/>
      <c r="FI8" s="413"/>
      <c r="FJ8" s="413"/>
      <c r="FK8" s="413"/>
      <c r="FL8" s="413"/>
      <c r="FM8" s="413"/>
      <c r="FN8" s="413"/>
      <c r="FO8" s="413"/>
      <c r="FP8" s="413"/>
      <c r="FQ8" s="413"/>
      <c r="FR8" s="413"/>
      <c r="FS8" s="413"/>
      <c r="FT8" s="413"/>
      <c r="FU8" s="413"/>
      <c r="FV8" s="413"/>
      <c r="FW8" s="413"/>
      <c r="FX8" s="413"/>
      <c r="FY8" s="413"/>
      <c r="FZ8" s="413"/>
      <c r="GA8" s="413"/>
      <c r="GB8" s="413"/>
      <c r="GC8" s="413"/>
      <c r="GD8" s="413"/>
      <c r="GE8" s="413"/>
      <c r="GF8" s="413"/>
      <c r="GG8" s="413"/>
      <c r="GH8" s="413"/>
      <c r="GI8" s="413"/>
      <c r="GJ8" s="413"/>
      <c r="GK8" s="413"/>
      <c r="GL8" s="413"/>
      <c r="GM8" s="413"/>
      <c r="GN8" s="413"/>
      <c r="GO8" s="413"/>
      <c r="GP8" s="413"/>
      <c r="GQ8" s="413"/>
      <c r="GR8" s="413"/>
      <c r="GS8" s="413"/>
      <c r="GT8" s="413"/>
      <c r="GU8" s="413"/>
      <c r="GV8" s="413"/>
      <c r="GW8" s="413"/>
      <c r="GX8" s="413"/>
      <c r="GY8" s="413"/>
      <c r="GZ8" s="413"/>
      <c r="HA8" s="413"/>
      <c r="HB8" s="413"/>
      <c r="HC8" s="413"/>
      <c r="HD8" s="413"/>
      <c r="HE8" s="413"/>
      <c r="HF8" s="413"/>
      <c r="HG8" s="413"/>
      <c r="HH8" s="413"/>
      <c r="HI8" s="413"/>
      <c r="HJ8" s="413"/>
      <c r="HK8" s="413"/>
      <c r="HL8" s="413"/>
      <c r="HM8" s="413"/>
      <c r="HN8" s="413"/>
      <c r="HO8" s="413"/>
      <c r="HP8" s="413"/>
      <c r="HQ8" s="413"/>
      <c r="HR8" s="413"/>
      <c r="HS8" s="413"/>
      <c r="HT8" s="413"/>
      <c r="ID8" s="296"/>
      <c r="IE8" s="296"/>
      <c r="IF8" s="296"/>
      <c r="IG8" s="296"/>
      <c r="IH8" s="296"/>
      <c r="II8" s="296"/>
      <c r="IJ8" s="296"/>
      <c r="IK8" s="296"/>
      <c r="IL8" s="296"/>
      <c r="IM8" s="296"/>
      <c r="IN8" s="296"/>
      <c r="IO8" s="296"/>
      <c r="IP8" s="296"/>
      <c r="IQ8" s="296"/>
      <c r="IR8" s="296"/>
      <c r="IS8" s="296"/>
      <c r="IT8" s="296"/>
      <c r="IU8" s="296"/>
      <c r="IV8" s="296"/>
      <c r="IW8" s="296"/>
      <c r="IX8" s="296"/>
      <c r="IY8" s="296"/>
      <c r="IZ8" s="296"/>
      <c r="JA8" s="296"/>
      <c r="JB8" s="296"/>
      <c r="JC8" s="296"/>
      <c r="JD8" s="296"/>
      <c r="JE8" s="296"/>
      <c r="JF8" s="296"/>
      <c r="JG8" s="296"/>
      <c r="JH8" s="296"/>
      <c r="JI8" s="296"/>
      <c r="JJ8" s="296"/>
      <c r="JK8" s="296"/>
      <c r="JL8" s="296"/>
      <c r="JM8" s="296"/>
      <c r="JN8" s="296"/>
      <c r="JO8" s="296"/>
      <c r="JP8" s="296"/>
      <c r="JQ8" s="296"/>
      <c r="JR8" s="296"/>
      <c r="JS8" s="296"/>
      <c r="JT8" s="296"/>
      <c r="JU8" s="296"/>
      <c r="JV8" s="296"/>
      <c r="JW8" s="296"/>
      <c r="JX8" s="296"/>
      <c r="JY8" s="296"/>
      <c r="JZ8" s="296"/>
      <c r="KA8" s="296"/>
      <c r="KB8" s="296"/>
      <c r="KC8" s="296"/>
      <c r="KD8" s="296"/>
      <c r="KE8" s="296"/>
      <c r="KF8" s="296"/>
      <c r="KG8" s="296"/>
      <c r="KH8" s="296"/>
      <c r="KI8" s="296"/>
      <c r="KJ8" s="296"/>
      <c r="KK8" s="296"/>
      <c r="KL8" s="296"/>
      <c r="KM8" s="296"/>
      <c r="KN8" s="296"/>
      <c r="KO8" s="296"/>
      <c r="KP8" s="296"/>
      <c r="KQ8" s="296"/>
      <c r="KR8" s="296"/>
      <c r="KS8" s="296"/>
      <c r="KT8" s="296"/>
      <c r="KU8" s="296"/>
      <c r="KV8" s="296"/>
      <c r="KW8" s="296"/>
      <c r="KX8" s="296"/>
      <c r="KY8" s="296"/>
      <c r="KZ8" s="296"/>
      <c r="LA8" s="296"/>
      <c r="LB8" s="296"/>
      <c r="LC8" s="296"/>
      <c r="LD8" s="296"/>
      <c r="LE8" s="296"/>
      <c r="LF8" s="296"/>
      <c r="LG8" s="296"/>
      <c r="LH8" s="296"/>
      <c r="LI8" s="296"/>
      <c r="LJ8" s="296"/>
      <c r="LK8" s="296"/>
      <c r="LL8" s="296"/>
      <c r="LM8" s="296"/>
      <c r="LN8" s="296"/>
      <c r="LO8" s="296"/>
      <c r="LP8" s="296"/>
      <c r="LQ8" s="296"/>
      <c r="LR8" s="296"/>
      <c r="LS8" s="296"/>
      <c r="LT8" s="296"/>
      <c r="LU8" s="296"/>
      <c r="LV8" s="296"/>
      <c r="LW8" s="296"/>
      <c r="LX8" s="296"/>
      <c r="LY8" s="296"/>
      <c r="LZ8" s="296"/>
      <c r="MA8" s="296"/>
      <c r="MB8" s="296"/>
      <c r="MC8" s="296"/>
      <c r="MD8" s="296"/>
      <c r="ME8" s="296"/>
      <c r="MF8" s="296"/>
      <c r="MG8" s="296"/>
      <c r="MH8" s="296"/>
      <c r="MI8" s="296"/>
      <c r="MJ8" s="296"/>
      <c r="MK8" s="296"/>
      <c r="ML8" s="296"/>
      <c r="MM8" s="296"/>
      <c r="MN8" s="296"/>
      <c r="MO8" s="296"/>
      <c r="MP8" s="296"/>
      <c r="MQ8" s="296"/>
      <c r="MR8" s="296"/>
      <c r="MS8" s="296"/>
      <c r="MT8" s="296"/>
      <c r="MU8" s="296"/>
      <c r="MV8" s="296"/>
      <c r="MW8" s="296"/>
      <c r="MX8" s="296"/>
      <c r="MY8" s="296"/>
      <c r="MZ8" s="296"/>
      <c r="NA8" s="296"/>
      <c r="NB8" s="296"/>
      <c r="NC8" s="296"/>
      <c r="ND8" s="296"/>
      <c r="NE8" s="296"/>
      <c r="NF8" s="296"/>
      <c r="NG8" s="296"/>
      <c r="NH8" s="296"/>
      <c r="NI8" s="296"/>
      <c r="NJ8" s="296"/>
      <c r="NK8" s="296"/>
      <c r="NL8" s="296"/>
      <c r="NM8" s="296"/>
      <c r="NN8" s="296"/>
      <c r="NO8" s="296"/>
      <c r="NP8" s="296"/>
      <c r="NQ8" s="296"/>
      <c r="NR8" s="296"/>
      <c r="NS8" s="296"/>
      <c r="NT8" s="296"/>
      <c r="NU8" s="296"/>
      <c r="NV8" s="296"/>
      <c r="NW8" s="296"/>
      <c r="NX8" s="296"/>
      <c r="NY8" s="296"/>
      <c r="NZ8" s="296"/>
      <c r="OA8" s="296"/>
      <c r="OB8" s="296"/>
      <c r="OC8" s="296"/>
      <c r="OD8" s="296"/>
      <c r="OE8" s="296"/>
      <c r="OF8" s="296"/>
      <c r="OG8" s="296"/>
      <c r="OH8" s="296"/>
      <c r="OI8" s="296"/>
      <c r="OJ8" s="296"/>
      <c r="OK8" s="296"/>
      <c r="OL8" s="296"/>
      <c r="OM8" s="296"/>
      <c r="ON8" s="296"/>
      <c r="OO8" s="296"/>
      <c r="OP8" s="296"/>
      <c r="OQ8" s="296"/>
      <c r="OR8" s="296"/>
      <c r="OS8" s="296"/>
      <c r="OT8" s="296"/>
      <c r="OU8" s="296"/>
      <c r="OV8" s="296"/>
      <c r="OW8" s="296"/>
      <c r="OX8" s="296"/>
      <c r="OY8" s="296"/>
      <c r="OZ8" s="296"/>
      <c r="PA8" s="296"/>
      <c r="PB8" s="296"/>
      <c r="PC8" s="296"/>
      <c r="PD8" s="296"/>
      <c r="PE8" s="296"/>
      <c r="PF8" s="296"/>
      <c r="PG8" s="296"/>
      <c r="PH8" s="296"/>
      <c r="PI8" s="296"/>
      <c r="PJ8" s="296"/>
      <c r="PK8" s="296"/>
      <c r="PL8" s="296"/>
      <c r="PM8" s="296"/>
      <c r="PN8" s="296"/>
      <c r="PO8" s="296"/>
      <c r="PP8" s="296"/>
      <c r="PQ8" s="296"/>
      <c r="PR8" s="296"/>
      <c r="PS8" s="296"/>
      <c r="PT8" s="296"/>
      <c r="PU8" s="296"/>
      <c r="PV8" s="296"/>
      <c r="PW8" s="296"/>
      <c r="PX8" s="296"/>
      <c r="PY8" s="296"/>
      <c r="PZ8" s="296"/>
      <c r="QA8" s="296"/>
      <c r="QB8" s="296"/>
      <c r="QC8" s="296"/>
      <c r="QD8" s="296"/>
      <c r="QE8" s="296"/>
      <c r="QF8" s="296"/>
      <c r="QG8" s="296"/>
      <c r="QH8" s="296"/>
      <c r="QI8" s="296"/>
      <c r="QJ8" s="296"/>
      <c r="QK8" s="296"/>
      <c r="QL8" s="296"/>
      <c r="QM8" s="296"/>
      <c r="QN8" s="296"/>
      <c r="QO8" s="296"/>
      <c r="QP8" s="296"/>
      <c r="QQ8" s="296"/>
      <c r="QR8" s="296"/>
      <c r="QS8" s="296"/>
      <c r="QT8" s="296"/>
      <c r="QU8" s="296"/>
      <c r="QV8" s="296"/>
      <c r="QW8" s="296"/>
      <c r="QX8" s="296"/>
      <c r="QY8" s="296"/>
      <c r="QZ8" s="296"/>
      <c r="RA8" s="296"/>
      <c r="RB8" s="296"/>
      <c r="RC8" s="296"/>
      <c r="RD8" s="296"/>
      <c r="RE8" s="296"/>
      <c r="RF8" s="296"/>
      <c r="RG8" s="296"/>
      <c r="RH8" s="296"/>
      <c r="RI8" s="296"/>
      <c r="RJ8" s="296"/>
      <c r="RK8" s="296"/>
      <c r="RL8" s="296"/>
      <c r="RM8" s="296"/>
      <c r="RN8" s="296"/>
      <c r="RO8" s="296"/>
      <c r="RP8" s="296"/>
      <c r="RQ8" s="296"/>
      <c r="RR8" s="296"/>
      <c r="RS8" s="296"/>
      <c r="RT8" s="296"/>
      <c r="RU8" s="296"/>
      <c r="RV8" s="296"/>
      <c r="RW8" s="296"/>
      <c r="RX8" s="296"/>
      <c r="RY8" s="296"/>
      <c r="RZ8" s="296"/>
      <c r="SA8" s="296"/>
      <c r="SB8" s="296"/>
      <c r="SC8" s="296"/>
      <c r="SD8" s="296"/>
      <c r="SE8" s="296"/>
      <c r="SF8" s="296"/>
      <c r="SG8" s="296"/>
      <c r="SH8" s="296"/>
      <c r="SI8" s="296"/>
      <c r="SJ8" s="296"/>
      <c r="SK8" s="296"/>
      <c r="SL8" s="296"/>
      <c r="SM8" s="296"/>
      <c r="SN8" s="296"/>
      <c r="SO8" s="296"/>
      <c r="SP8" s="296"/>
      <c r="SQ8" s="296"/>
      <c r="SR8" s="296"/>
      <c r="SS8" s="296"/>
      <c r="ST8" s="296"/>
      <c r="SU8" s="296"/>
      <c r="SV8" s="296"/>
      <c r="SW8" s="296"/>
      <c r="SX8" s="296"/>
      <c r="SY8" s="296"/>
      <c r="SZ8" s="296"/>
      <c r="TA8" s="296"/>
      <c r="TB8" s="296"/>
      <c r="TC8" s="296"/>
      <c r="TD8" s="296"/>
      <c r="TE8" s="296"/>
      <c r="TF8" s="296"/>
      <c r="TG8" s="296"/>
      <c r="TH8" s="296"/>
      <c r="TI8" s="296"/>
      <c r="TJ8" s="296"/>
      <c r="TK8" s="296"/>
      <c r="TL8" s="296"/>
      <c r="TM8" s="296"/>
      <c r="TN8" s="296"/>
      <c r="TO8" s="296"/>
      <c r="TP8" s="296"/>
      <c r="TQ8" s="296"/>
      <c r="TR8" s="296"/>
      <c r="TS8" s="296"/>
      <c r="TT8" s="296"/>
      <c r="TU8" s="296"/>
      <c r="TV8" s="296"/>
      <c r="TW8" s="296"/>
      <c r="TX8" s="296"/>
      <c r="TY8" s="296"/>
      <c r="TZ8" s="296"/>
      <c r="UA8" s="296"/>
      <c r="UB8" s="296"/>
      <c r="UC8" s="296"/>
      <c r="UD8" s="296"/>
      <c r="UE8" s="296"/>
      <c r="UF8" s="296"/>
      <c r="UG8" s="296"/>
      <c r="UH8" s="296"/>
      <c r="UI8" s="296"/>
      <c r="UJ8" s="296"/>
      <c r="UK8" s="296"/>
      <c r="UL8" s="296"/>
      <c r="UM8" s="296"/>
      <c r="UN8" s="296"/>
      <c r="UO8" s="296"/>
      <c r="UP8" s="296"/>
      <c r="UQ8" s="296"/>
      <c r="UR8" s="296"/>
      <c r="US8" s="296"/>
      <c r="UT8" s="296"/>
      <c r="UU8" s="296"/>
      <c r="UV8" s="296"/>
      <c r="UW8" s="296"/>
      <c r="UX8" s="296"/>
      <c r="UY8" s="296"/>
      <c r="UZ8" s="296"/>
      <c r="VA8" s="296"/>
      <c r="VB8" s="296"/>
      <c r="VC8" s="296"/>
      <c r="VD8" s="296"/>
      <c r="VE8" s="296"/>
      <c r="VF8" s="296"/>
      <c r="VG8" s="296"/>
      <c r="VH8" s="296"/>
      <c r="VI8" s="296"/>
      <c r="VJ8" s="296"/>
      <c r="VK8" s="296"/>
      <c r="VL8" s="296"/>
      <c r="VM8" s="296"/>
      <c r="VN8" s="296"/>
      <c r="VO8" s="296"/>
      <c r="VP8" s="296"/>
      <c r="VQ8" s="296"/>
      <c r="VR8" s="296"/>
      <c r="VS8" s="296"/>
      <c r="VT8" s="296"/>
      <c r="VU8" s="296"/>
      <c r="VV8" s="296"/>
      <c r="VW8" s="296"/>
      <c r="VX8" s="296"/>
      <c r="VY8" s="296"/>
      <c r="VZ8" s="296"/>
      <c r="WA8" s="296"/>
      <c r="WB8" s="296"/>
      <c r="WC8" s="296"/>
      <c r="WD8" s="296"/>
      <c r="WE8" s="296"/>
      <c r="WF8" s="296"/>
      <c r="WG8" s="296"/>
      <c r="WH8" s="296"/>
      <c r="WI8" s="296"/>
      <c r="WJ8" s="296"/>
      <c r="WK8" s="296"/>
      <c r="WL8" s="296"/>
      <c r="WM8" s="296"/>
      <c r="WN8" s="296"/>
      <c r="WO8" s="296"/>
      <c r="WP8" s="296"/>
      <c r="WQ8" s="296"/>
      <c r="WR8" s="296"/>
      <c r="WS8" s="296"/>
      <c r="WT8" s="296"/>
      <c r="WU8" s="296"/>
      <c r="WV8" s="296"/>
      <c r="WW8" s="296"/>
      <c r="WX8" s="296"/>
      <c r="WY8" s="296"/>
      <c r="WZ8" s="296"/>
      <c r="XA8" s="296"/>
      <c r="ZF8" s="416" t="s">
        <v>634</v>
      </c>
      <c r="ZQ8" s="416" t="s">
        <v>782</v>
      </c>
    </row>
    <row r="9" spans="1:702" ht="15" customHeight="1" thickBot="1" x14ac:dyDescent="0.4">
      <c r="A9" s="156" t="s">
        <v>738</v>
      </c>
      <c r="B9" s="157"/>
      <c r="D9" s="417"/>
      <c r="F9" s="90"/>
      <c r="G9" s="98" t="s">
        <v>592</v>
      </c>
      <c r="H9" s="79"/>
      <c r="I9" s="79"/>
      <c r="J9" s="80"/>
      <c r="L9" s="108" t="s">
        <v>387</v>
      </c>
      <c r="M9" s="86" t="s">
        <v>380</v>
      </c>
      <c r="N9" s="86" t="s">
        <v>737</v>
      </c>
      <c r="O9" s="86" t="s">
        <v>386</v>
      </c>
      <c r="P9" s="86" t="s">
        <v>396</v>
      </c>
      <c r="Q9" s="86" t="s">
        <v>397</v>
      </c>
      <c r="R9" s="86" t="s">
        <v>968</v>
      </c>
      <c r="S9" s="86" t="s">
        <v>760</v>
      </c>
      <c r="T9" s="86" t="s">
        <v>400</v>
      </c>
      <c r="U9" s="152" t="s">
        <v>406</v>
      </c>
      <c r="V9" s="87" t="s">
        <v>395</v>
      </c>
      <c r="W9" s="75"/>
      <c r="AO9" s="456"/>
      <c r="AQ9" s="457"/>
      <c r="AR9" s="458"/>
      <c r="AS9" s="458"/>
      <c r="AT9" s="458"/>
      <c r="AU9" s="420"/>
      <c r="AW9" s="459"/>
      <c r="AX9" s="418"/>
      <c r="AY9" s="419"/>
      <c r="AZ9" s="419"/>
      <c r="BA9" s="419"/>
      <c r="BB9" s="419"/>
      <c r="BC9" s="419"/>
      <c r="BD9" s="460"/>
      <c r="BE9" s="459"/>
      <c r="BF9" s="419"/>
      <c r="BG9" s="461"/>
      <c r="BH9" s="419"/>
      <c r="BI9" s="419"/>
      <c r="BJ9" s="420"/>
      <c r="BO9" s="516"/>
      <c r="BX9" s="456" t="str">
        <f>IF($B$6="",$D$9,$B$6)</f>
        <v>DUBAI - GRV</v>
      </c>
      <c r="BZ9" s="100" t="s">
        <v>0</v>
      </c>
      <c r="CA9" s="101" t="s">
        <v>6</v>
      </c>
      <c r="CB9" s="101" t="s">
        <v>381</v>
      </c>
      <c r="CC9" s="102" t="s">
        <v>969</v>
      </c>
      <c r="CD9" s="123" t="s">
        <v>382</v>
      </c>
      <c r="CE9" s="101" t="s">
        <v>383</v>
      </c>
      <c r="CF9" s="101" t="s">
        <v>384</v>
      </c>
      <c r="CG9" s="101" t="s">
        <v>593</v>
      </c>
      <c r="CH9" s="101" t="s">
        <v>958</v>
      </c>
      <c r="CI9" s="101" t="s">
        <v>594</v>
      </c>
      <c r="CJ9" s="101" t="s">
        <v>15</v>
      </c>
      <c r="CK9" s="101" t="s">
        <v>16</v>
      </c>
      <c r="CL9" s="101" t="s">
        <v>23</v>
      </c>
      <c r="CM9" s="101" t="s">
        <v>1</v>
      </c>
      <c r="CN9" s="123" t="s">
        <v>379</v>
      </c>
      <c r="CO9" s="123" t="s">
        <v>5</v>
      </c>
      <c r="CP9" s="123" t="s">
        <v>595</v>
      </c>
      <c r="CQ9" s="102" t="s">
        <v>385</v>
      </c>
      <c r="CR9" s="102" t="s">
        <v>970</v>
      </c>
      <c r="CS9" s="103" t="s">
        <v>971</v>
      </c>
      <c r="CU9" s="105"/>
      <c r="CV9" s="79"/>
      <c r="CW9" s="79"/>
      <c r="CX9" s="79"/>
      <c r="CY9" s="79"/>
      <c r="CZ9" s="80"/>
      <c r="DH9" s="296"/>
      <c r="EC9" s="528"/>
      <c r="EE9" s="199" t="s">
        <v>933</v>
      </c>
      <c r="EF9" s="200" t="s">
        <v>611</v>
      </c>
      <c r="EG9" s="201" t="s">
        <v>1094</v>
      </c>
      <c r="EH9" s="201"/>
      <c r="EI9" s="201"/>
      <c r="EJ9" s="201"/>
      <c r="EK9" s="200"/>
      <c r="FF9" s="413"/>
      <c r="FG9" s="413"/>
      <c r="FH9" s="413"/>
      <c r="FI9" s="413"/>
      <c r="FJ9" s="413"/>
      <c r="FK9" s="413"/>
      <c r="FL9" s="413"/>
      <c r="FM9" s="413"/>
      <c r="FN9" s="413"/>
      <c r="FO9" s="413"/>
      <c r="FP9" s="413"/>
      <c r="FQ9" s="413"/>
      <c r="FR9" s="413"/>
      <c r="FS9" s="413"/>
      <c r="FT9" s="413"/>
      <c r="FU9" s="413"/>
      <c r="FV9" s="413"/>
      <c r="FW9" s="413"/>
      <c r="FX9" s="413"/>
      <c r="FY9" s="413"/>
      <c r="FZ9" s="413"/>
      <c r="GA9" s="413"/>
      <c r="GB9" s="413"/>
      <c r="GC9" s="413"/>
      <c r="GD9" s="413"/>
      <c r="GE9" s="413"/>
      <c r="GF9" s="413"/>
      <c r="GG9" s="413"/>
      <c r="GH9" s="413"/>
      <c r="GI9" s="413"/>
      <c r="GJ9" s="413"/>
      <c r="GK9" s="413"/>
      <c r="GL9" s="413"/>
      <c r="GM9" s="413"/>
      <c r="GN9" s="413"/>
      <c r="GO9" s="413"/>
      <c r="GP9" s="413"/>
      <c r="GQ9" s="413"/>
      <c r="GR9" s="413"/>
      <c r="GS9" s="413"/>
      <c r="GT9" s="413"/>
      <c r="GU9" s="413"/>
      <c r="GV9" s="413"/>
      <c r="GW9" s="413"/>
      <c r="GX9" s="413"/>
      <c r="GY9" s="413"/>
      <c r="GZ9" s="413"/>
      <c r="HA9" s="413"/>
      <c r="HB9" s="413"/>
      <c r="HC9" s="413"/>
      <c r="HD9" s="413"/>
      <c r="HE9" s="413"/>
      <c r="HF9" s="413"/>
      <c r="HG9" s="413"/>
      <c r="HH9" s="413"/>
      <c r="HI9" s="413"/>
      <c r="HJ9" s="413"/>
      <c r="HK9" s="413"/>
      <c r="HL9" s="413"/>
      <c r="HM9" s="413"/>
      <c r="HN9" s="413"/>
      <c r="HO9" s="413"/>
      <c r="HP9" s="413"/>
      <c r="HQ9" s="413"/>
      <c r="HR9" s="413"/>
      <c r="HS9" s="413"/>
      <c r="HT9" s="413"/>
      <c r="ZF9" s="832" t="s">
        <v>790</v>
      </c>
      <c r="ZG9" s="833"/>
      <c r="ZH9" s="833"/>
      <c r="ZI9" s="833"/>
      <c r="ZJ9" s="833"/>
      <c r="ZK9" s="833"/>
      <c r="ZL9" s="833"/>
      <c r="ZM9" s="833"/>
      <c r="ZN9" s="833"/>
      <c r="ZO9" s="834"/>
      <c r="ZQ9" s="832" t="s">
        <v>790</v>
      </c>
      <c r="ZR9" s="833"/>
      <c r="ZS9" s="833"/>
      <c r="ZT9" s="833"/>
      <c r="ZU9" s="833"/>
      <c r="ZV9" s="833"/>
      <c r="ZW9" s="833"/>
      <c r="ZX9" s="833"/>
      <c r="ZY9" s="833"/>
      <c r="ZZ9" s="834"/>
    </row>
    <row r="10" spans="1:702" ht="15" customHeight="1" x14ac:dyDescent="0.35">
      <c r="B10" s="151"/>
      <c r="D10" s="415" t="s">
        <v>596</v>
      </c>
      <c r="F10" s="91"/>
      <c r="G10" s="797" t="str">
        <f>IF($D$9="",IF($B$6="","Filter the orders by client or select an order from the list",INDEX(clientData[company_name1],MATCH($B$6,clientData[cod_cliente],0))),INDEX(clientData[company_name1],MATCH($D$9,clientData[cod_cliente],0)))</f>
        <v>GRV INTERNATIONAL FZE</v>
      </c>
      <c r="H10" s="798"/>
      <c r="I10" s="799"/>
      <c r="J10" s="82"/>
      <c r="L10" s="529" t="str">
        <f t="array" ref="L10">IFERROR(IF($D$9="",IF($D$11="",IF($D$13="",IF($D$15="",INDEX(orderHistory[customer],SMALL(MATCH(ROW(orderHistory[customer]),ROW(orderHistory[customer])),ROWS($A$15:A15)+$B$3)),INDEX(orderHistory[customer],SMALL(IF(ISNUMBER(MATCH(YEAR(orderHistory[invoice_date]),$D$15,0)),MATCH(ROW(orderHistory[customer]),ROW(orderHistory[customer])),""),ROWS($A$15:A15)+$B$3))),IF($D$15="",INDEX(orderHistory[customer],SMALL(IF(ISNUMBER(MATCH(orderHistory[order_type],$D$13,0)),MATCH(ROW(orderHistory[customer]),ROW(orderHistory[customer])),""),ROWS($A$15:A15)+$B$3)),INDEX(orderHistory[customer],SMALL(IF(ISNUMBER(MATCH(orderHistory[order_type],$D$13,0)*MATCH(YEAR(orderHistory[invoice_date]),$D$15,0)),MATCH(ROW(orderHistory[customer]),ROW(orderHistory[customer])),""),ROWS($A$15:A15)+$B$3)))),IF($D$13="",IF($D$15="",INDEX(orderHistory[customer],SMALL(IF(ISNUMBER(MATCH(orderHistory[status],$D$11,0)),MATCH(ROW(orderHistory[customer]),ROW(orderHistory[customer])),""),ROWS($A$15:A15)+$B$3)),INDEX(orderHistory[customer],SMALL(IF(ISNUMBER(MATCH(orderHistory[status],$D$11,0)*MATCH(YEAR(orderHistory[invoice_date]),$D$15,0)),MATCH(ROW(orderHistory[customer]),ROW(orderHistory[customer])),""),ROWS($A$15:A15)+$B$3))),IF($D$15="",INDEX(orderHistory[customer],SMALL(IF(ISNUMBER(MATCH(orderHistory[status],$D$11,0)*MATCH(orderHistory[order_type],$D$13,0)),MATCH(ROW(orderHistory[customer]),ROW(orderHistory[customer])),""),ROWS($A$15:A15)+$B$3)),INDEX(orderHistory[customer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customer],SMALL(IF(ISNUMBER(MATCH(orderHistory[customer],$D$9,0)),MATCH(ROW(orderHistory[customer]),ROW(orderHistory[customer])),""),ROWS($A$15:A15)+$B$3)),INDEX(orderHistory[customer],SMALL(IF(ISNUMBER(MATCH(orderHistory[customer],$D$9,0)*MATCH(YEAR(orderHistory[invoice_date]),$D$15,0)),MATCH(ROW(orderHistory[customer]),ROW(orderHistory[customer])),""),ROWS($A$15:A15)+$B$3))),IF($D$15="",INDEX(orderHistory[customer],SMALL(IF(ISNUMBER(MATCH(orderHistory[customer],$D$9,0)*MATCH(orderHistory[order_type],$D$13,0)),MATCH(ROW(orderHistory[customer]),ROW(orderHistory[customer])),""),ROWS($A$15:A15)+$B$3)),INDEX(orderHistory[customer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customer],SMALL(IF(ISNUMBER(MATCH(orderHistory[customer],$D$9,0)*MATCH(orderHistory[status],$D$11,0)),MATCH(ROW(orderHistory[customer]),ROW(orderHistory[customer])),""),ROWS($A$15:A15)+$B$3)),INDEX(orderHistory[customer],SMALL(IF(ISNUMBER(MATCH(orderHistory[customer],$D$9,0)*MATCH(orderHistory[status],$D$11,0)*MATCH(YEAR(orderHistory[invoice_date]),$D$15,0)),MATCH(ROW(orderHistory[customer]),ROW(orderHistory[customer])),""),ROWS($A$15:A15)+$B$3))),IF($D$15="",INDEX(orderHistory[customer],SMALL(IF(ISNUMBER(MATCH(orderHistory[customer],$D$9,0)*MATCH(orderHistory[status],$D$11,0)*MATCH(orderHistory[order_type],$D$13,0)),MATCH(ROW(orderHistory[customer]),ROW(orderHistory[customer])),""),ROWS($A$15:A15)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NEW CUSTOMER TURKEY</v>
      </c>
      <c r="M10" s="530">
        <f t="array" ref="M10">IFERROR(IF($D$9="",IF($D$11="",IF($D$13="",IF($D$15="",INDEX(orderHistory[order_no],SMALL(MATCH(ROW(orderHistory[customer]),ROW(orderHistory[customer])),ROWS($A$15:A15)+$B$3)),INDEX(orderHistory[order_no],SMALL(IF(ISNUMBER(MATCH(YEAR(orderHistory[invoice_date]),$D$15,0)),MATCH(ROW(orderHistory[customer]),ROW(orderHistory[customer])),""),ROWS($A$15:A15)+$B$3))),IF($D$15="",INDEX(orderHistory[order_no],SMALL(IF(ISNUMBER(MATCH(orderHistory[order_type],$D$13,0)),MATCH(ROW(orderHistory[customer]),ROW(orderHistory[customer])),""),ROWS($A$15:A15)+$B$3)),INDEX(orderHistory[order_no],SMALL(IF(ISNUMBER(MATCH(orderHistory[order_type],$D$13,0)*MATCH(YEAR(orderHistory[invoice_date]),$D$15,0)),MATCH(ROW(orderHistory[customer]),ROW(orderHistory[customer])),""),ROWS($A$15:A15)+$B$3)))),IF($D$13="",IF($D$15="",INDEX(orderHistory[order_no],SMALL(IF(ISNUMBER(MATCH(orderHistory[status],$D$11,0)),MATCH(ROW(orderHistory[customer]),ROW(orderHistory[customer])),""),ROWS($A$15:A15)+$B$3)),INDEX(orderHistory[order_no],SMALL(IF(ISNUMBER(MATCH(orderHistory[status],$D$11,0)*MATCH(YEAR(orderHistory[invoice_date]),$D$15,0)),MATCH(ROW(orderHistory[customer]),ROW(orderHistory[customer])),""),ROWS($A$15:A15)+$B$3))),IF($D$15="",INDEX(orderHistory[order_no],SMALL(IF(ISNUMBER(MATCH(orderHistory[status],$D$11,0)*MATCH(orderHistory[order_type],$D$13,0)),MATCH(ROW(orderHistory[customer]),ROW(orderHistory[customer])),""),ROWS($A$15:A15)+$B$3)),INDEX(orderHistory[order_no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no],SMALL(IF(ISNUMBER(MATCH(orderHistory[customer],$D$9,0)),MATCH(ROW(orderHistory[customer]),ROW(orderHistory[customer])),""),ROWS($A$15:A15)+$B$3)),INDEX(orderHistory[order_no],SMALL(IF(ISNUMBER(MATCH(orderHistory[customer],$D$9,0)*MATCH(YEAR(orderHistory[invoice_date]),$D$15,0)),MATCH(ROW(orderHistory[customer]),ROW(orderHistory[customer])),""),ROWS($A$15:A15)+$B$3))),IF($D$15="",INDEX(orderHistory[order_no],SMALL(IF(ISNUMBER(MATCH(orderHistory[customer],$D$9,0)*MATCH(orderHistory[order_type],$D$13,0)),MATCH(ROW(orderHistory[customer]),ROW(orderHistory[customer])),""),ROWS($A$15:A15)+$B$3)),INDEX(orderHistory[order_no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no],SMALL(IF(ISNUMBER(MATCH(orderHistory[customer],$D$9,0)*MATCH(orderHistory[status],$D$11,0)),MATCH(ROW(orderHistory[customer]),ROW(orderHistory[customer])),""),ROWS($A$15:A15)+$B$3)),INDEX(orderHistory[order_no],SMALL(IF(ISNUMBER(MATCH(orderHistory[customer],$D$9,0)*MATCH(orderHistory[status],$D$11,0)*MATCH(YEAR(orderHistory[invoice_date]),$D$15,0)),MATCH(ROW(orderHistory[customer]),ROW(orderHistory[customer])),""),ROWS($A$15:A15)+$B$3))),IF($D$15="",INDEX(orderHistory[order_no],SMALL(IF(ISNUMBER(MATCH(orderHistory[customer],$D$9,0)*MATCH(orderHistory[status],$D$11,0)*MATCH(orderHistory[order_type],$D$13,0)),MATCH(ROW(orderHistory[customer]),ROW(orderHistory[customer])),""),ROWS($A$15:A15)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66</v>
      </c>
      <c r="N10" s="531" t="str">
        <f t="array" ref="N10">IFERROR(IF($D$9="",IF($D$11="",IF($D$13="",IF($D$15="",INDEX(orderHistory[order_type],SMALL(MATCH(ROW(orderHistory[customer]),ROW(orderHistory[customer])),ROWS($A$15:A15)+$B$3)),INDEX(orderHistory[order_type],SMALL(IF(ISNUMBER(MATCH(YEAR(orderHistory[invoice_date]),$D$15,0)),MATCH(ROW(orderHistory[customer]),ROW(orderHistory[customer])),""),ROWS($A$15:A15)+$B$3))),IF($D$15="",INDEX(orderHistory[order_type],SMALL(IF(ISNUMBER(MATCH(orderHistory[order_type],$D$13,0)),MATCH(ROW(orderHistory[customer]),ROW(orderHistory[customer])),""),ROWS($A$15:A15)+$B$3)),INDEX(orderHistory[order_type],SMALL(IF(ISNUMBER(MATCH(orderHistory[order_type],$D$13,0)*MATCH(YEAR(orderHistory[invoice_date]),$D$15,0)),MATCH(ROW(orderHistory[customer]),ROW(orderHistory[customer])),""),ROWS($A$15:A15)+$B$3)))),IF($D$13="",IF($D$15="",INDEX(orderHistory[order_type],SMALL(IF(ISNUMBER(MATCH(orderHistory[status],$D$11,0)),MATCH(ROW(orderHistory[customer]),ROW(orderHistory[customer])),""),ROWS($A$15:A15)+$B$3)),INDEX(orderHistory[order_type],SMALL(IF(ISNUMBER(MATCH(orderHistory[status],$D$11,0)*MATCH(YEAR(orderHistory[invoice_date]),$D$15,0)),MATCH(ROW(orderHistory[customer]),ROW(orderHistory[customer])),""),ROWS($A$15:A15)+$B$3))),IF($D$15="",INDEX(orderHistory[order_type],SMALL(IF(ISNUMBER(MATCH(orderHistory[status],$D$11,0)*MATCH(orderHistory[order_type],$D$13,0)),MATCH(ROW(orderHistory[customer]),ROW(orderHistory[customer])),""),ROWS($A$15:A15)+$B$3)),INDEX(orderHistory[order_typ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type],SMALL(IF(ISNUMBER(MATCH(orderHistory[customer],$D$9,0)),MATCH(ROW(orderHistory[customer]),ROW(orderHistory[customer])),""),ROWS($A$15:A15)+$B$3)),INDEX(orderHistory[order_type],SMALL(IF(ISNUMBER(MATCH(orderHistory[customer],$D$9,0)*MATCH(YEAR(orderHistory[invoice_date]),$D$15,0)),MATCH(ROW(orderHistory[customer]),ROW(orderHistory[customer])),""),ROWS($A$15:A15)+$B$3))),IF($D$15="",INDEX(orderHistory[order_type],SMALL(IF(ISNUMBER(MATCH(orderHistory[customer],$D$9,0)*MATCH(orderHistory[order_type],$D$13,0)),MATCH(ROW(orderHistory[customer]),ROW(orderHistory[customer])),""),ROWS($A$15:A15)+$B$3)),INDEX(orderHistory[order_typ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type],SMALL(IF(ISNUMBER(MATCH(orderHistory[customer],$D$9,0)*MATCH(orderHistory[status],$D$11,0)),MATCH(ROW(orderHistory[customer]),ROW(orderHistory[customer])),""),ROWS($A$15:A15)+$B$3)),INDEX(orderHistory[order_type],SMALL(IF(ISNUMBER(MATCH(orderHistory[customer],$D$9,0)*MATCH(orderHistory[status],$D$11,0)*MATCH(YEAR(orderHistory[invoice_date]),$D$15,0)),MATCH(ROW(orderHistory[customer]),ROW(orderHistory[customer])),""),ROWS($A$15:A15)+$B$3))),IF($D$15="",INDEX(orderHistory[order_type],SMALL(IF(ISNUMBER(MATCH(orderHistory[customer],$D$9,0)*MATCH(orderHistory[status],$D$11,0)*MATCH(orderHistory[order_type],$D$13,0)),MATCH(ROW(orderHistory[customer]),ROW(orderHistory[customer])),""),ROWS($A$15:A15)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SAMPLING</v>
      </c>
      <c r="O10" s="532">
        <f t="array" ref="O10">IFERROR(IF($D$9="",IF($D$11="",IF($D$13="",IF($D$15="",INDEX(orderHistory[order_date],SMALL(MATCH(ROW(orderHistory[customer]),ROW(orderHistory[customer])),ROWS($A$15:A15)+$B$3)),INDEX(orderHistory[order_date],SMALL(IF(ISNUMBER(MATCH(YEAR(orderHistory[invoice_date]),$D$15,0)),MATCH(ROW(orderHistory[customer]),ROW(orderHistory[customer])),""),ROWS($A$15:A15)+$B$3))),IF($D$15="",INDEX(orderHistory[order_date],SMALL(IF(ISNUMBER(MATCH(orderHistory[order_type],$D$13,0)),MATCH(ROW(orderHistory[customer]),ROW(orderHistory[customer])),""),ROWS($A$15:A15)+$B$3)),INDEX(orderHistory[order_date],SMALL(IF(ISNUMBER(MATCH(orderHistory[order_type],$D$13,0)*MATCH(YEAR(orderHistory[invoice_date]),$D$15,0)),MATCH(ROW(orderHistory[customer]),ROW(orderHistory[customer])),""),ROWS($A$15:A15)+$B$3)))),IF($D$13="",IF($D$15="",INDEX(orderHistory[order_date],SMALL(IF(ISNUMBER(MATCH(orderHistory[status],$D$11,0)),MATCH(ROW(orderHistory[customer]),ROW(orderHistory[customer])),""),ROWS($A$15:A15)+$B$3)),INDEX(orderHistory[order_date],SMALL(IF(ISNUMBER(MATCH(orderHistory[status],$D$11,0)*MATCH(YEAR(orderHistory[invoice_date]),$D$15,0)),MATCH(ROW(orderHistory[customer]),ROW(orderHistory[customer])),""),ROWS($A$15:A15)+$B$3))),IF($D$15="",INDEX(orderHistory[order_date],SMALL(IF(ISNUMBER(MATCH(orderHistory[status],$D$11,0)*MATCH(orderHistory[order_type],$D$13,0)),MATCH(ROW(orderHistory[customer]),ROW(orderHistory[customer])),""),ROWS($A$15:A15)+$B$3)),INDEX(orderHistory[order_dat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date],SMALL(IF(ISNUMBER(MATCH(orderHistory[customer],$D$9,0)),MATCH(ROW(orderHistory[customer]),ROW(orderHistory[customer])),""),ROWS($A$15:A15)+$B$3)),INDEX(orderHistory[order_date],SMALL(IF(ISNUMBER(MATCH(orderHistory[customer],$D$9,0)*MATCH(YEAR(orderHistory[invoice_date]),$D$15,0)),MATCH(ROW(orderHistory[customer]),ROW(orderHistory[customer])),""),ROWS($A$15:A15)+$B$3))),IF($D$15="",INDEX(orderHistory[order_date],SMALL(IF(ISNUMBER(MATCH(orderHistory[customer],$D$9,0)*MATCH(orderHistory[order_type],$D$13,0)),MATCH(ROW(orderHistory[customer]),ROW(orderHistory[customer])),""),ROWS($A$15:A15)+$B$3)),INDEX(orderHistory[order_dat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date],SMALL(IF(ISNUMBER(MATCH(orderHistory[customer],$D$9,0)*MATCH(orderHistory[status],$D$11,0)),MATCH(ROW(orderHistory[customer]),ROW(orderHistory[customer])),""),ROWS($A$15:A15)+$B$3)),INDEX(orderHistory[order_date],SMALL(IF(ISNUMBER(MATCH(orderHistory[customer],$D$9,0)*MATCH(orderHistory[status],$D$11,0)*MATCH(YEAR(orderHistory[invoice_date]),$D$15,0)),MATCH(ROW(orderHistory[customer]),ROW(orderHistory[customer])),""),ROWS($A$15:A15)+$B$3))),IF($D$15="",INDEX(orderHistory[order_date],SMALL(IF(ISNUMBER(MATCH(orderHistory[customer],$D$9,0)*MATCH(orderHistory[status],$D$11,0)*MATCH(orderHistory[order_type],$D$13,0)),MATCH(ROW(orderHistory[customer]),ROW(orderHistory[customer])),""),ROWS($A$15:A15)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45476</v>
      </c>
      <c r="P10" s="533">
        <f t="array" ref="P10">IFERROR(IF($D$9="",IF($D$11="",IF($D$13="",IF($D$15="",INDEX(orderHistory[invoice_no],SMALL(MATCH(ROW(orderHistory[customer]),ROW(orderHistory[customer])),ROWS($A$15:A15)+$B$3)),INDEX(orderHistory[invoice_no],SMALL(IF(ISNUMBER(MATCH(YEAR(orderHistory[invoice_date]),$D$15,0)),MATCH(ROW(orderHistory[customer]),ROW(orderHistory[customer])),""),ROWS($A$15:A15)+$B$3))),IF($D$15="",INDEX(orderHistory[invoice_no],SMALL(IF(ISNUMBER(MATCH(orderHistory[order_type],$D$13,0)),MATCH(ROW(orderHistory[customer]),ROW(orderHistory[customer])),""),ROWS($A$15:A15)+$B$3)),INDEX(orderHistory[invoice_no],SMALL(IF(ISNUMBER(MATCH(orderHistory[order_type],$D$13,0)*MATCH(YEAR(orderHistory[invoice_date]),$D$15,0)),MATCH(ROW(orderHistory[customer]),ROW(orderHistory[customer])),""),ROWS($A$15:A15)+$B$3)))),IF($D$13="",IF($D$15="",INDEX(orderHistory[invoice_no],SMALL(IF(ISNUMBER(MATCH(orderHistory[status],$D$11,0)),MATCH(ROW(orderHistory[customer]),ROW(orderHistory[customer])),""),ROWS($A$15:A15)+$B$3)),INDEX(orderHistory[invoice_no],SMALL(IF(ISNUMBER(MATCH(orderHistory[status],$D$11,0)*MATCH(YEAR(orderHistory[invoice_date]),$D$15,0)),MATCH(ROW(orderHistory[customer]),ROW(orderHistory[customer])),""),ROWS($A$15:A15)+$B$3))),IF($D$15="",INDEX(orderHistory[invoice_no],SMALL(IF(ISNUMBER(MATCH(orderHistory[status],$D$11,0)*MATCH(orderHistory[order_type],$D$13,0)),MATCH(ROW(orderHistory[customer]),ROW(orderHistory[customer])),""),ROWS($A$15:A15)+$B$3)),INDEX(orderHistory[invoice_no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oice_no],SMALL(IF(ISNUMBER(MATCH(orderHistory[customer],$D$9,0)),MATCH(ROW(orderHistory[customer]),ROW(orderHistory[customer])),""),ROWS($A$15:A15)+$B$3)),INDEX(orderHistory[invoice_no],SMALL(IF(ISNUMBER(MATCH(orderHistory[customer],$D$9,0)*MATCH(YEAR(orderHistory[invoice_date]),$D$15,0)),MATCH(ROW(orderHistory[customer]),ROW(orderHistory[customer])),""),ROWS($A$15:A15)+$B$3))),IF($D$15="",INDEX(orderHistory[invoice_no],SMALL(IF(ISNUMBER(MATCH(orderHistory[customer],$D$9,0)*MATCH(orderHistory[order_type],$D$13,0)),MATCH(ROW(orderHistory[customer]),ROW(orderHistory[customer])),""),ROWS($A$15:A15)+$B$3)),INDEX(orderHistory[invoice_no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YEAR(orderHistory[invoice_date]),$D$15,0)),MATCH(ROW(orderHistory[customer]),ROW(orderHistory[customer])),""),ROWS($A$15:A15)+$B$3))),IF($D$15="",INDEX(orderHistory[invoice_no],SMALL(IF(ISNUMBER(MATCH(orderHistory[customer],$D$9,0)*MATCH(orderHistory[status],$D$11,0)*MATCH(orderHistory[order_type],$D$13,0)),MATCH(ROW(orderHistory[customer]),ROW(orderHistory[customer])),""),ROWS($A$15:A15)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Q10" s="534">
        <f t="array" ref="Q10">IFERROR(IF($D$9="",IF($D$11="",IF($D$13="",IF($D$15="",INDEX(orderHistory[invoice_date],SMALL(MATCH(ROW(orderHistory[customer]),ROW(orderHistory[customer])),ROWS($A$15:A15)+$B$3)),INDEX(orderHistory[invoice_date],SMALL(IF(ISNUMBER(MATCH(YEAR(orderHistory[invoice_date]),$D$15,0)),MATCH(ROW(orderHistory[customer]),ROW(orderHistory[customer])),""),ROWS($A$15:A15)+$B$3))),IF($D$15="",INDEX(orderHistory[invoice_date],SMALL(IF(ISNUMBER(MATCH(orderHistory[order_type],$D$13,0)),MATCH(ROW(orderHistory[customer]),ROW(orderHistory[customer])),""),ROWS($A$15:A15)+$B$3)),INDEX(orderHistory[invoice_date],SMALL(IF(ISNUMBER(MATCH(orderHistory[order_type],$D$13,0)*MATCH(YEAR(orderHistory[invoice_date]),$D$15,0)),MATCH(ROW(orderHistory[customer]),ROW(orderHistory[customer])),""),ROWS($A$15:A15)+$B$3)))),IF($D$13="",IF($D$15="",INDEX(orderHistory[invoice_date],SMALL(IF(ISNUMBER(MATCH(orderHistory[status],$D$11,0)),MATCH(ROW(orderHistory[customer]),ROW(orderHistory[customer])),""),ROWS($A$15:A15)+$B$3)),INDEX(orderHistory[invoice_date],SMALL(IF(ISNUMBER(MATCH(orderHistory[status],$D$11,0)*MATCH(YEAR(orderHistory[invoice_date]),$D$15,0)),MATCH(ROW(orderHistory[customer]),ROW(orderHistory[customer])),""),ROWS($A$15:A15)+$B$3))),IF($D$15="",INDEX(orderHistory[invoice_date],SMALL(IF(ISNUMBER(MATCH(orderHistory[status],$D$11,0)*MATCH(orderHistory[order_type],$D$13,0)),MATCH(ROW(orderHistory[customer]),ROW(orderHistory[customer])),""),ROWS($A$15:A15)+$B$3)),INDEX(orderHistory[invoice_dat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oice_date],SMALL(IF(ISNUMBER(MATCH(orderHistory[customer],$D$9,0)),MATCH(ROW(orderHistory[customer]),ROW(orderHistory[customer])),""),ROWS($A$15:A15)+$B$3)),INDEX(orderHistory[invoice_date],SMALL(IF(ISNUMBER(MATCH(orderHistory[customer],$D$9,0)*MATCH(YEAR(orderHistory[invoice_date]),$D$15,0)),MATCH(ROW(orderHistory[customer]),ROW(orderHistory[customer])),""),ROWS($A$15:A15)+$B$3))),IF($D$15="",INDEX(orderHistory[invoice_date],SMALL(IF(ISNUMBER(MATCH(orderHistory[customer],$D$9,0)*MATCH(orderHistory[order_type],$D$13,0)),MATCH(ROW(orderHistory[customer]),ROW(orderHistory[customer])),""),ROWS($A$15:A15)+$B$3)),INDEX(orderHistory[invoice_dat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YEAR(orderHistory[invoice_date]),$D$15,0)),MATCH(ROW(orderHistory[customer]),ROW(orderHistory[customer])),""),ROWS($A$15:A15)+$B$3))),IF($D$15="",INDEX(orderHistory[invoice_date],SMALL(IF(ISNUMBER(MATCH(orderHistory[customer],$D$9,0)*MATCH(orderHistory[status],$D$11,0)*MATCH(orderHistory[order_type],$D$13,0)),MATCH(ROW(orderHistory[customer]),ROW(orderHistory[customer])),""),ROWS($A$15:A15)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R10" s="535">
        <f t="array" ref="R10">IFERROR(IF($D$9="",IF($D$11="",IF($D$13="",IF($D$15="",INDEX(orderHistory[inv_amount],SMALL(MATCH(ROW(orderHistory[customer]),ROW(orderHistory[customer])),ROWS($A$15:A15)+$B$3)),INDEX(orderHistory[inv_amount],SMALL(IF(ISNUMBER(MATCH(YEAR(orderHistory[invoice_date]),$D$15,0)),MATCH(ROW(orderHistory[customer]),ROW(orderHistory[customer])),""),ROWS($A$15:A15)+$B$3))),IF($D$15="",INDEX(orderHistory[inv_amount],SMALL(IF(ISNUMBER(MATCH(orderHistory[order_type],$D$13,0)),MATCH(ROW(orderHistory[customer]),ROW(orderHistory[customer])),""),ROWS($A$15:A15)+$B$3)),INDEX(orderHistory[inv_amount],SMALL(IF(ISNUMBER(MATCH(orderHistory[order_type],$D$13,0)*MATCH(YEAR(orderHistory[invoice_date]),$D$15,0)),MATCH(ROW(orderHistory[customer]),ROW(orderHistory[customer])),""),ROWS($A$15:A15)+$B$3)))),IF($D$13="",IF($D$15="",INDEX(orderHistory[inv_amount],SMALL(IF(ISNUMBER(MATCH(orderHistory[status],$D$11,0)),MATCH(ROW(orderHistory[customer]),ROW(orderHistory[customer])),""),ROWS($A$15:A15)+$B$3)),INDEX(orderHistory[inv_amount],SMALL(IF(ISNUMBER(MATCH(orderHistory[status],$D$11,0)*MATCH(YEAR(orderHistory[invoice_date]),$D$15,0)),MATCH(ROW(orderHistory[customer]),ROW(orderHistory[customer])),""),ROWS($A$15:A15)+$B$3))),IF($D$15="",INDEX(orderHistory[inv_amount],SMALL(IF(ISNUMBER(MATCH(orderHistory[status],$D$11,0)*MATCH(orderHistory[order_type],$D$13,0)),MATCH(ROW(orderHistory[customer]),ROW(orderHistory[customer])),""),ROWS($A$15:A15)+$B$3)),INDEX(orderHistory[inv_amount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_amount],SMALL(IF(ISNUMBER(MATCH(orderHistory[customer],$D$9,0)),MATCH(ROW(orderHistory[customer]),ROW(orderHistory[customer])),""),ROWS($A$15:A15)+$B$3)),INDEX(orderHistory[inv_amount],SMALL(IF(ISNUMBER(MATCH(orderHistory[customer],$D$9,0)*MATCH(YEAR(orderHistory[invoice_date]),$D$15,0)),MATCH(ROW(orderHistory[customer]),ROW(orderHistory[customer])),""),ROWS($A$15:A15)+$B$3))),IF($D$15="",INDEX(orderHistory[inv_amount],SMALL(IF(ISNUMBER(MATCH(orderHistory[customer],$D$9,0)*MATCH(orderHistory[order_type],$D$13,0)),MATCH(ROW(orderHistory[customer]),ROW(orderHistory[customer])),""),ROWS($A$15:A15)+$B$3)),INDEX(orderHistory[inv_amount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_amount],SMALL(IF(ISNUMBER(MATCH(orderHistory[customer],$D$9,0)*MATCH(orderHistory[status],$D$11,0)),MATCH(ROW(orderHistory[customer]),ROW(orderHistory[customer])),""),ROWS($A$15:A15)+$B$3)),INDEX(orderHistory[inv_amount],SMALL(IF(ISNUMBER(MATCH(orderHistory[customer],$D$9,0)*MATCH(orderHistory[status],$D$11,0)*MATCH(YEAR(orderHistory[inv_amount]),$D$15,0)),MATCH(ROW(orderHistory[customer]),ROW(orderHistory[customer])),""),ROWS($A$15:A15)+$B$3))),IF($D$15="",INDEX(orderHistory[inv_amount],SMALL(IF(ISNUMBER(MATCH(orderHistory[customer],$D$9,0)*MATCH(orderHistory[status],$D$11,0)*MATCH(orderHistory[order_type],$D$13,0)),MATCH(ROW(orderHistory[customer]),ROW(orderHistory[customer])),""),ROWS($A$15:A15)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S10" s="536">
        <f>IF(R10="","",IF(N10="SUPPLY","",R10*7%))</f>
        <v>0</v>
      </c>
      <c r="T10" s="537" t="b">
        <f t="array" ref="T10">IFERROR(IF($D$9="",IF($D$11="",IF($D$13="",IF($D$15="",INDEX(orderHistory[payed],SMALL(MATCH(ROW(orderHistory[customer]),ROW(orderHistory[customer])),ROWS($A$15:A15)+$B$3)),INDEX(orderHistory[payed],SMALL(IF(ISNUMBER(MATCH(YEAR(orderHistory[invoice_date]),$D$15,0)),MATCH(ROW(orderHistory[customer]),ROW(orderHistory[customer])),""),ROWS($A$15:A15)+$B$3))),IF($D$15="",INDEX(orderHistory[payed],SMALL(IF(ISNUMBER(MATCH(orderHistory[order_type],$D$13,0)),MATCH(ROW(orderHistory[customer]),ROW(orderHistory[customer])),""),ROWS($A$15:A15)+$B$3)),INDEX(orderHistory[payed],SMALL(IF(ISNUMBER(MATCH(orderHistory[order_type],$D$13,0)*MATCH(YEAR(orderHistory[invoice_date]),$D$15,0)),MATCH(ROW(orderHistory[customer]),ROW(orderHistory[customer])),""),ROWS($A$15:A15)+$B$3)))),IF($D$13="",IF($D$15="",INDEX(orderHistory[payed],SMALL(IF(ISNUMBER(MATCH(orderHistory[status],$D$11,0)),MATCH(ROW(orderHistory[customer]),ROW(orderHistory[customer])),""),ROWS($A$15:A15)+$B$3)),INDEX(orderHistory[payed],SMALL(IF(ISNUMBER(MATCH(orderHistory[status],$D$11,0)*MATCH(YEAR(orderHistory[invoice_date]),$D$15,0)),MATCH(ROW(orderHistory[customer]),ROW(orderHistory[customer])),""),ROWS($A$15:A15)+$B$3))),IF($D$15="",INDEX(orderHistory[payed],SMALL(IF(ISNUMBER(MATCH(orderHistory[status],$D$11,0)*MATCH(orderHistory[order_type],$D$13,0)),MATCH(ROW(orderHistory[customer]),ROW(orderHistory[customer])),""),ROWS($A$15:A15)+$B$3)),INDEX(orderHistory[payed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payed],SMALL(IF(ISNUMBER(MATCH(orderHistory[customer],$D$9,0)),MATCH(ROW(orderHistory[customer]),ROW(orderHistory[customer])),""),ROWS($A$15:A15)+$B$3)),INDEX(orderHistory[payed],SMALL(IF(ISNUMBER(MATCH(orderHistory[customer],$D$9,0)*MATCH(YEAR(orderHistory[invoice_date]),$D$15,0)),MATCH(ROW(orderHistory[customer]),ROW(orderHistory[customer])),""),ROWS($A$15:A15)+$B$3))),IF($D$15="",INDEX(orderHistory[payed],SMALL(IF(ISNUMBER(MATCH(orderHistory[customer],$D$9,0)*MATCH(orderHistory[order_type],$D$13,0)),MATCH(ROW(orderHistory[customer]),ROW(orderHistory[customer])),""),ROWS($A$15:A15)+$B$3)),INDEX(orderHistory[payed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payed],SMALL(IF(ISNUMBER(MATCH(orderHistory[customer],$D$9,0)*MATCH(orderHistory[status],$D$11,0)),MATCH(ROW(orderHistory[customer]),ROW(orderHistory[customer])),""),ROWS($A$15:A15)+$B$3)),INDEX(orderHistory[payed],SMALL(IF(ISNUMBER(MATCH(orderHistory[customer],$D$9,0)*MATCH(orderHistory[status],$D$11,0)*MATCH(YEAR(orderHistory[payed]),$D$15,0)),MATCH(ROW(orderHistory[customer]),ROW(orderHistory[customer])),""),ROWS($A$15:A15)+$B$3))),IF($D$15="",INDEX(orderHistory[payed],SMALL(IF(ISNUMBER(MATCH(orderHistory[customer],$D$9,0)*MATCH(orderHistory[status],$D$11,0)*MATCH(orderHistory[order_type],$D$13,0)),MATCH(ROW(orderHistory[customer]),ROW(orderHistory[customer])),""),ROWS($A$15:A15)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1</v>
      </c>
      <c r="U10" s="531" t="str">
        <f t="array" ref="U10">IFERROR(IF($D$9="",IF($D$11="",IF($D$13="",IF($D$15="",INDEX(orderHistory[shipping_method],SMALL(MATCH(ROW(orderHistory[customer]),ROW(orderHistory[customer])),ROWS($A$15:A15)+$B$3)),INDEX(orderHistory[shipping_method],SMALL(IF(ISNUMBER(MATCH(YEAR(orderHistory[invoice_date]),$D$15,0)),MATCH(ROW(orderHistory[customer]),ROW(orderHistory[customer])),""),ROWS($A$15:A15)+$B$3))),IF($D$15="",INDEX(orderHistory[shipping_method],SMALL(IF(ISNUMBER(MATCH(orderHistory[order_type],$D$13,0)),MATCH(ROW(orderHistory[customer]),ROW(orderHistory[customer])),""),ROWS($A$15:A15)+$B$3)),INDEX(orderHistory[shipping_method],SMALL(IF(ISNUMBER(MATCH(orderHistory[order_type],$D$13,0)*MATCH(YEAR(orderHistory[invoice_date]),$D$15,0)),MATCH(ROW(orderHistory[customer]),ROW(orderHistory[customer])),""),ROWS($A$15:A15)+$B$3)))),IF($D$13="",IF($D$15="",INDEX(orderHistory[shipping_method],SMALL(IF(ISNUMBER(MATCH(orderHistory[status],$D$11,0)),MATCH(ROW(orderHistory[customer]),ROW(orderHistory[customer])),""),ROWS($A$15:A15)+$B$3)),INDEX(orderHistory[shipping_method],SMALL(IF(ISNUMBER(MATCH(orderHistory[status],$D$11,0)*MATCH(YEAR(orderHistory[invoice_date]),$D$15,0)),MATCH(ROW(orderHistory[customer]),ROW(orderHistory[customer])),""),ROWS($A$15:A15)+$B$3))),IF($D$15="",INDEX(orderHistory[shipping_method],SMALL(IF(ISNUMBER(MATCH(orderHistory[status],$D$11,0)*MATCH(orderHistory[order_type],$D$13,0)),MATCH(ROW(orderHistory[customer]),ROW(orderHistory[customer])),""),ROWS($A$15:A15)+$B$3)),INDEX(orderHistory[shipping_method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shipping_method],SMALL(IF(ISNUMBER(MATCH(orderHistory[customer],$D$9,0)),MATCH(ROW(orderHistory[customer]),ROW(orderHistory[customer])),""),ROWS($A$15:A15)+$B$3)),INDEX(orderHistory[shipping_method],SMALL(IF(ISNUMBER(MATCH(orderHistory[customer],$D$9,0)*MATCH(YEAR(orderHistory[invoice_date]),$D$15,0)),MATCH(ROW(orderHistory[customer]),ROW(orderHistory[customer])),""),ROWS($A$15:A15)+$B$3))),IF($D$15="",INDEX(orderHistory[shipping_method],SMALL(IF(ISNUMBER(MATCH(orderHistory[customer],$D$9,0)*MATCH(orderHistory[order_type],$D$13,0)),MATCH(ROW(orderHistory[customer]),ROW(orderHistory[customer])),""),ROWS($A$15:A15)+$B$3)),INDEX(orderHistory[shipping_method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shipping_method],SMALL(IF(ISNUMBER(MATCH(orderHistory[customer],$D$9,0)*MATCH(orderHistory[status],$D$11,0)),MATCH(ROW(orderHistory[customer]),ROW(orderHistory[customer])),""),ROWS($A$15:A15)+$B$3)),INDEX(orderHistory[shipping_method],SMALL(IF(ISNUMBER(MATCH(orderHistory[customer],$D$9,0)*MATCH(orderHistory[status],$D$11,0)*MATCH(YEAR(orderHistory[shipping_method]),$D$15,0)),MATCH(ROW(orderHistory[customer]),ROW(orderHistory[customer])),""),ROWS($A$15:A15)+$B$3))),IF($D$15="",INDEX(orderHistory[shipping_method],SMALL(IF(ISNUMBER(MATCH(orderHistory[customer],$D$9,0)*MATCH(orderHistory[status],$D$11,0)*MATCH(orderHistory[order_type],$D$13,0)),MATCH(ROW(orderHistory[customer]),ROW(orderHistory[customer])),""),ROWS($A$15:A15)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BY ROAD</v>
      </c>
      <c r="V10" s="538" t="str">
        <f t="array" ref="V10">IFERROR(IF($D$9="",IF($D$11="",IF($D$13="",IF($D$15="",INDEX(orderHistory[status],SMALL(MATCH(ROW(orderHistory[customer]),ROW(orderHistory[customer])),ROWS($A$15:A15)+$B$3)),INDEX(orderHistory[status],SMALL(IF(ISNUMBER(MATCH(YEAR(orderHistory[invoice_date]),$D$15,0)),MATCH(ROW(orderHistory[customer]),ROW(orderHistory[customer])),""),ROWS($A$15:A15)+$B$3))),IF($D$15="",INDEX(orderHistory[status],SMALL(IF(ISNUMBER(MATCH(orderHistory[order_type],$D$13,0)),MATCH(ROW(orderHistory[customer]),ROW(orderHistory[customer])),""),ROWS($A$15:A15)+$B$3)),INDEX(orderHistory[status],SMALL(IF(ISNUMBER(MATCH(orderHistory[order_type],$D$13,0)*MATCH(YEAR(orderHistory[invoice_date]),$D$15,0)),MATCH(ROW(orderHistory[customer]),ROW(orderHistory[customer])),""),ROWS($A$15:A15)+$B$3)))),IF($D$13="",IF($D$15="",INDEX(orderHistory[status],SMALL(IF(ISNUMBER(MATCH(orderHistory[status],$D$11,0)),MATCH(ROW(orderHistory[customer]),ROW(orderHistory[customer])),""),ROWS($A$15:A15)+$B$3)),INDEX(orderHistory[status],SMALL(IF(ISNUMBER(MATCH(orderHistory[status],$D$11,0)*MATCH(YEAR(orderHistory[invoice_date]),$D$15,0)),MATCH(ROW(orderHistory[customer]),ROW(orderHistory[customer])),""),ROWS($A$15:A15)+$B$3))),IF($D$15="",INDEX(orderHistory[status],SMALL(IF(ISNUMBER(MATCH(orderHistory[status],$D$11,0)*MATCH(orderHistory[order_type],$D$13,0)),MATCH(ROW(orderHistory[customer]),ROW(orderHistory[customer])),""),ROWS($A$15:A15)+$B$3)),INDEX(orderHistory[status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status],SMALL(IF(ISNUMBER(MATCH(orderHistory[customer],$D$9,0)),MATCH(ROW(orderHistory[customer]),ROW(orderHistory[customer])),""),ROWS($A$15:A15)+$B$3)),INDEX(orderHistory[status],SMALL(IF(ISNUMBER(MATCH(orderHistory[customer],$D$9,0)*MATCH(YEAR(orderHistory[invoice_date]),$D$15,0)),MATCH(ROW(orderHistory[customer]),ROW(orderHistory[customer])),""),ROWS($A$15:A15)+$B$3))),IF($D$15="",INDEX(orderHistory[status],SMALL(IF(ISNUMBER(MATCH(orderHistory[customer],$D$9,0)*MATCH(orderHistory[order_type],$D$13,0)),MATCH(ROW(orderHistory[customer]),ROW(orderHistory[customer])),""),ROWS($A$15:A15)+$B$3)),INDEX(orderHistory[status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status],SMALL(IF(ISNUMBER(MATCH(orderHistory[customer],$D$9,0)*MATCH(orderHistory[status],$D$11,0)),MATCH(ROW(orderHistory[customer]),ROW(orderHistory[customer])),""),ROWS($A$15:A15)+$B$3)),INDEX(orderHistory[status],SMALL(IF(ISNUMBER(MATCH(orderHistory[customer],$D$9,0)*MATCH(orderHistory[status],$D$11,0)*MATCH(YEAR(orderHistory[status]),$D$15,0)),MATCH(ROW(orderHistory[customer]),ROW(orderHistory[customer])),""),ROWS($A$15:A15)+$B$3))),IF($D$15="",INDEX(orderHistory[status],SMALL(IF(ISNUMBER(MATCH(orderHistory[customer],$D$9,0)*MATCH(orderHistory[status],$D$11,0)*MATCH(orderHistory[order_type],$D$13,0)),MATCH(ROW(orderHistory[customer]),ROW(orderHistory[customer])),""),ROWS($A$15:A15)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PREPARING</v>
      </c>
      <c r="W10" s="407"/>
      <c r="AO10" s="413"/>
      <c r="AQ10" s="462"/>
      <c r="AR10" s="463"/>
      <c r="AS10" s="464"/>
      <c r="AT10" s="465"/>
      <c r="AU10" s="421"/>
      <c r="AW10" s="462"/>
      <c r="AX10" s="423"/>
      <c r="AZ10" s="414"/>
      <c r="BD10" s="460"/>
      <c r="BE10" s="460"/>
      <c r="BF10" s="466"/>
      <c r="BJ10" s="421"/>
      <c r="BK10" s="467"/>
      <c r="BL10" s="468"/>
      <c r="BM10" s="517"/>
      <c r="BN10" s="468"/>
      <c r="BO10" s="517"/>
      <c r="BX10" s="413" t="s">
        <v>597</v>
      </c>
      <c r="BZ10" s="158" t="s">
        <v>149</v>
      </c>
      <c r="CA10" s="154" t="str">
        <f>IF(BZ10="","",INDEX(bhpc_data[description],MATCH(BZ10,bhpc_data[sku],0)))</f>
        <v>BHPC PRESTIGE KNIGHT 100ML EDP MEN</v>
      </c>
      <c r="CB10" s="166"/>
      <c r="CC10" s="357"/>
      <c r="CD10" s="259"/>
      <c r="CE10" s="360"/>
      <c r="CF10" s="161">
        <v>24</v>
      </c>
      <c r="CG10" s="162">
        <f>IFERROR(ROUNDUP(CB10/INDEX(bhpc_data[units_per_carton],MATCH(BZ10,bhpc_data[sku],0)),0),"")</f>
        <v>0</v>
      </c>
      <c r="CH10" s="163">
        <f>IFERROR(ROUNDUP(CD10/INDEX(bhpc_data[units_per_carton],MATCH(BZ10,bhpc_data[sku],0)),0),"")</f>
        <v>0</v>
      </c>
      <c r="CI10" s="163">
        <f>IFERROR(ROUNDUP(CF10/INDEX(bhpc_data[units_per_carton],MATCH(BZ10,bhpc_data[sku])),0),"")</f>
        <v>1</v>
      </c>
      <c r="CJ10" s="163">
        <f>IFERROR(((CB10+CD10+CF10)/INDEX(bhpc_data[units_per_carton],MATCH(BZ10,bhpc_data[sku],0)))*INDEX(bhpc_data[net_weight],MATCH(BZ10,bhpc_data[sku],0)),"")</f>
        <v>9.48</v>
      </c>
      <c r="CK10" s="163">
        <f>IFERROR(((CB10+CD10+CF10)/INDEX(bhpc_data[units_per_carton],MATCH(BZ10,bhpc_data[sku],0)))*INDEX(bhpc_data[gross_weight],MATCH(BZ10,bhpc_data[sku],0)),"")</f>
        <v>9.9</v>
      </c>
      <c r="CL10" s="179">
        <f>IFERROR((CB10+CD10+CF10)/INDEX(bhpc_data[units_per_carton],MATCH(BZ10,bhpc_data[sku],0))*INDEX(bhpc_data[lenght],MATCH(BZ10,bhpc_data[sku],0))*INDEX(bhpc_data[width],MATCH(BZ10,bhpc_data[sku],0))*INDEX(bhpc_data[height],MATCH(BZ10,bhpc_data[sku],0))/1000000000,"")</f>
        <v>1.7531250000000002E-2</v>
      </c>
      <c r="CM10" s="188" t="str">
        <f>IFERROR(INDEX(bhpc_data[category],MATCH(BZ10,bhpc_data[sku],0)),"")</f>
        <v>PRESTIGE</v>
      </c>
      <c r="CN10" s="188">
        <f>IFERROR(INDEX(bhpc_data[size1],MATCH(BZ10,bhpc_data[sku],0)),"")</f>
        <v>100</v>
      </c>
      <c r="CO10" s="387" t="str">
        <f>IFERROR(INDEX(bhpc_data[hs_code],MATCH(BZ10,bhpc_data[sku],0)),"")</f>
        <v>33030010</v>
      </c>
      <c r="CP10" s="376">
        <f>IFERROR(INDEX(inventory[ESISTENZA],MATCH(BZ10,inventory[ARTICOLO],0)),"")</f>
        <v>1767</v>
      </c>
      <c r="CQ10" s="364">
        <f>IFERROR(IF(BZ10="","",IF($BX$15="SALE",INDEX(inventory[COSTO UNITARIO],MATCH(BZ10,inventory[ARTICOLO],0)),IF($BX$15="SAMPLING",INDEX(inventory[COSTO UNITARIO],MATCH(BZ10,inventory[ARTICOLO],0)),""))),"")</f>
        <v>11.68</v>
      </c>
      <c r="CR10" s="365">
        <f t="shared" ref="CR10:CR41" si="0">IFERROR(IF(BZ10="","",(CB10+CD10+CF10)*CQ10),"")</f>
        <v>280.32</v>
      </c>
      <c r="CS10" s="264">
        <f t="shared" ref="CS10:CS41" si="1">IF(BZ10="","",CB10*CC10+CD10*CE10)</f>
        <v>0</v>
      </c>
      <c r="CU10" s="85"/>
      <c r="CV10" s="89" t="s">
        <v>598</v>
      </c>
      <c r="CW10" s="280">
        <f>COUNTA($BZ$10:$BZ$110)</f>
        <v>2</v>
      </c>
      <c r="CX10" s="81"/>
      <c r="CY10" s="81"/>
      <c r="CZ10" s="82"/>
      <c r="DA10" s="432">
        <f>IFERROR(VLOOKUP(BZ10,bhpc_data[],22,FALSE),"")</f>
        <v>0</v>
      </c>
      <c r="DH10" s="296"/>
      <c r="EC10" s="413" t="s">
        <v>930</v>
      </c>
      <c r="EE10" s="202" t="str" cm="1">
        <f t="array" ref="EE10">IFERROR(IF($EC$9="",IF($EC$11="",IF($EC$13="",INDEX(bhpc_data[sku],SMALL(MATCH(ROW(bhpc_data[sku]),ROW(bhpc_data[sku])),ROWS($A$15:A15)+$B$3)),INDEX(bhpc_data[sku],SMALL(IF(ISNUMBER(MATCH(bhpc_data[size1],$EC$13,0)),MATCH(ROW(bhpc_data[sku]),ROW(bhpc_data[sku])),""),ROWS($A$15:A15)+$B$3))),IF($EC$13="",INDEX(bhpc_data[sku],SMALL(IF(ISNUMBER(MATCH(bhpc_data[sex],$EC$11,0)),MATCH(ROW(bhpc_data[sku]),ROW(bhpc_data[sku])),""),ROWS($A$15:A15)+$B$3)),INDEX(bhpc_data[sku],SMALL(IF(ISNUMBER(MATCH(bhpc_data[sex],$EC$11,0)*MATCH(bhpc_data[size1],$EC$13,0)),MATCH(ROW(bhpc_data[sku]),ROW(bhpc_data[sku])),""),ROWS($A$15:A15)+$B$3)))),IF($EC$11="",IF($EC$13="",INDEX(bhpc_data[sku],SMALL(IF(ISNUMBER(MATCH(bhpc_data[category],$EC$9,0)),MATCH(ROW(bhpc_data[sku]),ROW(bhpc_data[sku])),""),ROWS($A$15:A15)+$B$3)),INDEX(bhpc_data[sku],SMALL(IF(ISNUMBER(MATCH(bhpc_data[category],$EC$9,0)*MATCH(bhpc_data[size1],$EC$13,0)),MATCH(ROW(bhpc_data[sku]),ROW(bhpc_data[sku])),""),ROWS($A$15:A15)+$B$3))),IF($EC$13="",INDEX(bhpc_data[sku],SMALL(IF(ISNUMBER(MATCH(bhpc_data[category],$EC$9,0)*MATCH(bhpc_data[sex],$EC$11,0)),MATCH(ROW(bhpc_data[sku]),ROW(bhpc_data[sku])),""),ROWS($A$15:A15)+$B$3)),INDEX(bhpc_data[sku],SMALL(IF(ISNUMBER(MATCH(bhpc_data[category],$EC$9,0)*MATCH(bhpc_data[sex],$EC$11,0)*MATCH(bhpc_data[size1],$EC$13,0)),MATCH(ROW(bhpc_data[sku]),ROW(bhpc_data[sku])),""),ROWS($A$15:A15)+$B$3))))),"")</f>
        <v>GS5004</v>
      </c>
      <c r="EF10" s="198" t="str" cm="1">
        <f t="array" ref="EF10">IFERROR(IF($EC$9="",IF($EC$11="",IF($EC$13="",INDEX(bhpc_data[description],SMALL(MATCH(ROW(bhpc_data[sku]),ROW(bhpc_data[sku])),ROWS($A$15:A15)+$B$3)),INDEX(bhpc_data[description],SMALL(IF(ISNUMBER(MATCH(bhpc_data[size1],$EC$13,0)),MATCH(ROW(bhpc_data[sku]),ROW(bhpc_data[sku])),""),ROWS($A$15:A15)+$B$3))),IF($EC$13="",INDEX(bhpc_data[description],SMALL(IF(ISNUMBER(MATCH(bhpc_data[sex],$EC$11,0)),MATCH(ROW(bhpc_data[sku]),ROW(bhpc_data[sku])),""),ROWS($A$15:A15)+$B$3)),INDEX(bhpc_data[description],SMALL(IF(ISNUMBER(MATCH(bhpc_data[sex],$EC$11,0)*MATCH(bhpc_data[size1],$EC$13,0)),MATCH(ROW(bhpc_data[sku]),ROW(bhpc_data[sku])),""),ROWS($A$15:A15)+$B$3)))),IF($EC$11="",IF($EC$13="",INDEX(bhpc_data[description],SMALL(IF(ISNUMBER(MATCH(bhpc_data[category],$EC$9,0)),MATCH(ROW(bhpc_data[sku]),ROW(bhpc_data[sku])),""),ROWS($A$15:A15)+$B$3)),INDEX(bhpc_data[description],SMALL(IF(ISNUMBER(MATCH(bhpc_data[category],$EC$9,0)*MATCH(bhpc_data[size1],$EC$13,0)),MATCH(ROW(bhpc_data[sku]),ROW(bhpc_data[sku])),""),ROWS($A$15:A15)+$B$3))),IF($EC$13="",INDEX(bhpc_data[description],SMALL(IF(ISNUMBER(MATCH(bhpc_data[category],$EC$9,0)*MATCH(bhpc_data[sex],$EC$11,0)),MATCH(ROW(bhpc_data[sku]),ROW(bhpc_data[sku])),""),ROWS($A$15:A15)+$B$3)),INDEX(bhpc_data[description],SMALL(IF(ISNUMBER(MATCH(bhpc_data[category],$EC$9,0)*MATCH(bhpc_data[sex],$EC$11,0)*MATCH(bhpc_data[size1],$EC$13,0)),MATCH(ROW(bhpc_data[sku]),ROW(bhpc_data[sku])),""),ROWS($A$15:A15)+$B$3))))),"")</f>
        <v>BHPC GIFT SET SPORT MEN 1 EDT 100ML + DEO 175ML</v>
      </c>
      <c r="EG10" s="263">
        <f>IFERROR(IF(warehouse[[#This Row],[SKU]]="","",INDEX(inventory[ESISTENZA],MATCH(warehouse[[#This Row],[SKU]],inventory[ARTICOLO],0))),"")</f>
        <v>100</v>
      </c>
      <c r="EH10" s="328"/>
      <c r="EI10" s="328"/>
      <c r="EJ10" s="263"/>
      <c r="EK10" s="113"/>
      <c r="FF10" s="413"/>
      <c r="FG10" s="413"/>
      <c r="FH10" s="413"/>
      <c r="FI10" s="413"/>
      <c r="FJ10" s="413"/>
      <c r="FK10" s="413"/>
      <c r="FL10" s="413"/>
      <c r="FM10" s="413"/>
      <c r="FN10" s="413"/>
      <c r="FO10" s="413"/>
      <c r="FP10" s="413"/>
      <c r="FQ10" s="413"/>
      <c r="FR10" s="413"/>
      <c r="FS10" s="413"/>
      <c r="FT10" s="413"/>
      <c r="FU10" s="413"/>
      <c r="FV10" s="413"/>
      <c r="FW10" s="413"/>
      <c r="FX10" s="413"/>
      <c r="FY10" s="413"/>
      <c r="FZ10" s="413"/>
      <c r="GA10" s="413"/>
      <c r="GB10" s="413"/>
      <c r="GC10" s="413"/>
      <c r="GD10" s="413"/>
      <c r="GE10" s="413"/>
      <c r="GF10" s="413"/>
      <c r="GG10" s="413"/>
      <c r="GH10" s="413"/>
      <c r="GI10" s="413"/>
      <c r="GJ10" s="413"/>
      <c r="GK10" s="413"/>
      <c r="GL10" s="413"/>
      <c r="GM10" s="413"/>
      <c r="GN10" s="413"/>
      <c r="GO10" s="413"/>
      <c r="GP10" s="413"/>
      <c r="GQ10" s="413"/>
      <c r="GR10" s="413"/>
      <c r="GS10" s="413"/>
      <c r="GT10" s="413"/>
      <c r="GU10" s="413"/>
      <c r="GV10" s="413"/>
      <c r="GW10" s="413"/>
      <c r="GX10" s="413"/>
      <c r="GY10" s="413"/>
      <c r="GZ10" s="413"/>
      <c r="HA10" s="413"/>
      <c r="HB10" s="413"/>
      <c r="HC10" s="413"/>
      <c r="HD10" s="413"/>
      <c r="HE10" s="413"/>
      <c r="HF10" s="413"/>
      <c r="HG10" s="413"/>
      <c r="HH10" s="413"/>
      <c r="HI10" s="413"/>
      <c r="HJ10" s="413"/>
      <c r="HK10" s="413"/>
      <c r="HL10" s="413"/>
      <c r="HM10" s="413"/>
      <c r="HN10" s="413"/>
      <c r="HO10" s="413"/>
      <c r="HP10" s="413"/>
      <c r="HQ10" s="413"/>
      <c r="HR10" s="413"/>
      <c r="HS10" s="413"/>
      <c r="HT10" s="413"/>
    </row>
    <row r="11" spans="1:702" ht="15" customHeight="1" x14ac:dyDescent="0.35">
      <c r="B11" s="151"/>
      <c r="D11" s="422"/>
      <c r="F11" s="91"/>
      <c r="G11" s="99" t="s">
        <v>599</v>
      </c>
      <c r="H11" s="81"/>
      <c r="I11" s="81"/>
      <c r="J11" s="82"/>
      <c r="L11" s="539" t="str">
        <f t="array" ref="L11">IFERROR(IF($D$9="",IF($D$11="",IF($D$13="",IF($D$15="",INDEX(orderHistory[customer],SMALL(MATCH(ROW(orderHistory[customer]),ROW(orderHistory[customer])),ROWS($A$15:A16)+$B$3)),INDEX(orderHistory[customer],SMALL(IF(ISNUMBER(MATCH(YEAR(orderHistory[invoice_date]),$D$15,0)),MATCH(ROW(orderHistory[customer]),ROW(orderHistory[customer])),""),ROWS($A$15:A16)+$B$3))),IF($D$15="",INDEX(orderHistory[customer],SMALL(IF(ISNUMBER(MATCH(orderHistory[order_type],$D$13,0)),MATCH(ROW(orderHistory[customer]),ROW(orderHistory[customer])),""),ROWS($A$15:A16)+$B$3)),INDEX(orderHistory[customer],SMALL(IF(ISNUMBER(MATCH(orderHistory[order_type],$D$13,0)*MATCH(YEAR(orderHistory[invoice_date]),$D$15,0)),MATCH(ROW(orderHistory[customer]),ROW(orderHistory[customer])),""),ROWS($A$15:A16)+$B$3)))),IF($D$13="",IF($D$15="",INDEX(orderHistory[customer],SMALL(IF(ISNUMBER(MATCH(orderHistory[status],$D$11,0)),MATCH(ROW(orderHistory[customer]),ROW(orderHistory[customer])),""),ROWS($A$15:A16)+$B$3)),INDEX(orderHistory[customer],SMALL(IF(ISNUMBER(MATCH(orderHistory[status],$D$11,0)*MATCH(YEAR(orderHistory[invoice_date]),$D$15,0)),MATCH(ROW(orderHistory[customer]),ROW(orderHistory[customer])),""),ROWS($A$15:A16)+$B$3))),IF($D$15="",INDEX(orderHistory[customer],SMALL(IF(ISNUMBER(MATCH(orderHistory[status],$D$11,0)*MATCH(orderHistory[order_type],$D$13,0)),MATCH(ROW(orderHistory[customer]),ROW(orderHistory[customer])),""),ROWS($A$15:A16)+$B$3)),INDEX(orderHistory[customer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customer],SMALL(IF(ISNUMBER(MATCH(orderHistory[customer],$D$9,0)),MATCH(ROW(orderHistory[customer]),ROW(orderHistory[customer])),""),ROWS($A$15:A16)+$B$3)),INDEX(orderHistory[customer],SMALL(IF(ISNUMBER(MATCH(orderHistory[customer],$D$9,0)*MATCH(YEAR(orderHistory[invoice_date]),$D$15,0)),MATCH(ROW(orderHistory[customer]),ROW(orderHistory[customer])),""),ROWS($A$15:A16)+$B$3))),IF($D$15="",INDEX(orderHistory[customer],SMALL(IF(ISNUMBER(MATCH(orderHistory[customer],$D$9,0)*MATCH(orderHistory[order_type],$D$13,0)),MATCH(ROW(orderHistory[customer]),ROW(orderHistory[customer])),""),ROWS($A$15:A16)+$B$3)),INDEX(orderHistory[customer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customer],SMALL(IF(ISNUMBER(MATCH(orderHistory[customer],$D$9,0)*MATCH(orderHistory[status],$D$11,0)),MATCH(ROW(orderHistory[customer]),ROW(orderHistory[customer])),""),ROWS($A$15:A16)+$B$3)),INDEX(orderHistory[customer],SMALL(IF(ISNUMBER(MATCH(orderHistory[customer],$D$9,0)*MATCH(orderHistory[status],$D$11,0)*MATCH(YEAR(orderHistory[invoice_date]),$D$15,0)),MATCH(ROW(orderHistory[customer]),ROW(orderHistory[customer])),""),ROWS($A$15:A16)+$B$3))),IF($D$15="",INDEX(orderHistory[customer],SMALL(IF(ISNUMBER(MATCH(orderHistory[customer],$D$9,0)*MATCH(orderHistory[status],$D$11,0)*MATCH(orderHistory[order_type],$D$13,0)),MATCH(ROW(orderHistory[customer]),ROW(orderHistory[customer])),""),ROWS($A$15:A16)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DUBAI - GRV</v>
      </c>
      <c r="M11" s="540">
        <f t="array" ref="M11">IFERROR(IF($D$9="",IF($D$11="",IF($D$13="",IF($D$15="",INDEX(orderHistory[order_no],SMALL(MATCH(ROW(orderHistory[customer]),ROW(orderHistory[customer])),ROWS($A$15:A16)+$B$3)),INDEX(orderHistory[order_no],SMALL(IF(ISNUMBER(MATCH(YEAR(orderHistory[invoice_date]),$D$15,0)),MATCH(ROW(orderHistory[customer]),ROW(orderHistory[customer])),""),ROWS($A$15:A16)+$B$3))),IF($D$15="",INDEX(orderHistory[order_no],SMALL(IF(ISNUMBER(MATCH(orderHistory[order_type],$D$13,0)),MATCH(ROW(orderHistory[customer]),ROW(orderHistory[customer])),""),ROWS($A$15:A16)+$B$3)),INDEX(orderHistory[order_no],SMALL(IF(ISNUMBER(MATCH(orderHistory[order_type],$D$13,0)*MATCH(YEAR(orderHistory[invoice_date]),$D$15,0)),MATCH(ROW(orderHistory[customer]),ROW(orderHistory[customer])),""),ROWS($A$15:A16)+$B$3)))),IF($D$13="",IF($D$15="",INDEX(orderHistory[order_no],SMALL(IF(ISNUMBER(MATCH(orderHistory[status],$D$11,0)),MATCH(ROW(orderHistory[customer]),ROW(orderHistory[customer])),""),ROWS($A$15:A16)+$B$3)),INDEX(orderHistory[order_no],SMALL(IF(ISNUMBER(MATCH(orderHistory[status],$D$11,0)*MATCH(YEAR(orderHistory[invoice_date]),$D$15,0)),MATCH(ROW(orderHistory[customer]),ROW(orderHistory[customer])),""),ROWS($A$15:A16)+$B$3))),IF($D$15="",INDEX(orderHistory[order_no],SMALL(IF(ISNUMBER(MATCH(orderHistory[status],$D$11,0)*MATCH(orderHistory[order_type],$D$13,0)),MATCH(ROW(orderHistory[customer]),ROW(orderHistory[customer])),""),ROWS($A$15:A16)+$B$3)),INDEX(orderHistory[order_no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no],SMALL(IF(ISNUMBER(MATCH(orderHistory[customer],$D$9,0)),MATCH(ROW(orderHistory[customer]),ROW(orderHistory[customer])),""),ROWS($A$15:A16)+$B$3)),INDEX(orderHistory[order_no],SMALL(IF(ISNUMBER(MATCH(orderHistory[customer],$D$9,0)*MATCH(YEAR(orderHistory[invoice_date]),$D$15,0)),MATCH(ROW(orderHistory[customer]),ROW(orderHistory[customer])),""),ROWS($A$15:A16)+$B$3))),IF($D$15="",INDEX(orderHistory[order_no],SMALL(IF(ISNUMBER(MATCH(orderHistory[customer],$D$9,0)*MATCH(orderHistory[order_type],$D$13,0)),MATCH(ROW(orderHistory[customer]),ROW(orderHistory[customer])),""),ROWS($A$15:A16)+$B$3)),INDEX(orderHistory[order_no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no],SMALL(IF(ISNUMBER(MATCH(orderHistory[customer],$D$9,0)*MATCH(orderHistory[status],$D$11,0)),MATCH(ROW(orderHistory[customer]),ROW(orderHistory[customer])),""),ROWS($A$15:A16)+$B$3)),INDEX(orderHistory[order_no],SMALL(IF(ISNUMBER(MATCH(orderHistory[customer],$D$9,0)*MATCH(orderHistory[status],$D$11,0)*MATCH(YEAR(orderHistory[invoice_date]),$D$15,0)),MATCH(ROW(orderHistory[customer]),ROW(orderHistory[customer])),""),ROWS($A$15:A16)+$B$3))),IF($D$15="",INDEX(orderHistory[order_no],SMALL(IF(ISNUMBER(MATCH(orderHistory[customer],$D$9,0)*MATCH(orderHistory[status],$D$11,0)*MATCH(orderHistory[order_type],$D$13,0)),MATCH(ROW(orderHistory[customer]),ROW(orderHistory[customer])),""),ROWS($A$15:A16)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60</v>
      </c>
      <c r="N11" s="541" t="str">
        <f t="array" ref="N11">IFERROR(IF($D$9="",IF($D$11="",IF($D$13="",IF($D$15="",INDEX(orderHistory[order_type],SMALL(MATCH(ROW(orderHistory[customer]),ROW(orderHistory[customer])),ROWS($A$15:A16)+$B$3)),INDEX(orderHistory[order_type],SMALL(IF(ISNUMBER(MATCH(YEAR(orderHistory[invoice_date]),$D$15,0)),MATCH(ROW(orderHistory[customer]),ROW(orderHistory[customer])),""),ROWS($A$15:A16)+$B$3))),IF($D$15="",INDEX(orderHistory[order_type],SMALL(IF(ISNUMBER(MATCH(orderHistory[order_type],$D$13,0)),MATCH(ROW(orderHistory[customer]),ROW(orderHistory[customer])),""),ROWS($A$15:A16)+$B$3)),INDEX(orderHistory[order_type],SMALL(IF(ISNUMBER(MATCH(orderHistory[order_type],$D$13,0)*MATCH(YEAR(orderHistory[invoice_date]),$D$15,0)),MATCH(ROW(orderHistory[customer]),ROW(orderHistory[customer])),""),ROWS($A$15:A16)+$B$3)))),IF($D$13="",IF($D$15="",INDEX(orderHistory[order_type],SMALL(IF(ISNUMBER(MATCH(orderHistory[status],$D$11,0)),MATCH(ROW(orderHistory[customer]),ROW(orderHistory[customer])),""),ROWS($A$15:A16)+$B$3)),INDEX(orderHistory[order_type],SMALL(IF(ISNUMBER(MATCH(orderHistory[status],$D$11,0)*MATCH(YEAR(orderHistory[invoice_date]),$D$15,0)),MATCH(ROW(orderHistory[customer]),ROW(orderHistory[customer])),""),ROWS($A$15:A16)+$B$3))),IF($D$15="",INDEX(orderHistory[order_type],SMALL(IF(ISNUMBER(MATCH(orderHistory[status],$D$11,0)*MATCH(orderHistory[order_type],$D$13,0)),MATCH(ROW(orderHistory[customer]),ROW(orderHistory[customer])),""),ROWS($A$15:A16)+$B$3)),INDEX(orderHistory[order_typ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type],SMALL(IF(ISNUMBER(MATCH(orderHistory[customer],$D$9,0)),MATCH(ROW(orderHistory[customer]),ROW(orderHistory[customer])),""),ROWS($A$15:A16)+$B$3)),INDEX(orderHistory[order_type],SMALL(IF(ISNUMBER(MATCH(orderHistory[customer],$D$9,0)*MATCH(YEAR(orderHistory[invoice_date]),$D$15,0)),MATCH(ROW(orderHistory[customer]),ROW(orderHistory[customer])),""),ROWS($A$15:A16)+$B$3))),IF($D$15="",INDEX(orderHistory[order_type],SMALL(IF(ISNUMBER(MATCH(orderHistory[customer],$D$9,0)*MATCH(orderHistory[order_type],$D$13,0)),MATCH(ROW(orderHistory[customer]),ROW(orderHistory[customer])),""),ROWS($A$15:A16)+$B$3)),INDEX(orderHistory[order_typ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type],SMALL(IF(ISNUMBER(MATCH(orderHistory[customer],$D$9,0)*MATCH(orderHistory[status],$D$11,0)),MATCH(ROW(orderHistory[customer]),ROW(orderHistory[customer])),""),ROWS($A$15:A16)+$B$3)),INDEX(orderHistory[order_type],SMALL(IF(ISNUMBER(MATCH(orderHistory[customer],$D$9,0)*MATCH(orderHistory[status],$D$11,0)*MATCH(YEAR(orderHistory[invoice_date]),$D$15,0)),MATCH(ROW(orderHistory[customer]),ROW(orderHistory[customer])),""),ROWS($A$15:A16)+$B$3))),IF($D$15="",INDEX(orderHistory[order_type],SMALL(IF(ISNUMBER(MATCH(orderHistory[customer],$D$9,0)*MATCH(orderHistory[status],$D$11,0)*MATCH(orderHistory[order_type],$D$13,0)),MATCH(ROW(orderHistory[customer]),ROW(orderHistory[customer])),""),ROWS($A$15:A16)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SAMPLING</v>
      </c>
      <c r="O11" s="542">
        <f t="array" ref="O11">IFERROR(IF($D$9="",IF($D$11="",IF($D$13="",IF($D$15="",INDEX(orderHistory[order_date],SMALL(MATCH(ROW(orderHistory[customer]),ROW(orderHistory[customer])),ROWS($A$15:A16)+$B$3)),INDEX(orderHistory[order_date],SMALL(IF(ISNUMBER(MATCH(YEAR(orderHistory[invoice_date]),$D$15,0)),MATCH(ROW(orderHistory[customer]),ROW(orderHistory[customer])),""),ROWS($A$15:A16)+$B$3))),IF($D$15="",INDEX(orderHistory[order_date],SMALL(IF(ISNUMBER(MATCH(orderHistory[order_type],$D$13,0)),MATCH(ROW(orderHistory[customer]),ROW(orderHistory[customer])),""),ROWS($A$15:A16)+$B$3)),INDEX(orderHistory[order_date],SMALL(IF(ISNUMBER(MATCH(orderHistory[order_type],$D$13,0)*MATCH(YEAR(orderHistory[invoice_date]),$D$15,0)),MATCH(ROW(orderHistory[customer]),ROW(orderHistory[customer])),""),ROWS($A$15:A16)+$B$3)))),IF($D$13="",IF($D$15="",INDEX(orderHistory[order_date],SMALL(IF(ISNUMBER(MATCH(orderHistory[status],$D$11,0)),MATCH(ROW(orderHistory[customer]),ROW(orderHistory[customer])),""),ROWS($A$15:A16)+$B$3)),INDEX(orderHistory[order_date],SMALL(IF(ISNUMBER(MATCH(orderHistory[status],$D$11,0)*MATCH(YEAR(orderHistory[invoice_date]),$D$15,0)),MATCH(ROW(orderHistory[customer]),ROW(orderHistory[customer])),""),ROWS($A$15:A16)+$B$3))),IF($D$15="",INDEX(orderHistory[order_date],SMALL(IF(ISNUMBER(MATCH(orderHistory[status],$D$11,0)*MATCH(orderHistory[order_type],$D$13,0)),MATCH(ROW(orderHistory[customer]),ROW(orderHistory[customer])),""),ROWS($A$15:A16)+$B$3)),INDEX(orderHistory[order_dat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date],SMALL(IF(ISNUMBER(MATCH(orderHistory[customer],$D$9,0)),MATCH(ROW(orderHistory[customer]),ROW(orderHistory[customer])),""),ROWS($A$15:A16)+$B$3)),INDEX(orderHistory[order_date],SMALL(IF(ISNUMBER(MATCH(orderHistory[customer],$D$9,0)*MATCH(YEAR(orderHistory[invoice_date]),$D$15,0)),MATCH(ROW(orderHistory[customer]),ROW(orderHistory[customer])),""),ROWS($A$15:A16)+$B$3))),IF($D$15="",INDEX(orderHistory[order_date],SMALL(IF(ISNUMBER(MATCH(orderHistory[customer],$D$9,0)*MATCH(orderHistory[order_type],$D$13,0)),MATCH(ROW(orderHistory[customer]),ROW(orderHistory[customer])),""),ROWS($A$15:A16)+$B$3)),INDEX(orderHistory[order_dat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date],SMALL(IF(ISNUMBER(MATCH(orderHistory[customer],$D$9,0)*MATCH(orderHistory[status],$D$11,0)),MATCH(ROW(orderHistory[customer]),ROW(orderHistory[customer])),""),ROWS($A$15:A16)+$B$3)),INDEX(orderHistory[order_date],SMALL(IF(ISNUMBER(MATCH(orderHistory[customer],$D$9,0)*MATCH(orderHistory[status],$D$11,0)*MATCH(YEAR(orderHistory[invoice_date]),$D$15,0)),MATCH(ROW(orderHistory[customer]),ROW(orderHistory[customer])),""),ROWS($A$15:A16)+$B$3))),IF($D$15="",INDEX(orderHistory[order_date],SMALL(IF(ISNUMBER(MATCH(orderHistory[customer],$D$9,0)*MATCH(orderHistory[status],$D$11,0)*MATCH(orderHistory[order_type],$D$13,0)),MATCH(ROW(orderHistory[customer]),ROW(orderHistory[customer])),""),ROWS($A$15:A16)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45450</v>
      </c>
      <c r="P11" s="543">
        <f t="array" ref="P11">IFERROR(IF($D$9="",IF($D$11="",IF($D$13="",IF($D$15="",INDEX(orderHistory[invoice_no],SMALL(MATCH(ROW(orderHistory[customer]),ROW(orderHistory[customer])),ROWS($A$15:A16)+$B$3)),INDEX(orderHistory[invoice_no],SMALL(IF(ISNUMBER(MATCH(YEAR(orderHistory[invoice_date]),$D$15,0)),MATCH(ROW(orderHistory[customer]),ROW(orderHistory[customer])),""),ROWS($A$15:A16)+$B$3))),IF($D$15="",INDEX(orderHistory[invoice_no],SMALL(IF(ISNUMBER(MATCH(orderHistory[order_type],$D$13,0)),MATCH(ROW(orderHistory[customer]),ROW(orderHistory[customer])),""),ROWS($A$15:A16)+$B$3)),INDEX(orderHistory[invoice_no],SMALL(IF(ISNUMBER(MATCH(orderHistory[order_type],$D$13,0)*MATCH(YEAR(orderHistory[invoice_date]),$D$15,0)),MATCH(ROW(orderHistory[customer]),ROW(orderHistory[customer])),""),ROWS($A$15:A16)+$B$3)))),IF($D$13="",IF($D$15="",INDEX(orderHistory[invoice_no],SMALL(IF(ISNUMBER(MATCH(orderHistory[status],$D$11,0)),MATCH(ROW(orderHistory[customer]),ROW(orderHistory[customer])),""),ROWS($A$15:A16)+$B$3)),INDEX(orderHistory[invoice_no],SMALL(IF(ISNUMBER(MATCH(orderHistory[status],$D$11,0)*MATCH(YEAR(orderHistory[invoice_date]),$D$15,0)),MATCH(ROW(orderHistory[customer]),ROW(orderHistory[customer])),""),ROWS($A$15:A16)+$B$3))),IF($D$15="",INDEX(orderHistory[invoice_no],SMALL(IF(ISNUMBER(MATCH(orderHistory[status],$D$11,0)*MATCH(orderHistory[order_type],$D$13,0)),MATCH(ROW(orderHistory[customer]),ROW(orderHistory[customer])),""),ROWS($A$15:A16)+$B$3)),INDEX(orderHistory[invoice_no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oice_no],SMALL(IF(ISNUMBER(MATCH(orderHistory[customer],$D$9,0)),MATCH(ROW(orderHistory[customer]),ROW(orderHistory[customer])),""),ROWS($A$15:A16)+$B$3)),INDEX(orderHistory[invoice_no],SMALL(IF(ISNUMBER(MATCH(orderHistory[customer],$D$9,0)*MATCH(YEAR(orderHistory[invoice_date]),$D$15,0)),MATCH(ROW(orderHistory[customer]),ROW(orderHistory[customer])),""),ROWS($A$15:A16)+$B$3))),IF($D$15="",INDEX(orderHistory[invoice_no],SMALL(IF(ISNUMBER(MATCH(orderHistory[customer],$D$9,0)*MATCH(orderHistory[order_type],$D$13,0)),MATCH(ROW(orderHistory[customer]),ROW(orderHistory[customer])),""),ROWS($A$15:A16)+$B$3)),INDEX(orderHistory[invoice_no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YEAR(orderHistory[invoice_date]),$D$15,0)),MATCH(ROW(orderHistory[customer]),ROW(orderHistory[customer])),""),ROWS($A$15:A16)+$B$3))),IF($D$15="",INDEX(orderHistory[invoice_no],SMALL(IF(ISNUMBER(MATCH(orderHistory[customer],$D$9,0)*MATCH(orderHistory[status],$D$11,0)*MATCH(orderHistory[order_type],$D$13,0)),MATCH(ROW(orderHistory[customer]),ROW(orderHistory[customer])),""),ROWS($A$15:A16)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0</v>
      </c>
      <c r="Q11" s="544">
        <f t="array" ref="Q11">IFERROR(IF($D$9="",IF($D$11="",IF($D$13="",IF($D$15="",INDEX(orderHistory[invoice_date],SMALL(MATCH(ROW(orderHistory[customer]),ROW(orderHistory[customer])),ROWS($A$15:A16)+$B$3)),INDEX(orderHistory[invoice_date],SMALL(IF(ISNUMBER(MATCH(YEAR(orderHistory[invoice_date]),$D$15,0)),MATCH(ROW(orderHistory[customer]),ROW(orderHistory[customer])),""),ROWS($A$15:A16)+$B$3))),IF($D$15="",INDEX(orderHistory[invoice_date],SMALL(IF(ISNUMBER(MATCH(orderHistory[order_type],$D$13,0)),MATCH(ROW(orderHistory[customer]),ROW(orderHistory[customer])),""),ROWS($A$15:A16)+$B$3)),INDEX(orderHistory[invoice_date],SMALL(IF(ISNUMBER(MATCH(orderHistory[order_type],$D$13,0)*MATCH(YEAR(orderHistory[invoice_date]),$D$15,0)),MATCH(ROW(orderHistory[customer]),ROW(orderHistory[customer])),""),ROWS($A$15:A16)+$B$3)))),IF($D$13="",IF($D$15="",INDEX(orderHistory[invoice_date],SMALL(IF(ISNUMBER(MATCH(orderHistory[status],$D$11,0)),MATCH(ROW(orderHistory[customer]),ROW(orderHistory[customer])),""),ROWS($A$15:A16)+$B$3)),INDEX(orderHistory[invoice_date],SMALL(IF(ISNUMBER(MATCH(orderHistory[status],$D$11,0)*MATCH(YEAR(orderHistory[invoice_date]),$D$15,0)),MATCH(ROW(orderHistory[customer]),ROW(orderHistory[customer])),""),ROWS($A$15:A16)+$B$3))),IF($D$15="",INDEX(orderHistory[invoice_date],SMALL(IF(ISNUMBER(MATCH(orderHistory[status],$D$11,0)*MATCH(orderHistory[order_type],$D$13,0)),MATCH(ROW(orderHistory[customer]),ROW(orderHistory[customer])),""),ROWS($A$15:A16)+$B$3)),INDEX(orderHistory[invoice_dat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oice_date],SMALL(IF(ISNUMBER(MATCH(orderHistory[customer],$D$9,0)),MATCH(ROW(orderHistory[customer]),ROW(orderHistory[customer])),""),ROWS($A$15:A16)+$B$3)),INDEX(orderHistory[invoice_date],SMALL(IF(ISNUMBER(MATCH(orderHistory[customer],$D$9,0)*MATCH(YEAR(orderHistory[invoice_date]),$D$15,0)),MATCH(ROW(orderHistory[customer]),ROW(orderHistory[customer])),""),ROWS($A$15:A16)+$B$3))),IF($D$15="",INDEX(orderHistory[invoice_date],SMALL(IF(ISNUMBER(MATCH(orderHistory[customer],$D$9,0)*MATCH(orderHistory[order_type],$D$13,0)),MATCH(ROW(orderHistory[customer]),ROW(orderHistory[customer])),""),ROWS($A$15:A16)+$B$3)),INDEX(orderHistory[invoice_dat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YEAR(orderHistory[invoice_date]),$D$15,0)),MATCH(ROW(orderHistory[customer]),ROW(orderHistory[customer])),""),ROWS($A$15:A16)+$B$3))),IF($D$15="",INDEX(orderHistory[invoice_date],SMALL(IF(ISNUMBER(MATCH(orderHistory[customer],$D$9,0)*MATCH(orderHistory[status],$D$11,0)*MATCH(orderHistory[order_type],$D$13,0)),MATCH(ROW(orderHistory[customer]),ROW(orderHistory[customer])),""),ROWS($A$15:A16)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0</v>
      </c>
      <c r="R11" s="545">
        <f t="array" ref="R11">IFERROR(IF($D$9="",IF($D$11="",IF($D$13="",IF($D$15="",INDEX(orderHistory[inv_amount],SMALL(MATCH(ROW(orderHistory[customer]),ROW(orderHistory[customer])),ROWS($A$15:A16)+$B$3)),INDEX(orderHistory[inv_amount],SMALL(IF(ISNUMBER(MATCH(YEAR(orderHistory[invoice_date]),$D$15,0)),MATCH(ROW(orderHistory[customer]),ROW(orderHistory[customer])),""),ROWS($A$15:A16)+$B$3))),IF($D$15="",INDEX(orderHistory[inv_amount],SMALL(IF(ISNUMBER(MATCH(orderHistory[order_type],$D$13,0)),MATCH(ROW(orderHistory[customer]),ROW(orderHistory[customer])),""),ROWS($A$15:A16)+$B$3)),INDEX(orderHistory[inv_amount],SMALL(IF(ISNUMBER(MATCH(orderHistory[order_type],$D$13,0)*MATCH(YEAR(orderHistory[invoice_date]),$D$15,0)),MATCH(ROW(orderHistory[customer]),ROW(orderHistory[customer])),""),ROWS($A$15:A16)+$B$3)))),IF($D$13="",IF($D$15="",INDEX(orderHistory[inv_amount],SMALL(IF(ISNUMBER(MATCH(orderHistory[status],$D$11,0)),MATCH(ROW(orderHistory[customer]),ROW(orderHistory[customer])),""),ROWS($A$15:A16)+$B$3)),INDEX(orderHistory[inv_amount],SMALL(IF(ISNUMBER(MATCH(orderHistory[status],$D$11,0)*MATCH(YEAR(orderHistory[invoice_date]),$D$15,0)),MATCH(ROW(orderHistory[customer]),ROW(orderHistory[customer])),""),ROWS($A$15:A16)+$B$3))),IF($D$15="",INDEX(orderHistory[inv_amount],SMALL(IF(ISNUMBER(MATCH(orderHistory[status],$D$11,0)*MATCH(orderHistory[order_type],$D$13,0)),MATCH(ROW(orderHistory[customer]),ROW(orderHistory[customer])),""),ROWS($A$15:A16)+$B$3)),INDEX(orderHistory[inv_amount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_amount],SMALL(IF(ISNUMBER(MATCH(orderHistory[customer],$D$9,0)),MATCH(ROW(orderHistory[customer]),ROW(orderHistory[customer])),""),ROWS($A$15:A16)+$B$3)),INDEX(orderHistory[inv_amount],SMALL(IF(ISNUMBER(MATCH(orderHistory[customer],$D$9,0)*MATCH(YEAR(orderHistory[invoice_date]),$D$15,0)),MATCH(ROW(orderHistory[customer]),ROW(orderHistory[customer])),""),ROWS($A$15:A16)+$B$3))),IF($D$15="",INDEX(orderHistory[inv_amount],SMALL(IF(ISNUMBER(MATCH(orderHistory[customer],$D$9,0)*MATCH(orderHistory[order_type],$D$13,0)),MATCH(ROW(orderHistory[customer]),ROW(orderHistory[customer])),""),ROWS($A$15:A16)+$B$3)),INDEX(orderHistory[inv_amount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_amount],SMALL(IF(ISNUMBER(MATCH(orderHistory[customer],$D$9,0)*MATCH(orderHistory[status],$D$11,0)),MATCH(ROW(orderHistory[customer]),ROW(orderHistory[customer])),""),ROWS($A$15:A16)+$B$3)),INDEX(orderHistory[inv_amount],SMALL(IF(ISNUMBER(MATCH(orderHistory[customer],$D$9,0)*MATCH(orderHistory[status],$D$11,0)*MATCH(YEAR(orderHistory[inv_amount]),$D$15,0)),MATCH(ROW(orderHistory[customer]),ROW(orderHistory[customer])),""),ROWS($A$15:A16)+$B$3))),IF($D$15="",INDEX(orderHistory[inv_amount],SMALL(IF(ISNUMBER(MATCH(orderHistory[customer],$D$9,0)*MATCH(orderHistory[status],$D$11,0)*MATCH(orderHistory[order_type],$D$13,0)),MATCH(ROW(orderHistory[customer]),ROW(orderHistory[customer])),""),ROWS($A$15:A16)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0</v>
      </c>
      <c r="S11" s="546">
        <f t="shared" ref="S11:S60" si="2">IF(R11="","",IF(N11="SUPPLY","",R11*7%))</f>
        <v>0</v>
      </c>
      <c r="T11" s="547" t="b">
        <f t="array" ref="T11">IFERROR(IF($D$9="",IF($D$11="",IF($D$13="",IF($D$15="",INDEX(orderHistory[payed],SMALL(MATCH(ROW(orderHistory[customer]),ROW(orderHistory[customer])),ROWS($A$15:A16)+$B$3)),INDEX(orderHistory[payed],SMALL(IF(ISNUMBER(MATCH(YEAR(orderHistory[invoice_date]),$D$15,0)),MATCH(ROW(orderHistory[customer]),ROW(orderHistory[customer])),""),ROWS($A$15:A16)+$B$3))),IF($D$15="",INDEX(orderHistory[payed],SMALL(IF(ISNUMBER(MATCH(orderHistory[order_type],$D$13,0)),MATCH(ROW(orderHistory[customer]),ROW(orderHistory[customer])),""),ROWS($A$15:A16)+$B$3)),INDEX(orderHistory[payed],SMALL(IF(ISNUMBER(MATCH(orderHistory[order_type],$D$13,0)*MATCH(YEAR(orderHistory[invoice_date]),$D$15,0)),MATCH(ROW(orderHistory[customer]),ROW(orderHistory[customer])),""),ROWS($A$15:A16)+$B$3)))),IF($D$13="",IF($D$15="",INDEX(orderHistory[payed],SMALL(IF(ISNUMBER(MATCH(orderHistory[status],$D$11,0)),MATCH(ROW(orderHistory[customer]),ROW(orderHistory[customer])),""),ROWS($A$15:A16)+$B$3)),INDEX(orderHistory[payed],SMALL(IF(ISNUMBER(MATCH(orderHistory[status],$D$11,0)*MATCH(YEAR(orderHistory[invoice_date]),$D$15,0)),MATCH(ROW(orderHistory[customer]),ROW(orderHistory[customer])),""),ROWS($A$15:A16)+$B$3))),IF($D$15="",INDEX(orderHistory[payed],SMALL(IF(ISNUMBER(MATCH(orderHistory[status],$D$11,0)*MATCH(orderHistory[order_type],$D$13,0)),MATCH(ROW(orderHistory[customer]),ROW(orderHistory[customer])),""),ROWS($A$15:A16)+$B$3)),INDEX(orderHistory[payed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payed],SMALL(IF(ISNUMBER(MATCH(orderHistory[customer],$D$9,0)),MATCH(ROW(orderHistory[customer]),ROW(orderHistory[customer])),""),ROWS($A$15:A16)+$B$3)),INDEX(orderHistory[payed],SMALL(IF(ISNUMBER(MATCH(orderHistory[customer],$D$9,0)*MATCH(YEAR(orderHistory[invoice_date]),$D$15,0)),MATCH(ROW(orderHistory[customer]),ROW(orderHistory[customer])),""),ROWS($A$15:A16)+$B$3))),IF($D$15="",INDEX(orderHistory[payed],SMALL(IF(ISNUMBER(MATCH(orderHistory[customer],$D$9,0)*MATCH(orderHistory[order_type],$D$13,0)),MATCH(ROW(orderHistory[customer]),ROW(orderHistory[customer])),""),ROWS($A$15:A16)+$B$3)),INDEX(orderHistory[payed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payed],SMALL(IF(ISNUMBER(MATCH(orderHistory[customer],$D$9,0)*MATCH(orderHistory[status],$D$11,0)),MATCH(ROW(orderHistory[customer]),ROW(orderHistory[customer])),""),ROWS($A$15:A16)+$B$3)),INDEX(orderHistory[payed],SMALL(IF(ISNUMBER(MATCH(orderHistory[customer],$D$9,0)*MATCH(orderHistory[status],$D$11,0)*MATCH(YEAR(orderHistory[payed]),$D$15,0)),MATCH(ROW(orderHistory[customer]),ROW(orderHistory[customer])),""),ROWS($A$15:A16)+$B$3))),IF($D$15="",INDEX(orderHistory[payed],SMALL(IF(ISNUMBER(MATCH(orderHistory[customer],$D$9,0)*MATCH(orderHistory[status],$D$11,0)*MATCH(orderHistory[order_type],$D$13,0)),MATCH(ROW(orderHistory[customer]),ROW(orderHistory[customer])),""),ROWS($A$15:A16)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1</v>
      </c>
      <c r="U11" s="541" t="str">
        <f t="array" ref="U11">IFERROR(IF($D$9="",IF($D$11="",IF($D$13="",IF($D$15="",INDEX(orderHistory[shipping_method],SMALL(MATCH(ROW(orderHistory[customer]),ROW(orderHistory[customer])),ROWS($A$15:A16)+$B$3)),INDEX(orderHistory[shipping_method],SMALL(IF(ISNUMBER(MATCH(YEAR(orderHistory[invoice_date]),$D$15,0)),MATCH(ROW(orderHistory[customer]),ROW(orderHistory[customer])),""),ROWS($A$15:A16)+$B$3))),IF($D$15="",INDEX(orderHistory[shipping_method],SMALL(IF(ISNUMBER(MATCH(orderHistory[order_type],$D$13,0)),MATCH(ROW(orderHistory[customer]),ROW(orderHistory[customer])),""),ROWS($A$15:A16)+$B$3)),INDEX(orderHistory[shipping_method],SMALL(IF(ISNUMBER(MATCH(orderHistory[order_type],$D$13,0)*MATCH(YEAR(orderHistory[invoice_date]),$D$15,0)),MATCH(ROW(orderHistory[customer]),ROW(orderHistory[customer])),""),ROWS($A$15:A16)+$B$3)))),IF($D$13="",IF($D$15="",INDEX(orderHistory[shipping_method],SMALL(IF(ISNUMBER(MATCH(orderHistory[status],$D$11,0)),MATCH(ROW(orderHistory[customer]),ROW(orderHistory[customer])),""),ROWS($A$15:A16)+$B$3)),INDEX(orderHistory[shipping_method],SMALL(IF(ISNUMBER(MATCH(orderHistory[status],$D$11,0)*MATCH(YEAR(orderHistory[invoice_date]),$D$15,0)),MATCH(ROW(orderHistory[customer]),ROW(orderHistory[customer])),""),ROWS($A$15:A16)+$B$3))),IF($D$15="",INDEX(orderHistory[shipping_method],SMALL(IF(ISNUMBER(MATCH(orderHistory[status],$D$11,0)*MATCH(orderHistory[order_type],$D$13,0)),MATCH(ROW(orderHistory[customer]),ROW(orderHistory[customer])),""),ROWS($A$15:A16)+$B$3)),INDEX(orderHistory[shipping_method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shipping_method],SMALL(IF(ISNUMBER(MATCH(orderHistory[customer],$D$9,0)),MATCH(ROW(orderHistory[customer]),ROW(orderHistory[customer])),""),ROWS($A$15:A16)+$B$3)),INDEX(orderHistory[shipping_method],SMALL(IF(ISNUMBER(MATCH(orderHistory[customer],$D$9,0)*MATCH(YEAR(orderHistory[invoice_date]),$D$15,0)),MATCH(ROW(orderHistory[customer]),ROW(orderHistory[customer])),""),ROWS($A$15:A16)+$B$3))),IF($D$15="",INDEX(orderHistory[shipping_method],SMALL(IF(ISNUMBER(MATCH(orderHistory[customer],$D$9,0)*MATCH(orderHistory[order_type],$D$13,0)),MATCH(ROW(orderHistory[customer]),ROW(orderHistory[customer])),""),ROWS($A$15:A16)+$B$3)),INDEX(orderHistory[shipping_method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shipping_method],SMALL(IF(ISNUMBER(MATCH(orderHistory[customer],$D$9,0)*MATCH(orderHistory[status],$D$11,0)),MATCH(ROW(orderHistory[customer]),ROW(orderHistory[customer])),""),ROWS($A$15:A16)+$B$3)),INDEX(orderHistory[shipping_method],SMALL(IF(ISNUMBER(MATCH(orderHistory[customer],$D$9,0)*MATCH(orderHistory[status],$D$11,0)*MATCH(YEAR(orderHistory[shipping_method]),$D$15,0)),MATCH(ROW(orderHistory[customer]),ROW(orderHistory[customer])),""),ROWS($A$15:A16)+$B$3))),IF($D$15="",INDEX(orderHistory[shipping_method],SMALL(IF(ISNUMBER(MATCH(orderHistory[customer],$D$9,0)*MATCH(orderHistory[status],$D$11,0)*MATCH(orderHistory[order_type],$D$13,0)),MATCH(ROW(orderHistory[customer]),ROW(orderHistory[customer])),""),ROWS($A$15:A16)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BY ROAD</v>
      </c>
      <c r="V11" s="548" t="str">
        <f t="array" ref="V11">IFERROR(IF($D$9="",IF($D$11="",IF($D$13="",IF($D$15="",INDEX(orderHistory[status],SMALL(MATCH(ROW(orderHistory[customer]),ROW(orderHistory[customer])),ROWS($A$15:A16)+$B$3)),INDEX(orderHistory[status],SMALL(IF(ISNUMBER(MATCH(YEAR(orderHistory[invoice_date]),$D$15,0)),MATCH(ROW(orderHistory[customer]),ROW(orderHistory[customer])),""),ROWS($A$15:A16)+$B$3))),IF($D$15="",INDEX(orderHistory[status],SMALL(IF(ISNUMBER(MATCH(orderHistory[order_type],$D$13,0)),MATCH(ROW(orderHistory[customer]),ROW(orderHistory[customer])),""),ROWS($A$15:A16)+$B$3)),INDEX(orderHistory[status],SMALL(IF(ISNUMBER(MATCH(orderHistory[order_type],$D$13,0)*MATCH(YEAR(orderHistory[invoice_date]),$D$15,0)),MATCH(ROW(orderHistory[customer]),ROW(orderHistory[customer])),""),ROWS($A$15:A16)+$B$3)))),IF($D$13="",IF($D$15="",INDEX(orderHistory[status],SMALL(IF(ISNUMBER(MATCH(orderHistory[status],$D$11,0)),MATCH(ROW(orderHistory[customer]),ROW(orderHistory[customer])),""),ROWS($A$15:A16)+$B$3)),INDEX(orderHistory[status],SMALL(IF(ISNUMBER(MATCH(orderHistory[status],$D$11,0)*MATCH(YEAR(orderHistory[invoice_date]),$D$15,0)),MATCH(ROW(orderHistory[customer]),ROW(orderHistory[customer])),""),ROWS($A$15:A16)+$B$3))),IF($D$15="",INDEX(orderHistory[status],SMALL(IF(ISNUMBER(MATCH(orderHistory[status],$D$11,0)*MATCH(orderHistory[order_type],$D$13,0)),MATCH(ROW(orderHistory[customer]),ROW(orderHistory[customer])),""),ROWS($A$15:A16)+$B$3)),INDEX(orderHistory[status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status],SMALL(IF(ISNUMBER(MATCH(orderHistory[customer],$D$9,0)),MATCH(ROW(orderHistory[customer]),ROW(orderHistory[customer])),""),ROWS($A$15:A16)+$B$3)),INDEX(orderHistory[status],SMALL(IF(ISNUMBER(MATCH(orderHistory[customer],$D$9,0)*MATCH(YEAR(orderHistory[invoice_date]),$D$15,0)),MATCH(ROW(orderHistory[customer]),ROW(orderHistory[customer])),""),ROWS($A$15:A16)+$B$3))),IF($D$15="",INDEX(orderHistory[status],SMALL(IF(ISNUMBER(MATCH(orderHistory[customer],$D$9,0)*MATCH(orderHistory[order_type],$D$13,0)),MATCH(ROW(orderHistory[customer]),ROW(orderHistory[customer])),""),ROWS($A$15:A16)+$B$3)),INDEX(orderHistory[status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status],SMALL(IF(ISNUMBER(MATCH(orderHistory[customer],$D$9,0)*MATCH(orderHistory[status],$D$11,0)),MATCH(ROW(orderHistory[customer]),ROW(orderHistory[customer])),""),ROWS($A$15:A16)+$B$3)),INDEX(orderHistory[status],SMALL(IF(ISNUMBER(MATCH(orderHistory[customer],$D$9,0)*MATCH(orderHistory[status],$D$11,0)*MATCH(YEAR(orderHistory[status]),$D$15,0)),MATCH(ROW(orderHistory[customer]),ROW(orderHistory[customer])),""),ROWS($A$15:A16)+$B$3))),IF($D$15="",INDEX(orderHistory[status],SMALL(IF(ISNUMBER(MATCH(orderHistory[customer],$D$9,0)*MATCH(orderHistory[status],$D$11,0)*MATCH(orderHistory[order_type],$D$13,0)),MATCH(ROW(orderHistory[customer]),ROW(orderHistory[customer])),""),ROWS($A$15:A16)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ON WAITING</v>
      </c>
      <c r="W11" s="407"/>
      <c r="AO11" s="469"/>
      <c r="AQ11" s="462"/>
      <c r="AR11" s="470"/>
      <c r="AS11" s="464"/>
      <c r="AT11" s="471"/>
      <c r="AU11" s="421"/>
      <c r="AW11" s="462"/>
      <c r="AX11" s="472"/>
      <c r="AZ11" s="473"/>
      <c r="BD11" s="460"/>
      <c r="BE11" s="460"/>
      <c r="BF11" s="474"/>
      <c r="BG11" s="466"/>
      <c r="BH11" s="474"/>
      <c r="BJ11" s="421"/>
      <c r="BK11" s="475"/>
      <c r="BL11" s="451"/>
      <c r="BM11" s="452"/>
      <c r="BN11" s="451"/>
      <c r="BO11" s="452"/>
      <c r="BX11" s="469">
        <f>$B$4</f>
        <v>60</v>
      </c>
      <c r="BZ11" s="158" t="s">
        <v>151</v>
      </c>
      <c r="CA11" s="154" t="str">
        <f>IF(BZ11="","",INDEX(bhpc_data[description],MATCH(BZ11,bhpc_data[sku],0)))</f>
        <v>BHPC PRESTIGE ROYALE 100ML EDP MEN</v>
      </c>
      <c r="CB11" s="166"/>
      <c r="CC11" s="357"/>
      <c r="CD11" s="159"/>
      <c r="CE11" s="360"/>
      <c r="CF11" s="161">
        <v>24</v>
      </c>
      <c r="CG11" s="164">
        <f>IFERROR(ROUNDUP(CB11/INDEX(bhpc_data[units_per_carton],MATCH(BZ11,bhpc_data[sku],0)),0),"")</f>
        <v>0</v>
      </c>
      <c r="CH11" s="165">
        <f>IFERROR(ROUNDUP(CD11/INDEX(bhpc_data[units_per_carton],MATCH(BZ11,bhpc_data[sku],0)),0),"")</f>
        <v>0</v>
      </c>
      <c r="CI11" s="165">
        <f>IFERROR(ROUNDUP(CF11/INDEX(bhpc_data[units_per_carton],MATCH(BZ11,bhpc_data[sku])),0),"")</f>
        <v>1</v>
      </c>
      <c r="CJ11" s="165">
        <f>IFERROR(((CB11+CD11+CF11)/INDEX(bhpc_data[units_per_carton],MATCH(BZ11,bhpc_data[sku],0)))*INDEX(bhpc_data[net_weight],MATCH(BZ11,bhpc_data[sku],0)),"")</f>
        <v>9.48</v>
      </c>
      <c r="CK11" s="165">
        <f>IFERROR(((CB11+CD11+CF11)/INDEX(bhpc_data[units_per_carton],MATCH(BZ11,bhpc_data[sku],0)))*INDEX(bhpc_data[gross_weight],MATCH(BZ11,bhpc_data[sku],0)),"")</f>
        <v>9.9</v>
      </c>
      <c r="CL11" s="180">
        <f>IFERROR((CB11+CD11+CF11)/INDEX(bhpc_data[units_per_carton],MATCH(BZ11,bhpc_data[sku],0))*INDEX(bhpc_data[lenght],MATCH(BZ11,bhpc_data[sku],0))*INDEX(bhpc_data[width],MATCH(BZ11,bhpc_data[sku],0))*INDEX(bhpc_data[height],MATCH(BZ11,bhpc_data[sku],0))/1000000000,"")</f>
        <v>1.7531250000000002E-2</v>
      </c>
      <c r="CM11" s="189" t="str">
        <f>IFERROR(INDEX(bhpc_data[category],MATCH(BZ11,bhpc_data[sku],0)),"")</f>
        <v>PRESTIGE</v>
      </c>
      <c r="CN11" s="189">
        <f>IFERROR(INDEX(bhpc_data[size1],MATCH(BZ11,bhpc_data[sku],0)),"")</f>
        <v>100</v>
      </c>
      <c r="CO11" s="388" t="str">
        <f>IFERROR(INDEX(bhpc_data[hs_code],MATCH(BZ11,bhpc_data[sku],0)),"")</f>
        <v>33030010</v>
      </c>
      <c r="CP11" s="377">
        <f>IFERROR(INDEX(inventory[ESISTENZA],MATCH(BZ11,inventory[ARTICOLO],0)),"")</f>
        <v>1474</v>
      </c>
      <c r="CQ11" s="366">
        <f>IFERROR(IF(BZ11="","",IF($BX$15="SALE",INDEX(inventory[COSTO UNITARIO],MATCH(BZ11,inventory[ARTICOLO],0)),IF($BX$15="SAMPLING",INDEX(inventory[COSTO UNITARIO],MATCH(BZ11,inventory[ARTICOLO],0)),""))),"")</f>
        <v>11.68</v>
      </c>
      <c r="CR11" s="365">
        <f t="shared" si="0"/>
        <v>280.32</v>
      </c>
      <c r="CS11" s="264">
        <f t="shared" si="1"/>
        <v>0</v>
      </c>
      <c r="CU11" s="85"/>
      <c r="CV11" s="89" t="s">
        <v>973</v>
      </c>
      <c r="CW11" s="280">
        <f>COUNTA($CB$10:$CB$110)</f>
        <v>0</v>
      </c>
      <c r="CX11" s="372" t="s">
        <v>972</v>
      </c>
      <c r="CY11" s="284">
        <f>SUM(CS10:CS110)</f>
        <v>0</v>
      </c>
      <c r="CZ11" s="82"/>
      <c r="DA11" s="432">
        <f>IFERROR(VLOOKUP(BZ11,bhpc_data[],22,FALSE),"")</f>
        <v>0</v>
      </c>
      <c r="DH11" s="296"/>
      <c r="EC11" s="469"/>
      <c r="EE11" s="202" t="str" cm="1">
        <f t="array" ref="EE11">IFERROR(IF($EC$9="",IF($EC$11="",IF($EC$13="",INDEX(bhpc_data[sku],SMALL(MATCH(ROW(bhpc_data[sku]),ROW(bhpc_data[sku])),ROWS($A$15:A16)+$B$3)),INDEX(bhpc_data[sku],SMALL(IF(ISNUMBER(MATCH(bhpc_data[size1],$EC$13,0)),MATCH(ROW(bhpc_data[sku]),ROW(bhpc_data[sku])),""),ROWS($A$15:A16)+$B$3))),IF($EC$13="",INDEX(bhpc_data[sku],SMALL(IF(ISNUMBER(MATCH(bhpc_data[sex],$EC$11,0)),MATCH(ROW(bhpc_data[sku]),ROW(bhpc_data[sku])),""),ROWS($A$15:A16)+$B$3)),INDEX(bhpc_data[sku],SMALL(IF(ISNUMBER(MATCH(bhpc_data[sex],$EC$11,0)*MATCH(bhpc_data[size1],$EC$13,0)),MATCH(ROW(bhpc_data[sku]),ROW(bhpc_data[sku])),""),ROWS($A$15:A16)+$B$3)))),IF($EC$11="",IF($EC$13="",INDEX(bhpc_data[sku],SMALL(IF(ISNUMBER(MATCH(bhpc_data[category],$EC$9,0)),MATCH(ROW(bhpc_data[sku]),ROW(bhpc_data[sku])),""),ROWS($A$15:A16)+$B$3)),INDEX(bhpc_data[sku],SMALL(IF(ISNUMBER(MATCH(bhpc_data[category],$EC$9,0)*MATCH(bhpc_data[size1],$EC$13,0)),MATCH(ROW(bhpc_data[sku]),ROW(bhpc_data[sku])),""),ROWS($A$15:A16)+$B$3))),IF($EC$13="",INDEX(bhpc_data[sku],SMALL(IF(ISNUMBER(MATCH(bhpc_data[category],$EC$9,0)*MATCH(bhpc_data[sex],$EC$11,0)),MATCH(ROW(bhpc_data[sku]),ROW(bhpc_data[sku])),""),ROWS($A$15:A16)+$B$3)),INDEX(bhpc_data[sku],SMALL(IF(ISNUMBER(MATCH(bhpc_data[category],$EC$9,0)*MATCH(bhpc_data[sex],$EC$11,0)*MATCH(bhpc_data[size1],$EC$13,0)),MATCH(ROW(bhpc_data[sku]),ROW(bhpc_data[sku])),""),ROWS($A$15:A16)+$B$3))))),"")</f>
        <v>GS5005</v>
      </c>
      <c r="EF11" s="198" t="str" cm="1">
        <f t="array" ref="EF11">IFERROR(IF($EC$9="",IF($EC$11="",IF($EC$13="",INDEX(bhpc_data[description],SMALL(MATCH(ROW(bhpc_data[sku]),ROW(bhpc_data[sku])),ROWS($A$15:A16)+$B$3)),INDEX(bhpc_data[description],SMALL(IF(ISNUMBER(MATCH(bhpc_data[size1],$EC$13,0)),MATCH(ROW(bhpc_data[sku]),ROW(bhpc_data[sku])),""),ROWS($A$15:A16)+$B$3))),IF($EC$13="",INDEX(bhpc_data[description],SMALL(IF(ISNUMBER(MATCH(bhpc_data[sex],$EC$11,0)),MATCH(ROW(bhpc_data[sku]),ROW(bhpc_data[sku])),""),ROWS($A$15:A16)+$B$3)),INDEX(bhpc_data[description],SMALL(IF(ISNUMBER(MATCH(bhpc_data[sex],$EC$11,0)*MATCH(bhpc_data[size1],$EC$13,0)),MATCH(ROW(bhpc_data[sku]),ROW(bhpc_data[sku])),""),ROWS($A$15:A16)+$B$3)))),IF($EC$11="",IF($EC$13="",INDEX(bhpc_data[description],SMALL(IF(ISNUMBER(MATCH(bhpc_data[category],$EC$9,0)),MATCH(ROW(bhpc_data[sku]),ROW(bhpc_data[sku])),""),ROWS($A$15:A16)+$B$3)),INDEX(bhpc_data[description],SMALL(IF(ISNUMBER(MATCH(bhpc_data[category],$EC$9,0)*MATCH(bhpc_data[size1],$EC$13,0)),MATCH(ROW(bhpc_data[sku]),ROW(bhpc_data[sku])),""),ROWS($A$15:A16)+$B$3))),IF($EC$13="",INDEX(bhpc_data[description],SMALL(IF(ISNUMBER(MATCH(bhpc_data[category],$EC$9,0)*MATCH(bhpc_data[sex],$EC$11,0)),MATCH(ROW(bhpc_data[sku]),ROW(bhpc_data[sku])),""),ROWS($A$15:A16)+$B$3)),INDEX(bhpc_data[description],SMALL(IF(ISNUMBER(MATCH(bhpc_data[category],$EC$9,0)*MATCH(bhpc_data[sex],$EC$11,0)*MATCH(bhpc_data[size1],$EC$13,0)),MATCH(ROW(bhpc_data[sku]),ROW(bhpc_data[sku])),""),ROWS($A$15:A16)+$B$3))))),"")</f>
        <v>BHPC GIFT SET SPORT MEN 9 EDT 100ML + DEO 175ML</v>
      </c>
      <c r="EG11" s="263">
        <f>IFERROR(IF(warehouse[[#This Row],[SKU]]="","",INDEX(inventory[ESISTENZA],MATCH(warehouse[[#This Row],[SKU]],inventory[ARTICOLO],0))),"")</f>
        <v>250</v>
      </c>
      <c r="EH11" s="328"/>
      <c r="EI11" s="328"/>
      <c r="EJ11" s="263"/>
      <c r="EK11" s="113"/>
      <c r="FF11" s="413"/>
      <c r="FG11" s="413"/>
      <c r="FH11" s="413"/>
      <c r="FI11" s="413"/>
      <c r="FJ11" s="413"/>
      <c r="FK11" s="413"/>
      <c r="FL11" s="413"/>
      <c r="FM11" s="413"/>
      <c r="FN11" s="413"/>
      <c r="FO11" s="413"/>
      <c r="FP11" s="413"/>
      <c r="FQ11" s="413"/>
      <c r="FR11" s="413"/>
      <c r="FS11" s="413"/>
      <c r="FT11" s="413"/>
      <c r="FU11" s="413"/>
      <c r="FV11" s="413"/>
      <c r="FW11" s="413"/>
      <c r="FX11" s="413"/>
      <c r="FY11" s="413"/>
      <c r="FZ11" s="413"/>
      <c r="GA11" s="413"/>
      <c r="GB11" s="413"/>
      <c r="GC11" s="413"/>
      <c r="GD11" s="413"/>
      <c r="GE11" s="413"/>
      <c r="GF11" s="413"/>
      <c r="GG11" s="413"/>
      <c r="GH11" s="413"/>
      <c r="GI11" s="413"/>
      <c r="GJ11" s="413"/>
      <c r="GK11" s="413"/>
      <c r="GL11" s="413"/>
      <c r="GM11" s="413"/>
      <c r="GN11" s="413"/>
      <c r="GO11" s="413"/>
      <c r="GP11" s="413"/>
      <c r="GQ11" s="413"/>
      <c r="GR11" s="413"/>
      <c r="GS11" s="413"/>
      <c r="GT11" s="413"/>
      <c r="GU11" s="413"/>
      <c r="GV11" s="413"/>
      <c r="GW11" s="413"/>
      <c r="GX11" s="413"/>
      <c r="GY11" s="413"/>
      <c r="GZ11" s="413"/>
      <c r="HA11" s="413"/>
      <c r="HB11" s="413"/>
      <c r="HC11" s="413"/>
      <c r="HD11" s="413"/>
      <c r="HE11" s="413"/>
      <c r="HF11" s="413"/>
      <c r="HG11" s="413"/>
      <c r="HH11" s="413"/>
      <c r="HI11" s="413"/>
      <c r="HJ11" s="413"/>
      <c r="HK11" s="413"/>
      <c r="HL11" s="413"/>
      <c r="HM11" s="413"/>
      <c r="HN11" s="413"/>
      <c r="HO11" s="413"/>
      <c r="HP11" s="413"/>
      <c r="HQ11" s="413"/>
      <c r="HR11" s="413"/>
      <c r="HS11" s="413"/>
      <c r="HT11" s="413"/>
    </row>
    <row r="12" spans="1:702" ht="15" customHeight="1" x14ac:dyDescent="0.35">
      <c r="B12" s="151"/>
      <c r="D12" s="415" t="s">
        <v>781</v>
      </c>
      <c r="F12" s="91"/>
      <c r="G12" s="823" t="str">
        <f>IFERROR(INDEX(clientData[country],MATCH($B$6,clientData[cod_cliente],0)),"")</f>
        <v>UAE</v>
      </c>
      <c r="H12" s="824"/>
      <c r="I12" s="825"/>
      <c r="J12" s="82"/>
      <c r="L12" s="539" t="str">
        <f t="array" ref="L12">IFERROR(IF($D$9="",IF($D$11="",IF($D$13="",IF($D$15="",INDEX(orderHistory[customer],SMALL(MATCH(ROW(orderHistory[customer]),ROW(orderHistory[customer])),ROWS($A$15:A17)+$B$3)),INDEX(orderHistory[customer],SMALL(IF(ISNUMBER(MATCH(YEAR(orderHistory[invoice_date]),$D$15,0)),MATCH(ROW(orderHistory[customer]),ROW(orderHistory[customer])),""),ROWS($A$15:A17)+$B$3))),IF($D$15="",INDEX(orderHistory[customer],SMALL(IF(ISNUMBER(MATCH(orderHistory[order_type],$D$13,0)),MATCH(ROW(orderHistory[customer]),ROW(orderHistory[customer])),""),ROWS($A$15:A17)+$B$3)),INDEX(orderHistory[customer],SMALL(IF(ISNUMBER(MATCH(orderHistory[order_type],$D$13,0)*MATCH(YEAR(orderHistory[invoice_date]),$D$15,0)),MATCH(ROW(orderHistory[customer]),ROW(orderHistory[customer])),""),ROWS($A$15:A17)+$B$3)))),IF($D$13="",IF($D$15="",INDEX(orderHistory[customer],SMALL(IF(ISNUMBER(MATCH(orderHistory[status],$D$11,0)),MATCH(ROW(orderHistory[customer]),ROW(orderHistory[customer])),""),ROWS($A$15:A17)+$B$3)),INDEX(orderHistory[customer],SMALL(IF(ISNUMBER(MATCH(orderHistory[status],$D$11,0)*MATCH(YEAR(orderHistory[invoice_date]),$D$15,0)),MATCH(ROW(orderHistory[customer]),ROW(orderHistory[customer])),""),ROWS($A$15:A17)+$B$3))),IF($D$15="",INDEX(orderHistory[customer],SMALL(IF(ISNUMBER(MATCH(orderHistory[status],$D$11,0)*MATCH(orderHistory[order_type],$D$13,0)),MATCH(ROW(orderHistory[customer]),ROW(orderHistory[customer])),""),ROWS($A$15:A17)+$B$3)),INDEX(orderHistory[customer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customer],SMALL(IF(ISNUMBER(MATCH(orderHistory[customer],$D$9,0)),MATCH(ROW(orderHistory[customer]),ROW(orderHistory[customer])),""),ROWS($A$15:A17)+$B$3)),INDEX(orderHistory[customer],SMALL(IF(ISNUMBER(MATCH(orderHistory[customer],$D$9,0)*MATCH(YEAR(orderHistory[invoice_date]),$D$15,0)),MATCH(ROW(orderHistory[customer]),ROW(orderHistory[customer])),""),ROWS($A$15:A17)+$B$3))),IF($D$15="",INDEX(orderHistory[customer],SMALL(IF(ISNUMBER(MATCH(orderHistory[customer],$D$9,0)*MATCH(orderHistory[order_type],$D$13,0)),MATCH(ROW(orderHistory[customer]),ROW(orderHistory[customer])),""),ROWS($A$15:A17)+$B$3)),INDEX(orderHistory[customer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customer],SMALL(IF(ISNUMBER(MATCH(orderHistory[customer],$D$9,0)*MATCH(orderHistory[status],$D$11,0)),MATCH(ROW(orderHistory[customer]),ROW(orderHistory[customer])),""),ROWS($A$15:A17)+$B$3)),INDEX(orderHistory[customer],SMALL(IF(ISNUMBER(MATCH(orderHistory[customer],$D$9,0)*MATCH(orderHistory[status],$D$11,0)*MATCH(YEAR(orderHistory[invoice_date]),$D$15,0)),MATCH(ROW(orderHistory[customer]),ROW(orderHistory[customer])),""),ROWS($A$15:A17)+$B$3))),IF($D$15="",INDEX(orderHistory[customer],SMALL(IF(ISNUMBER(MATCH(orderHistory[customer],$D$9,0)*MATCH(orderHistory[status],$D$11,0)*MATCH(orderHistory[order_type],$D$13,0)),MATCH(ROW(orderHistory[customer]),ROW(orderHistory[customer])),""),ROWS($A$15:A17)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ESB SERVICE GROUP</v>
      </c>
      <c r="M12" s="540">
        <f t="array" ref="M12">IFERROR(IF($D$9="",IF($D$11="",IF($D$13="",IF($D$15="",INDEX(orderHistory[order_no],SMALL(MATCH(ROW(orderHistory[customer]),ROW(orderHistory[customer])),ROWS($A$15:A17)+$B$3)),INDEX(orderHistory[order_no],SMALL(IF(ISNUMBER(MATCH(YEAR(orderHistory[invoice_date]),$D$15,0)),MATCH(ROW(orderHistory[customer]),ROW(orderHistory[customer])),""),ROWS($A$15:A17)+$B$3))),IF($D$15="",INDEX(orderHistory[order_no],SMALL(IF(ISNUMBER(MATCH(orderHistory[order_type],$D$13,0)),MATCH(ROW(orderHistory[customer]),ROW(orderHistory[customer])),""),ROWS($A$15:A17)+$B$3)),INDEX(orderHistory[order_no],SMALL(IF(ISNUMBER(MATCH(orderHistory[order_type],$D$13,0)*MATCH(YEAR(orderHistory[invoice_date]),$D$15,0)),MATCH(ROW(orderHistory[customer]),ROW(orderHistory[customer])),""),ROWS($A$15:A17)+$B$3)))),IF($D$13="",IF($D$15="",INDEX(orderHistory[order_no],SMALL(IF(ISNUMBER(MATCH(orderHistory[status],$D$11,0)),MATCH(ROW(orderHistory[customer]),ROW(orderHistory[customer])),""),ROWS($A$15:A17)+$B$3)),INDEX(orderHistory[order_no],SMALL(IF(ISNUMBER(MATCH(orderHistory[status],$D$11,0)*MATCH(YEAR(orderHistory[invoice_date]),$D$15,0)),MATCH(ROW(orderHistory[customer]),ROW(orderHistory[customer])),""),ROWS($A$15:A17)+$B$3))),IF($D$15="",INDEX(orderHistory[order_no],SMALL(IF(ISNUMBER(MATCH(orderHistory[status],$D$11,0)*MATCH(orderHistory[order_type],$D$13,0)),MATCH(ROW(orderHistory[customer]),ROW(orderHistory[customer])),""),ROWS($A$15:A17)+$B$3)),INDEX(orderHistory[order_no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no],SMALL(IF(ISNUMBER(MATCH(orderHistory[customer],$D$9,0)),MATCH(ROW(orderHistory[customer]),ROW(orderHistory[customer])),""),ROWS($A$15:A17)+$B$3)),INDEX(orderHistory[order_no],SMALL(IF(ISNUMBER(MATCH(orderHistory[customer],$D$9,0)*MATCH(YEAR(orderHistory[invoice_date]),$D$15,0)),MATCH(ROW(orderHistory[customer]),ROW(orderHistory[customer])),""),ROWS($A$15:A17)+$B$3))),IF($D$15="",INDEX(orderHistory[order_no],SMALL(IF(ISNUMBER(MATCH(orderHistory[customer],$D$9,0)*MATCH(orderHistory[order_type],$D$13,0)),MATCH(ROW(orderHistory[customer]),ROW(orderHistory[customer])),""),ROWS($A$15:A17)+$B$3)),INDEX(orderHistory[order_no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no],SMALL(IF(ISNUMBER(MATCH(orderHistory[customer],$D$9,0)*MATCH(orderHistory[status],$D$11,0)),MATCH(ROW(orderHistory[customer]),ROW(orderHistory[customer])),""),ROWS($A$15:A17)+$B$3)),INDEX(orderHistory[order_no],SMALL(IF(ISNUMBER(MATCH(orderHistory[customer],$D$9,0)*MATCH(orderHistory[status],$D$11,0)*MATCH(YEAR(orderHistory[invoice_date]),$D$15,0)),MATCH(ROW(orderHistory[customer]),ROW(orderHistory[customer])),""),ROWS($A$15:A17)+$B$3))),IF($D$15="",INDEX(orderHistory[order_no],SMALL(IF(ISNUMBER(MATCH(orderHistory[customer],$D$9,0)*MATCH(orderHistory[status],$D$11,0)*MATCH(orderHistory[order_type],$D$13,0)),MATCH(ROW(orderHistory[customer]),ROW(orderHistory[customer])),""),ROWS($A$15:A17)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59</v>
      </c>
      <c r="N12" s="541" t="str">
        <f t="array" ref="N12">IFERROR(IF($D$9="",IF($D$11="",IF($D$13="",IF($D$15="",INDEX(orderHistory[order_type],SMALL(MATCH(ROW(orderHistory[customer]),ROW(orderHistory[customer])),ROWS($A$15:A17)+$B$3)),INDEX(orderHistory[order_type],SMALL(IF(ISNUMBER(MATCH(YEAR(orderHistory[invoice_date]),$D$15,0)),MATCH(ROW(orderHistory[customer]),ROW(orderHistory[customer])),""),ROWS($A$15:A17)+$B$3))),IF($D$15="",INDEX(orderHistory[order_type],SMALL(IF(ISNUMBER(MATCH(orderHistory[order_type],$D$13,0)),MATCH(ROW(orderHistory[customer]),ROW(orderHistory[customer])),""),ROWS($A$15:A17)+$B$3)),INDEX(orderHistory[order_type],SMALL(IF(ISNUMBER(MATCH(orderHistory[order_type],$D$13,0)*MATCH(YEAR(orderHistory[invoice_date]),$D$15,0)),MATCH(ROW(orderHistory[customer]),ROW(orderHistory[customer])),""),ROWS($A$15:A17)+$B$3)))),IF($D$13="",IF($D$15="",INDEX(orderHistory[order_type],SMALL(IF(ISNUMBER(MATCH(orderHistory[status],$D$11,0)),MATCH(ROW(orderHistory[customer]),ROW(orderHistory[customer])),""),ROWS($A$15:A17)+$B$3)),INDEX(orderHistory[order_type],SMALL(IF(ISNUMBER(MATCH(orderHistory[status],$D$11,0)*MATCH(YEAR(orderHistory[invoice_date]),$D$15,0)),MATCH(ROW(orderHistory[customer]),ROW(orderHistory[customer])),""),ROWS($A$15:A17)+$B$3))),IF($D$15="",INDEX(orderHistory[order_type],SMALL(IF(ISNUMBER(MATCH(orderHistory[status],$D$11,0)*MATCH(orderHistory[order_type],$D$13,0)),MATCH(ROW(orderHistory[customer]),ROW(orderHistory[customer])),""),ROWS($A$15:A17)+$B$3)),INDEX(orderHistory[order_typ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type],SMALL(IF(ISNUMBER(MATCH(orderHistory[customer],$D$9,0)),MATCH(ROW(orderHistory[customer]),ROW(orderHistory[customer])),""),ROWS($A$15:A17)+$B$3)),INDEX(orderHistory[order_type],SMALL(IF(ISNUMBER(MATCH(orderHistory[customer],$D$9,0)*MATCH(YEAR(orderHistory[invoice_date]),$D$15,0)),MATCH(ROW(orderHistory[customer]),ROW(orderHistory[customer])),""),ROWS($A$15:A17)+$B$3))),IF($D$15="",INDEX(orderHistory[order_type],SMALL(IF(ISNUMBER(MATCH(orderHistory[customer],$D$9,0)*MATCH(orderHistory[order_type],$D$13,0)),MATCH(ROW(orderHistory[customer]),ROW(orderHistory[customer])),""),ROWS($A$15:A17)+$B$3)),INDEX(orderHistory[order_typ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type],SMALL(IF(ISNUMBER(MATCH(orderHistory[customer],$D$9,0)*MATCH(orderHistory[status],$D$11,0)),MATCH(ROW(orderHistory[customer]),ROW(orderHistory[customer])),""),ROWS($A$15:A17)+$B$3)),INDEX(orderHistory[order_type],SMALL(IF(ISNUMBER(MATCH(orderHistory[customer],$D$9,0)*MATCH(orderHistory[status],$D$11,0)*MATCH(YEAR(orderHistory[invoice_date]),$D$15,0)),MATCH(ROW(orderHistory[customer]),ROW(orderHistory[customer])),""),ROWS($A$15:A17)+$B$3))),IF($D$15="",INDEX(orderHistory[order_type],SMALL(IF(ISNUMBER(MATCH(orderHistory[customer],$D$9,0)*MATCH(orderHistory[status],$D$11,0)*MATCH(orderHistory[order_type],$D$13,0)),MATCH(ROW(orderHistory[customer]),ROW(orderHistory[customer])),""),ROWS($A$15:A17)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SAMPLING</v>
      </c>
      <c r="O12" s="542">
        <f t="array" ref="O12">IFERROR(IF($D$9="",IF($D$11="",IF($D$13="",IF($D$15="",INDEX(orderHistory[order_date],SMALL(MATCH(ROW(orderHistory[customer]),ROW(orderHistory[customer])),ROWS($A$15:A17)+$B$3)),INDEX(orderHistory[order_date],SMALL(IF(ISNUMBER(MATCH(YEAR(orderHistory[invoice_date]),$D$15,0)),MATCH(ROW(orderHistory[customer]),ROW(orderHistory[customer])),""),ROWS($A$15:A17)+$B$3))),IF($D$15="",INDEX(orderHistory[order_date],SMALL(IF(ISNUMBER(MATCH(orderHistory[order_type],$D$13,0)),MATCH(ROW(orderHistory[customer]),ROW(orderHistory[customer])),""),ROWS($A$15:A17)+$B$3)),INDEX(orderHistory[order_date],SMALL(IF(ISNUMBER(MATCH(orderHistory[order_type],$D$13,0)*MATCH(YEAR(orderHistory[invoice_date]),$D$15,0)),MATCH(ROW(orderHistory[customer]),ROW(orderHistory[customer])),""),ROWS($A$15:A17)+$B$3)))),IF($D$13="",IF($D$15="",INDEX(orderHistory[order_date],SMALL(IF(ISNUMBER(MATCH(orderHistory[status],$D$11,0)),MATCH(ROW(orderHistory[customer]),ROW(orderHistory[customer])),""),ROWS($A$15:A17)+$B$3)),INDEX(orderHistory[order_date],SMALL(IF(ISNUMBER(MATCH(orderHistory[status],$D$11,0)*MATCH(YEAR(orderHistory[invoice_date]),$D$15,0)),MATCH(ROW(orderHistory[customer]),ROW(orderHistory[customer])),""),ROWS($A$15:A17)+$B$3))),IF($D$15="",INDEX(orderHistory[order_date],SMALL(IF(ISNUMBER(MATCH(orderHistory[status],$D$11,0)*MATCH(orderHistory[order_type],$D$13,0)),MATCH(ROW(orderHistory[customer]),ROW(orderHistory[customer])),""),ROWS($A$15:A17)+$B$3)),INDEX(orderHistory[order_dat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date],SMALL(IF(ISNUMBER(MATCH(orderHistory[customer],$D$9,0)),MATCH(ROW(orderHistory[customer]),ROW(orderHistory[customer])),""),ROWS($A$15:A17)+$B$3)),INDEX(orderHistory[order_date],SMALL(IF(ISNUMBER(MATCH(orderHistory[customer],$D$9,0)*MATCH(YEAR(orderHistory[invoice_date]),$D$15,0)),MATCH(ROW(orderHistory[customer]),ROW(orderHistory[customer])),""),ROWS($A$15:A17)+$B$3))),IF($D$15="",INDEX(orderHistory[order_date],SMALL(IF(ISNUMBER(MATCH(orderHistory[customer],$D$9,0)*MATCH(orderHistory[order_type],$D$13,0)),MATCH(ROW(orderHistory[customer]),ROW(orderHistory[customer])),""),ROWS($A$15:A17)+$B$3)),INDEX(orderHistory[order_dat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date],SMALL(IF(ISNUMBER(MATCH(orderHistory[customer],$D$9,0)*MATCH(orderHistory[status],$D$11,0)),MATCH(ROW(orderHistory[customer]),ROW(orderHistory[customer])),""),ROWS($A$15:A17)+$B$3)),INDEX(orderHistory[order_date],SMALL(IF(ISNUMBER(MATCH(orderHistory[customer],$D$9,0)*MATCH(orderHistory[status],$D$11,0)*MATCH(YEAR(orderHistory[invoice_date]),$D$15,0)),MATCH(ROW(orderHistory[customer]),ROW(orderHistory[customer])),""),ROWS($A$15:A17)+$B$3))),IF($D$15="",INDEX(orderHistory[order_date],SMALL(IF(ISNUMBER(MATCH(orderHistory[customer],$D$9,0)*MATCH(orderHistory[status],$D$11,0)*MATCH(orderHistory[order_type],$D$13,0)),MATCH(ROW(orderHistory[customer]),ROW(orderHistory[customer])),""),ROWS($A$15:A17)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45449</v>
      </c>
      <c r="P12" s="543">
        <f t="array" ref="P12">IFERROR(IF($D$9="",IF($D$11="",IF($D$13="",IF($D$15="",INDEX(orderHistory[invoice_no],SMALL(MATCH(ROW(orderHistory[customer]),ROW(orderHistory[customer])),ROWS($A$15:A17)+$B$3)),INDEX(orderHistory[invoice_no],SMALL(IF(ISNUMBER(MATCH(YEAR(orderHistory[invoice_date]),$D$15,0)),MATCH(ROW(orderHistory[customer]),ROW(orderHistory[customer])),""),ROWS($A$15:A17)+$B$3))),IF($D$15="",INDEX(orderHistory[invoice_no],SMALL(IF(ISNUMBER(MATCH(orderHistory[order_type],$D$13,0)),MATCH(ROW(orderHistory[customer]),ROW(orderHistory[customer])),""),ROWS($A$15:A17)+$B$3)),INDEX(orderHistory[invoice_no],SMALL(IF(ISNUMBER(MATCH(orderHistory[order_type],$D$13,0)*MATCH(YEAR(orderHistory[invoice_date]),$D$15,0)),MATCH(ROW(orderHistory[customer]),ROW(orderHistory[customer])),""),ROWS($A$15:A17)+$B$3)))),IF($D$13="",IF($D$15="",INDEX(orderHistory[invoice_no],SMALL(IF(ISNUMBER(MATCH(orderHistory[status],$D$11,0)),MATCH(ROW(orderHistory[customer]),ROW(orderHistory[customer])),""),ROWS($A$15:A17)+$B$3)),INDEX(orderHistory[invoice_no],SMALL(IF(ISNUMBER(MATCH(orderHistory[status],$D$11,0)*MATCH(YEAR(orderHistory[invoice_date]),$D$15,0)),MATCH(ROW(orderHistory[customer]),ROW(orderHistory[customer])),""),ROWS($A$15:A17)+$B$3))),IF($D$15="",INDEX(orderHistory[invoice_no],SMALL(IF(ISNUMBER(MATCH(orderHistory[status],$D$11,0)*MATCH(orderHistory[order_type],$D$13,0)),MATCH(ROW(orderHistory[customer]),ROW(orderHistory[customer])),""),ROWS($A$15:A17)+$B$3)),INDEX(orderHistory[invoice_no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oice_no],SMALL(IF(ISNUMBER(MATCH(orderHistory[customer],$D$9,0)),MATCH(ROW(orderHistory[customer]),ROW(orderHistory[customer])),""),ROWS($A$15:A17)+$B$3)),INDEX(orderHistory[invoice_no],SMALL(IF(ISNUMBER(MATCH(orderHistory[customer],$D$9,0)*MATCH(YEAR(orderHistory[invoice_date]),$D$15,0)),MATCH(ROW(orderHistory[customer]),ROW(orderHistory[customer])),""),ROWS($A$15:A17)+$B$3))),IF($D$15="",INDEX(orderHistory[invoice_no],SMALL(IF(ISNUMBER(MATCH(orderHistory[customer],$D$9,0)*MATCH(orderHistory[order_type],$D$13,0)),MATCH(ROW(orderHistory[customer]),ROW(orderHistory[customer])),""),ROWS($A$15:A17)+$B$3)),INDEX(orderHistory[invoice_no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YEAR(orderHistory[invoice_date]),$D$15,0)),MATCH(ROW(orderHistory[customer]),ROW(orderHistory[customer])),""),ROWS($A$15:A17)+$B$3))),IF($D$15="",INDEX(orderHistory[invoice_no],SMALL(IF(ISNUMBER(MATCH(orderHistory[customer],$D$9,0)*MATCH(orderHistory[status],$D$11,0)*MATCH(orderHistory[order_type],$D$13,0)),MATCH(ROW(orderHistory[customer]),ROW(orderHistory[customer])),""),ROWS($A$15:A17)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0</v>
      </c>
      <c r="Q12" s="544">
        <f t="array" ref="Q12">IFERROR(IF($D$9="",IF($D$11="",IF($D$13="",IF($D$15="",INDEX(orderHistory[invoice_date],SMALL(MATCH(ROW(orderHistory[customer]),ROW(orderHistory[customer])),ROWS($A$15:A17)+$B$3)),INDEX(orderHistory[invoice_date],SMALL(IF(ISNUMBER(MATCH(YEAR(orderHistory[invoice_date]),$D$15,0)),MATCH(ROW(orderHistory[customer]),ROW(orderHistory[customer])),""),ROWS($A$15:A17)+$B$3))),IF($D$15="",INDEX(orderHistory[invoice_date],SMALL(IF(ISNUMBER(MATCH(orderHistory[order_type],$D$13,0)),MATCH(ROW(orderHistory[customer]),ROW(orderHistory[customer])),""),ROWS($A$15:A17)+$B$3)),INDEX(orderHistory[invoice_date],SMALL(IF(ISNUMBER(MATCH(orderHistory[order_type],$D$13,0)*MATCH(YEAR(orderHistory[invoice_date]),$D$15,0)),MATCH(ROW(orderHistory[customer]),ROW(orderHistory[customer])),""),ROWS($A$15:A17)+$B$3)))),IF($D$13="",IF($D$15="",INDEX(orderHistory[invoice_date],SMALL(IF(ISNUMBER(MATCH(orderHistory[status],$D$11,0)),MATCH(ROW(orderHistory[customer]),ROW(orderHistory[customer])),""),ROWS($A$15:A17)+$B$3)),INDEX(orderHistory[invoice_date],SMALL(IF(ISNUMBER(MATCH(orderHistory[status],$D$11,0)*MATCH(YEAR(orderHistory[invoice_date]),$D$15,0)),MATCH(ROW(orderHistory[customer]),ROW(orderHistory[customer])),""),ROWS($A$15:A17)+$B$3))),IF($D$15="",INDEX(orderHistory[invoice_date],SMALL(IF(ISNUMBER(MATCH(orderHistory[status],$D$11,0)*MATCH(orderHistory[order_type],$D$13,0)),MATCH(ROW(orderHistory[customer]),ROW(orderHistory[customer])),""),ROWS($A$15:A17)+$B$3)),INDEX(orderHistory[invoice_dat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oice_date],SMALL(IF(ISNUMBER(MATCH(orderHistory[customer],$D$9,0)),MATCH(ROW(orderHistory[customer]),ROW(orderHistory[customer])),""),ROWS($A$15:A17)+$B$3)),INDEX(orderHistory[invoice_date],SMALL(IF(ISNUMBER(MATCH(orderHistory[customer],$D$9,0)*MATCH(YEAR(orderHistory[invoice_date]),$D$15,0)),MATCH(ROW(orderHistory[customer]),ROW(orderHistory[customer])),""),ROWS($A$15:A17)+$B$3))),IF($D$15="",INDEX(orderHistory[invoice_date],SMALL(IF(ISNUMBER(MATCH(orderHistory[customer],$D$9,0)*MATCH(orderHistory[order_type],$D$13,0)),MATCH(ROW(orderHistory[customer]),ROW(orderHistory[customer])),""),ROWS($A$15:A17)+$B$3)),INDEX(orderHistory[invoice_dat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YEAR(orderHistory[invoice_date]),$D$15,0)),MATCH(ROW(orderHistory[customer]),ROW(orderHistory[customer])),""),ROWS($A$15:A17)+$B$3))),IF($D$15="",INDEX(orderHistory[invoice_date],SMALL(IF(ISNUMBER(MATCH(orderHistory[customer],$D$9,0)*MATCH(orderHistory[status],$D$11,0)*MATCH(orderHistory[order_type],$D$13,0)),MATCH(ROW(orderHistory[customer]),ROW(orderHistory[customer])),""),ROWS($A$15:A17)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0</v>
      </c>
      <c r="R12" s="545">
        <f t="array" ref="R12">IFERROR(IF($D$9="",IF($D$11="",IF($D$13="",IF($D$15="",INDEX(orderHistory[inv_amount],SMALL(MATCH(ROW(orderHistory[customer]),ROW(orderHistory[customer])),ROWS($A$15:A17)+$B$3)),INDEX(orderHistory[inv_amount],SMALL(IF(ISNUMBER(MATCH(YEAR(orderHistory[invoice_date]),$D$15,0)),MATCH(ROW(orderHistory[customer]),ROW(orderHistory[customer])),""),ROWS($A$15:A17)+$B$3))),IF($D$15="",INDEX(orderHistory[inv_amount],SMALL(IF(ISNUMBER(MATCH(orderHistory[order_type],$D$13,0)),MATCH(ROW(orderHistory[customer]),ROW(orderHistory[customer])),""),ROWS($A$15:A17)+$B$3)),INDEX(orderHistory[inv_amount],SMALL(IF(ISNUMBER(MATCH(orderHistory[order_type],$D$13,0)*MATCH(YEAR(orderHistory[invoice_date]),$D$15,0)),MATCH(ROW(orderHistory[customer]),ROW(orderHistory[customer])),""),ROWS($A$15:A17)+$B$3)))),IF($D$13="",IF($D$15="",INDEX(orderHistory[inv_amount],SMALL(IF(ISNUMBER(MATCH(orderHistory[status],$D$11,0)),MATCH(ROW(orderHistory[customer]),ROW(orderHistory[customer])),""),ROWS($A$15:A17)+$B$3)),INDEX(orderHistory[inv_amount],SMALL(IF(ISNUMBER(MATCH(orderHistory[status],$D$11,0)*MATCH(YEAR(orderHistory[invoice_date]),$D$15,0)),MATCH(ROW(orderHistory[customer]),ROW(orderHistory[customer])),""),ROWS($A$15:A17)+$B$3))),IF($D$15="",INDEX(orderHistory[inv_amount],SMALL(IF(ISNUMBER(MATCH(orderHistory[status],$D$11,0)*MATCH(orderHistory[order_type],$D$13,0)),MATCH(ROW(orderHistory[customer]),ROW(orderHistory[customer])),""),ROWS($A$15:A17)+$B$3)),INDEX(orderHistory[inv_amount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_amount],SMALL(IF(ISNUMBER(MATCH(orderHistory[customer],$D$9,0)),MATCH(ROW(orderHistory[customer]),ROW(orderHistory[customer])),""),ROWS($A$15:A17)+$B$3)),INDEX(orderHistory[inv_amount],SMALL(IF(ISNUMBER(MATCH(orderHistory[customer],$D$9,0)*MATCH(YEAR(orderHistory[invoice_date]),$D$15,0)),MATCH(ROW(orderHistory[customer]),ROW(orderHistory[customer])),""),ROWS($A$15:A17)+$B$3))),IF($D$15="",INDEX(orderHistory[inv_amount],SMALL(IF(ISNUMBER(MATCH(orderHistory[customer],$D$9,0)*MATCH(orderHistory[order_type],$D$13,0)),MATCH(ROW(orderHistory[customer]),ROW(orderHistory[customer])),""),ROWS($A$15:A17)+$B$3)),INDEX(orderHistory[inv_amount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_amount],SMALL(IF(ISNUMBER(MATCH(orderHistory[customer],$D$9,0)*MATCH(orderHistory[status],$D$11,0)),MATCH(ROW(orderHistory[customer]),ROW(orderHistory[customer])),""),ROWS($A$15:A17)+$B$3)),INDEX(orderHistory[inv_amount],SMALL(IF(ISNUMBER(MATCH(orderHistory[customer],$D$9,0)*MATCH(orderHistory[status],$D$11,0)*MATCH(YEAR(orderHistory[inv_amount]),$D$15,0)),MATCH(ROW(orderHistory[customer]),ROW(orderHistory[customer])),""),ROWS($A$15:A17)+$B$3))),IF($D$15="",INDEX(orderHistory[inv_amount],SMALL(IF(ISNUMBER(MATCH(orderHistory[customer],$D$9,0)*MATCH(orderHistory[status],$D$11,0)*MATCH(orderHistory[order_type],$D$13,0)),MATCH(ROW(orderHistory[customer]),ROW(orderHistory[customer])),""),ROWS($A$15:A17)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0</v>
      </c>
      <c r="S12" s="546">
        <f t="shared" si="2"/>
        <v>0</v>
      </c>
      <c r="T12" s="547" t="b">
        <f t="array" ref="T12">IFERROR(IF($D$9="",IF($D$11="",IF($D$13="",IF($D$15="",INDEX(orderHistory[payed],SMALL(MATCH(ROW(orderHistory[customer]),ROW(orderHistory[customer])),ROWS($A$15:A17)+$B$3)),INDEX(orderHistory[payed],SMALL(IF(ISNUMBER(MATCH(YEAR(orderHistory[invoice_date]),$D$15,0)),MATCH(ROW(orderHistory[customer]),ROW(orderHistory[customer])),""),ROWS($A$15:A17)+$B$3))),IF($D$15="",INDEX(orderHistory[payed],SMALL(IF(ISNUMBER(MATCH(orderHistory[order_type],$D$13,0)),MATCH(ROW(orderHistory[customer]),ROW(orderHistory[customer])),""),ROWS($A$15:A17)+$B$3)),INDEX(orderHistory[payed],SMALL(IF(ISNUMBER(MATCH(orderHistory[order_type],$D$13,0)*MATCH(YEAR(orderHistory[invoice_date]),$D$15,0)),MATCH(ROW(orderHistory[customer]),ROW(orderHistory[customer])),""),ROWS($A$15:A17)+$B$3)))),IF($D$13="",IF($D$15="",INDEX(orderHistory[payed],SMALL(IF(ISNUMBER(MATCH(orderHistory[status],$D$11,0)),MATCH(ROW(orderHistory[customer]),ROW(orderHistory[customer])),""),ROWS($A$15:A17)+$B$3)),INDEX(orderHistory[payed],SMALL(IF(ISNUMBER(MATCH(orderHistory[status],$D$11,0)*MATCH(YEAR(orderHistory[invoice_date]),$D$15,0)),MATCH(ROW(orderHistory[customer]),ROW(orderHistory[customer])),""),ROWS($A$15:A17)+$B$3))),IF($D$15="",INDEX(orderHistory[payed],SMALL(IF(ISNUMBER(MATCH(orderHistory[status],$D$11,0)*MATCH(orderHistory[order_type],$D$13,0)),MATCH(ROW(orderHistory[customer]),ROW(orderHistory[customer])),""),ROWS($A$15:A17)+$B$3)),INDEX(orderHistory[payed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payed],SMALL(IF(ISNUMBER(MATCH(orderHistory[customer],$D$9,0)),MATCH(ROW(orderHistory[customer]),ROW(orderHistory[customer])),""),ROWS($A$15:A17)+$B$3)),INDEX(orderHistory[payed],SMALL(IF(ISNUMBER(MATCH(orderHistory[customer],$D$9,0)*MATCH(YEAR(orderHistory[invoice_date]),$D$15,0)),MATCH(ROW(orderHistory[customer]),ROW(orderHistory[customer])),""),ROWS($A$15:A17)+$B$3))),IF($D$15="",INDEX(orderHistory[payed],SMALL(IF(ISNUMBER(MATCH(orderHistory[customer],$D$9,0)*MATCH(orderHistory[order_type],$D$13,0)),MATCH(ROW(orderHistory[customer]),ROW(orderHistory[customer])),""),ROWS($A$15:A17)+$B$3)),INDEX(orderHistory[payed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payed],SMALL(IF(ISNUMBER(MATCH(orderHistory[customer],$D$9,0)*MATCH(orderHistory[status],$D$11,0)),MATCH(ROW(orderHistory[customer]),ROW(orderHistory[customer])),""),ROWS($A$15:A17)+$B$3)),INDEX(orderHistory[payed],SMALL(IF(ISNUMBER(MATCH(orderHistory[customer],$D$9,0)*MATCH(orderHistory[status],$D$11,0)*MATCH(YEAR(orderHistory[payed]),$D$15,0)),MATCH(ROW(orderHistory[customer]),ROW(orderHistory[customer])),""),ROWS($A$15:A17)+$B$3))),IF($D$15="",INDEX(orderHistory[payed],SMALL(IF(ISNUMBER(MATCH(orderHistory[customer],$D$9,0)*MATCH(orderHistory[status],$D$11,0)*MATCH(orderHistory[order_type],$D$13,0)),MATCH(ROW(orderHistory[customer]),ROW(orderHistory[customer])),""),ROWS($A$15:A17)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1</v>
      </c>
      <c r="U12" s="541" t="str">
        <f t="array" ref="U12">IFERROR(IF($D$9="",IF($D$11="",IF($D$13="",IF($D$15="",INDEX(orderHistory[shipping_method],SMALL(MATCH(ROW(orderHistory[customer]),ROW(orderHistory[customer])),ROWS($A$15:A17)+$B$3)),INDEX(orderHistory[shipping_method],SMALL(IF(ISNUMBER(MATCH(YEAR(orderHistory[invoice_date]),$D$15,0)),MATCH(ROW(orderHistory[customer]),ROW(orderHistory[customer])),""),ROWS($A$15:A17)+$B$3))),IF($D$15="",INDEX(orderHistory[shipping_method],SMALL(IF(ISNUMBER(MATCH(orderHistory[order_type],$D$13,0)),MATCH(ROW(orderHistory[customer]),ROW(orderHistory[customer])),""),ROWS($A$15:A17)+$B$3)),INDEX(orderHistory[shipping_method],SMALL(IF(ISNUMBER(MATCH(orderHistory[order_type],$D$13,0)*MATCH(YEAR(orderHistory[invoice_date]),$D$15,0)),MATCH(ROW(orderHistory[customer]),ROW(orderHistory[customer])),""),ROWS($A$15:A17)+$B$3)))),IF($D$13="",IF($D$15="",INDEX(orderHistory[shipping_method],SMALL(IF(ISNUMBER(MATCH(orderHistory[status],$D$11,0)),MATCH(ROW(orderHistory[customer]),ROW(orderHistory[customer])),""),ROWS($A$15:A17)+$B$3)),INDEX(orderHistory[shipping_method],SMALL(IF(ISNUMBER(MATCH(orderHistory[status],$D$11,0)*MATCH(YEAR(orderHistory[invoice_date]),$D$15,0)),MATCH(ROW(orderHistory[customer]),ROW(orderHistory[customer])),""),ROWS($A$15:A17)+$B$3))),IF($D$15="",INDEX(orderHistory[shipping_method],SMALL(IF(ISNUMBER(MATCH(orderHistory[status],$D$11,0)*MATCH(orderHistory[order_type],$D$13,0)),MATCH(ROW(orderHistory[customer]),ROW(orderHistory[customer])),""),ROWS($A$15:A17)+$B$3)),INDEX(orderHistory[shipping_method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shipping_method],SMALL(IF(ISNUMBER(MATCH(orderHistory[customer],$D$9,0)),MATCH(ROW(orderHistory[customer]),ROW(orderHistory[customer])),""),ROWS($A$15:A17)+$B$3)),INDEX(orderHistory[shipping_method],SMALL(IF(ISNUMBER(MATCH(orderHistory[customer],$D$9,0)*MATCH(YEAR(orderHistory[invoice_date]),$D$15,0)),MATCH(ROW(orderHistory[customer]),ROW(orderHistory[customer])),""),ROWS($A$15:A17)+$B$3))),IF($D$15="",INDEX(orderHistory[shipping_method],SMALL(IF(ISNUMBER(MATCH(orderHistory[customer],$D$9,0)*MATCH(orderHistory[order_type],$D$13,0)),MATCH(ROW(orderHistory[customer]),ROW(orderHistory[customer])),""),ROWS($A$15:A17)+$B$3)),INDEX(orderHistory[shipping_method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shipping_method],SMALL(IF(ISNUMBER(MATCH(orderHistory[customer],$D$9,0)*MATCH(orderHistory[status],$D$11,0)),MATCH(ROW(orderHistory[customer]),ROW(orderHistory[customer])),""),ROWS($A$15:A17)+$B$3)),INDEX(orderHistory[shipping_method],SMALL(IF(ISNUMBER(MATCH(orderHistory[customer],$D$9,0)*MATCH(orderHistory[status],$D$11,0)*MATCH(YEAR(orderHistory[shipping_method]),$D$15,0)),MATCH(ROW(orderHistory[customer]),ROW(orderHistory[customer])),""),ROWS($A$15:A17)+$B$3))),IF($D$15="",INDEX(orderHistory[shipping_method],SMALL(IF(ISNUMBER(MATCH(orderHistory[customer],$D$9,0)*MATCH(orderHistory[status],$D$11,0)*MATCH(orderHistory[order_type],$D$13,0)),MATCH(ROW(orderHistory[customer]),ROW(orderHistory[customer])),""),ROWS($A$15:A17)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BY ROAD</v>
      </c>
      <c r="V12" s="548" t="str">
        <f t="array" ref="V12">IFERROR(IF($D$9="",IF($D$11="",IF($D$13="",IF($D$15="",INDEX(orderHistory[status],SMALL(MATCH(ROW(orderHistory[customer]),ROW(orderHistory[customer])),ROWS($A$15:A17)+$B$3)),INDEX(orderHistory[status],SMALL(IF(ISNUMBER(MATCH(YEAR(orderHistory[invoice_date]),$D$15,0)),MATCH(ROW(orderHistory[customer]),ROW(orderHistory[customer])),""),ROWS($A$15:A17)+$B$3))),IF($D$15="",INDEX(orderHistory[status],SMALL(IF(ISNUMBER(MATCH(orderHistory[order_type],$D$13,0)),MATCH(ROW(orderHistory[customer]),ROW(orderHistory[customer])),""),ROWS($A$15:A17)+$B$3)),INDEX(orderHistory[status],SMALL(IF(ISNUMBER(MATCH(orderHistory[order_type],$D$13,0)*MATCH(YEAR(orderHistory[invoice_date]),$D$15,0)),MATCH(ROW(orderHistory[customer]),ROW(orderHistory[customer])),""),ROWS($A$15:A17)+$B$3)))),IF($D$13="",IF($D$15="",INDEX(orderHistory[status],SMALL(IF(ISNUMBER(MATCH(orderHistory[status],$D$11,0)),MATCH(ROW(orderHistory[customer]),ROW(orderHistory[customer])),""),ROWS($A$15:A17)+$B$3)),INDEX(orderHistory[status],SMALL(IF(ISNUMBER(MATCH(orderHistory[status],$D$11,0)*MATCH(YEAR(orderHistory[invoice_date]),$D$15,0)),MATCH(ROW(orderHistory[customer]),ROW(orderHistory[customer])),""),ROWS($A$15:A17)+$B$3))),IF($D$15="",INDEX(orderHistory[status],SMALL(IF(ISNUMBER(MATCH(orderHistory[status],$D$11,0)*MATCH(orderHistory[order_type],$D$13,0)),MATCH(ROW(orderHistory[customer]),ROW(orderHistory[customer])),""),ROWS($A$15:A17)+$B$3)),INDEX(orderHistory[status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status],SMALL(IF(ISNUMBER(MATCH(orderHistory[customer],$D$9,0)),MATCH(ROW(orderHistory[customer]),ROW(orderHistory[customer])),""),ROWS($A$15:A17)+$B$3)),INDEX(orderHistory[status],SMALL(IF(ISNUMBER(MATCH(orderHistory[customer],$D$9,0)*MATCH(YEAR(orderHistory[invoice_date]),$D$15,0)),MATCH(ROW(orderHistory[customer]),ROW(orderHistory[customer])),""),ROWS($A$15:A17)+$B$3))),IF($D$15="",INDEX(orderHistory[status],SMALL(IF(ISNUMBER(MATCH(orderHistory[customer],$D$9,0)*MATCH(orderHistory[order_type],$D$13,0)),MATCH(ROW(orderHistory[customer]),ROW(orderHistory[customer])),""),ROWS($A$15:A17)+$B$3)),INDEX(orderHistory[status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status],SMALL(IF(ISNUMBER(MATCH(orderHistory[customer],$D$9,0)*MATCH(orderHistory[status],$D$11,0)),MATCH(ROW(orderHistory[customer]),ROW(orderHistory[customer])),""),ROWS($A$15:A17)+$B$3)),INDEX(orderHistory[status],SMALL(IF(ISNUMBER(MATCH(orderHistory[customer],$D$9,0)*MATCH(orderHistory[status],$D$11,0)*MATCH(YEAR(orderHistory[status]),$D$15,0)),MATCH(ROW(orderHistory[customer]),ROW(orderHistory[customer])),""),ROWS($A$15:A17)+$B$3))),IF($D$15="",INDEX(orderHistory[status],SMALL(IF(ISNUMBER(MATCH(orderHistory[customer],$D$9,0)*MATCH(orderHistory[status],$D$11,0)*MATCH(orderHistory[order_type],$D$13,0)),MATCH(ROW(orderHistory[customer]),ROW(orderHistory[customer])),""),ROWS($A$15:A17)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SHIPPED</v>
      </c>
      <c r="W12" s="407"/>
      <c r="AO12" s="413"/>
      <c r="AQ12" s="460"/>
      <c r="AR12" s="445"/>
      <c r="AS12" s="445"/>
      <c r="AT12" s="445"/>
      <c r="AU12" s="421"/>
      <c r="AW12" s="460"/>
      <c r="AX12" s="476"/>
      <c r="AZ12" s="430"/>
      <c r="BD12" s="460"/>
      <c r="BE12" s="460"/>
      <c r="BF12" s="466"/>
      <c r="BG12" s="466"/>
      <c r="BJ12" s="421"/>
      <c r="BK12" s="475"/>
      <c r="BL12" s="451"/>
      <c r="BM12" s="452"/>
      <c r="BN12" s="451"/>
      <c r="BO12" s="452"/>
      <c r="BX12" s="413" t="s">
        <v>601</v>
      </c>
      <c r="BZ12" s="158"/>
      <c r="CA12" s="154" t="str">
        <f>IF(BZ12="","",INDEX(bhpc_data[description],MATCH(BZ12,bhpc_data[sku],0)))</f>
        <v/>
      </c>
      <c r="CB12" s="166"/>
      <c r="CC12" s="358"/>
      <c r="CD12" s="260"/>
      <c r="CE12" s="360"/>
      <c r="CF12" s="161"/>
      <c r="CG12" s="164" t="str">
        <f>IFERROR(ROUNDUP(CB12/INDEX(bhpc_data[units_per_carton],MATCH(BZ12,bhpc_data[sku],0)),0),"")</f>
        <v/>
      </c>
      <c r="CH12" s="165" t="str">
        <f>IFERROR(ROUNDUP(CD12/INDEX(bhpc_data[units_per_carton],MATCH(BZ12,bhpc_data[sku],0)),0),"")</f>
        <v/>
      </c>
      <c r="CI12" s="165" t="str">
        <f>IFERROR(ROUNDUP(CF12/INDEX(bhpc_data[units_per_carton],MATCH(BZ12,bhpc_data[sku])),0),"")</f>
        <v/>
      </c>
      <c r="CJ12" s="165" t="str">
        <f>IFERROR(((CB12+CD12+CF12)/INDEX(bhpc_data[units_per_carton],MATCH(BZ12,bhpc_data[sku],0)))*INDEX(bhpc_data[net_weight],MATCH(BZ12,bhpc_data[sku],0)),"")</f>
        <v/>
      </c>
      <c r="CK12" s="165" t="str">
        <f>IFERROR(((CB12+CD12+CF12)/INDEX(bhpc_data[units_per_carton],MATCH(BZ12,bhpc_data[sku],0)))*INDEX(bhpc_data[gross_weight],MATCH(BZ12,bhpc_data[sku],0)),"")</f>
        <v/>
      </c>
      <c r="CL12" s="180" t="str">
        <f>IFERROR((CB12+CD12+CF12)/INDEX(bhpc_data[units_per_carton],MATCH(BZ12,bhpc_data[sku],0))*INDEX(bhpc_data[lenght],MATCH(BZ12,bhpc_data[sku],0))*INDEX(bhpc_data[width],MATCH(BZ12,bhpc_data[sku],0))*INDEX(bhpc_data[height],MATCH(BZ12,bhpc_data[sku],0))/1000000000,"")</f>
        <v/>
      </c>
      <c r="CM12" s="189" t="str">
        <f>IFERROR(INDEX(bhpc_data[category],MATCH(BZ12,bhpc_data[sku],0)),"")</f>
        <v/>
      </c>
      <c r="CN12" s="189" t="str">
        <f>IFERROR(INDEX(bhpc_data[size1],MATCH(BZ12,bhpc_data[sku],0)),"")</f>
        <v/>
      </c>
      <c r="CO12" s="388" t="str">
        <f>IFERROR(INDEX(bhpc_data[hs_code],MATCH(BZ12,bhpc_data[sku],0)),"")</f>
        <v/>
      </c>
      <c r="CP12" s="377" t="str">
        <f>IFERROR(INDEX(inventory[ESISTENZA],MATCH(BZ12,inventory[ARTICOLO],0)),"")</f>
        <v/>
      </c>
      <c r="CQ12" s="367" t="str">
        <f>IFERROR(IF(BZ12="","",IF($BX$15="SALE",INDEX(inventory[COSTO UNITARIO],MATCH(BZ12,inventory[ARTICOLO],0)),IF($BX$15="SAMPLING",INDEX(inventory[COSTO UNITARIO],MATCH(BZ12,inventory[ARTICOLO],0)),""))),"")</f>
        <v/>
      </c>
      <c r="CR12" s="368" t="str">
        <f t="shared" si="0"/>
        <v/>
      </c>
      <c r="CS12" s="264" t="str">
        <f t="shared" si="1"/>
        <v/>
      </c>
      <c r="CU12" s="85"/>
      <c r="CV12" s="89" t="s">
        <v>974</v>
      </c>
      <c r="CW12" s="280">
        <f>COUNTA($CD$10:$CD$110)</f>
        <v>0</v>
      </c>
      <c r="CX12" s="372" t="s">
        <v>600</v>
      </c>
      <c r="CY12" s="284">
        <f>SUM(CR10:CR110)</f>
        <v>560.64</v>
      </c>
      <c r="CZ12" s="82"/>
      <c r="DA12" s="432" t="str">
        <f>IFERROR(VLOOKUP(BZ12,bhpc_data[],22,FALSE),"")</f>
        <v/>
      </c>
      <c r="DH12" s="296"/>
      <c r="EC12" s="413" t="s">
        <v>931</v>
      </c>
      <c r="EE12" s="202" t="str" cm="1">
        <f t="array" ref="EE12">IFERROR(IF($EC$9="",IF($EC$11="",IF($EC$13="",INDEX(bhpc_data[sku],SMALL(MATCH(ROW(bhpc_data[sku]),ROW(bhpc_data[sku])),ROWS($A$15:A17)+$B$3)),INDEX(bhpc_data[sku],SMALL(IF(ISNUMBER(MATCH(bhpc_data[size1],$EC$13,0)),MATCH(ROW(bhpc_data[sku]),ROW(bhpc_data[sku])),""),ROWS($A$15:A17)+$B$3))),IF($EC$13="",INDEX(bhpc_data[sku],SMALL(IF(ISNUMBER(MATCH(bhpc_data[sex],$EC$11,0)),MATCH(ROW(bhpc_data[sku]),ROW(bhpc_data[sku])),""),ROWS($A$15:A17)+$B$3)),INDEX(bhpc_data[sku],SMALL(IF(ISNUMBER(MATCH(bhpc_data[sex],$EC$11,0)*MATCH(bhpc_data[size1],$EC$13,0)),MATCH(ROW(bhpc_data[sku]),ROW(bhpc_data[sku])),""),ROWS($A$15:A17)+$B$3)))),IF($EC$11="",IF($EC$13="",INDEX(bhpc_data[sku],SMALL(IF(ISNUMBER(MATCH(bhpc_data[category],$EC$9,0)),MATCH(ROW(bhpc_data[sku]),ROW(bhpc_data[sku])),""),ROWS($A$15:A17)+$B$3)),INDEX(bhpc_data[sku],SMALL(IF(ISNUMBER(MATCH(bhpc_data[category],$EC$9,0)*MATCH(bhpc_data[size1],$EC$13,0)),MATCH(ROW(bhpc_data[sku]),ROW(bhpc_data[sku])),""),ROWS($A$15:A17)+$B$3))),IF($EC$13="",INDEX(bhpc_data[sku],SMALL(IF(ISNUMBER(MATCH(bhpc_data[category],$EC$9,0)*MATCH(bhpc_data[sex],$EC$11,0)),MATCH(ROW(bhpc_data[sku]),ROW(bhpc_data[sku])),""),ROWS($A$15:A17)+$B$3)),INDEX(bhpc_data[sku],SMALL(IF(ISNUMBER(MATCH(bhpc_data[category],$EC$9,0)*MATCH(bhpc_data[sex],$EC$11,0)*MATCH(bhpc_data[size1],$EC$13,0)),MATCH(ROW(bhpc_data[sku]),ROW(bhpc_data[sku])),""),ROWS($A$15:A17)+$B$3))))),"")</f>
        <v>GS5006</v>
      </c>
      <c r="EF12" s="198" t="str" cm="1">
        <f t="array" ref="EF12">IFERROR(IF($EC$9="",IF($EC$11="",IF($EC$13="",INDEX(bhpc_data[description],SMALL(MATCH(ROW(bhpc_data[sku]),ROW(bhpc_data[sku])),ROWS($A$15:A17)+$B$3)),INDEX(bhpc_data[description],SMALL(IF(ISNUMBER(MATCH(bhpc_data[size1],$EC$13,0)),MATCH(ROW(bhpc_data[sku]),ROW(bhpc_data[sku])),""),ROWS($A$15:A17)+$B$3))),IF($EC$13="",INDEX(bhpc_data[description],SMALL(IF(ISNUMBER(MATCH(bhpc_data[sex],$EC$11,0)),MATCH(ROW(bhpc_data[sku]),ROW(bhpc_data[sku])),""),ROWS($A$15:A17)+$B$3)),INDEX(bhpc_data[description],SMALL(IF(ISNUMBER(MATCH(bhpc_data[sex],$EC$11,0)*MATCH(bhpc_data[size1],$EC$13,0)),MATCH(ROW(bhpc_data[sku]),ROW(bhpc_data[sku])),""),ROWS($A$15:A17)+$B$3)))),IF($EC$11="",IF($EC$13="",INDEX(bhpc_data[description],SMALL(IF(ISNUMBER(MATCH(bhpc_data[category],$EC$9,0)),MATCH(ROW(bhpc_data[sku]),ROW(bhpc_data[sku])),""),ROWS($A$15:A17)+$B$3)),INDEX(bhpc_data[description],SMALL(IF(ISNUMBER(MATCH(bhpc_data[category],$EC$9,0)*MATCH(bhpc_data[size1],$EC$13,0)),MATCH(ROW(bhpc_data[sku]),ROW(bhpc_data[sku])),""),ROWS($A$15:A17)+$B$3))),IF($EC$13="",INDEX(bhpc_data[description],SMALL(IF(ISNUMBER(MATCH(bhpc_data[category],$EC$9,0)*MATCH(bhpc_data[sex],$EC$11,0)),MATCH(ROW(bhpc_data[sku]),ROW(bhpc_data[sku])),""),ROWS($A$15:A17)+$B$3)),INDEX(bhpc_data[description],SMALL(IF(ISNUMBER(MATCH(bhpc_data[category],$EC$9,0)*MATCH(bhpc_data[sex],$EC$11,0)*MATCH(bhpc_data[size1],$EC$13,0)),MATCH(ROW(bhpc_data[sku]),ROW(bhpc_data[sku])),""),ROWS($A$15:A17)+$B$3))))),"")</f>
        <v>BHPC GIFT SET SPORT MEN 8 EDT 100ML + DEO 175ML</v>
      </c>
      <c r="EG12" s="263">
        <f>IFERROR(IF(warehouse[[#This Row],[SKU]]="","",INDEX(inventory[ESISTENZA],MATCH(warehouse[[#This Row],[SKU]],inventory[ARTICOLO],0))),"")</f>
        <v>60</v>
      </c>
      <c r="EH12" s="328"/>
      <c r="EI12" s="328"/>
      <c r="EJ12" s="263"/>
      <c r="EK12" s="113"/>
      <c r="FF12" s="413"/>
      <c r="FG12" s="413"/>
      <c r="FH12" s="413"/>
      <c r="FI12" s="413"/>
      <c r="FJ12" s="413"/>
      <c r="FK12" s="413"/>
      <c r="FL12" s="413"/>
      <c r="FM12" s="413"/>
      <c r="FN12" s="413"/>
      <c r="FO12" s="413"/>
      <c r="FP12" s="413"/>
      <c r="FQ12" s="413"/>
      <c r="FR12" s="413"/>
      <c r="FS12" s="413"/>
      <c r="FT12" s="413"/>
      <c r="FU12" s="413"/>
      <c r="FV12" s="413"/>
      <c r="FW12" s="413"/>
      <c r="FX12" s="413"/>
      <c r="FY12" s="413"/>
      <c r="FZ12" s="413"/>
      <c r="GA12" s="413"/>
      <c r="GB12" s="413"/>
      <c r="GC12" s="413"/>
      <c r="GD12" s="413"/>
      <c r="GE12" s="413"/>
      <c r="GF12" s="413"/>
      <c r="GG12" s="413"/>
      <c r="GH12" s="413"/>
      <c r="GI12" s="413"/>
      <c r="GJ12" s="413"/>
      <c r="GK12" s="413"/>
      <c r="GL12" s="413"/>
      <c r="GM12" s="413"/>
      <c r="GN12" s="413"/>
      <c r="GO12" s="413"/>
      <c r="GP12" s="413"/>
      <c r="GQ12" s="413"/>
      <c r="GR12" s="413"/>
      <c r="GS12" s="413"/>
      <c r="GT12" s="413"/>
      <c r="GU12" s="413"/>
      <c r="GV12" s="413"/>
      <c r="GW12" s="413"/>
      <c r="GX12" s="413"/>
      <c r="GY12" s="413"/>
      <c r="GZ12" s="413"/>
      <c r="HA12" s="413"/>
      <c r="HB12" s="413"/>
      <c r="HC12" s="413"/>
      <c r="HD12" s="413"/>
      <c r="HE12" s="413"/>
      <c r="HF12" s="413"/>
      <c r="HG12" s="413"/>
      <c r="HH12" s="413"/>
      <c r="HI12" s="413"/>
      <c r="HJ12" s="413"/>
      <c r="HK12" s="413"/>
      <c r="HL12" s="413"/>
      <c r="HM12" s="413"/>
      <c r="HN12" s="413"/>
      <c r="HO12" s="413"/>
      <c r="HP12" s="413"/>
      <c r="HQ12" s="413"/>
      <c r="HR12" s="413"/>
      <c r="HS12" s="413"/>
      <c r="HT12" s="413"/>
    </row>
    <row r="13" spans="1:702" ht="15" customHeight="1" x14ac:dyDescent="0.35">
      <c r="B13" s="151"/>
      <c r="D13" s="422" t="s">
        <v>845</v>
      </c>
      <c r="F13" s="91"/>
      <c r="G13" s="99" t="s">
        <v>602</v>
      </c>
      <c r="H13" s="81"/>
      <c r="I13" s="81"/>
      <c r="J13" s="82"/>
      <c r="L13" s="539" t="str">
        <f t="array" ref="L13">IFERROR(IF($D$9="",IF($D$11="",IF($D$13="",IF($D$15="",INDEX(orderHistory[customer],SMALL(MATCH(ROW(orderHistory[customer]),ROW(orderHistory[customer])),ROWS($A$15:A18)+$B$3)),INDEX(orderHistory[customer],SMALL(IF(ISNUMBER(MATCH(YEAR(orderHistory[invoice_date]),$D$15,0)),MATCH(ROW(orderHistory[customer]),ROW(orderHistory[customer])),""),ROWS($A$15:A18)+$B$3))),IF($D$15="",INDEX(orderHistory[customer],SMALL(IF(ISNUMBER(MATCH(orderHistory[order_type],$D$13,0)),MATCH(ROW(orderHistory[customer]),ROW(orderHistory[customer])),""),ROWS($A$15:A18)+$B$3)),INDEX(orderHistory[customer],SMALL(IF(ISNUMBER(MATCH(orderHistory[order_type],$D$13,0)*MATCH(YEAR(orderHistory[invoice_date]),$D$15,0)),MATCH(ROW(orderHistory[customer]),ROW(orderHistory[customer])),""),ROWS($A$15:A18)+$B$3)))),IF($D$13="",IF($D$15="",INDEX(orderHistory[customer],SMALL(IF(ISNUMBER(MATCH(orderHistory[status],$D$11,0)),MATCH(ROW(orderHistory[customer]),ROW(orderHistory[customer])),""),ROWS($A$15:A18)+$B$3)),INDEX(orderHistory[customer],SMALL(IF(ISNUMBER(MATCH(orderHistory[status],$D$11,0)*MATCH(YEAR(orderHistory[invoice_date]),$D$15,0)),MATCH(ROW(orderHistory[customer]),ROW(orderHistory[customer])),""),ROWS($A$15:A18)+$B$3))),IF($D$15="",INDEX(orderHistory[customer],SMALL(IF(ISNUMBER(MATCH(orderHistory[status],$D$11,0)*MATCH(orderHistory[order_type],$D$13,0)),MATCH(ROW(orderHistory[customer]),ROW(orderHistory[customer])),""),ROWS($A$15:A18)+$B$3)),INDEX(orderHistory[customer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customer],SMALL(IF(ISNUMBER(MATCH(orderHistory[customer],$D$9,0)),MATCH(ROW(orderHistory[customer]),ROW(orderHistory[customer])),""),ROWS($A$15:A18)+$B$3)),INDEX(orderHistory[customer],SMALL(IF(ISNUMBER(MATCH(orderHistory[customer],$D$9,0)*MATCH(YEAR(orderHistory[invoice_date]),$D$15,0)),MATCH(ROW(orderHistory[customer]),ROW(orderHistory[customer])),""),ROWS($A$15:A18)+$B$3))),IF($D$15="",INDEX(orderHistory[customer],SMALL(IF(ISNUMBER(MATCH(orderHistory[customer],$D$9,0)*MATCH(orderHistory[order_type],$D$13,0)),MATCH(ROW(orderHistory[customer]),ROW(orderHistory[customer])),""),ROWS($A$15:A18)+$B$3)),INDEX(orderHistory[customer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customer],SMALL(IF(ISNUMBER(MATCH(orderHistory[customer],$D$9,0)*MATCH(orderHistory[status],$D$11,0)),MATCH(ROW(orderHistory[customer]),ROW(orderHistory[customer])),""),ROWS($A$15:A18)+$B$3)),INDEX(orderHistory[customer],SMALL(IF(ISNUMBER(MATCH(orderHistory[customer],$D$9,0)*MATCH(orderHistory[status],$D$11,0)*MATCH(YEAR(orderHistory[invoice_date]),$D$15,0)),MATCH(ROW(orderHistory[customer]),ROW(orderHistory[customer])),""),ROWS($A$15:A18)+$B$3))),IF($D$15="",INDEX(orderHistory[customer],SMALL(IF(ISNUMBER(MATCH(orderHistory[customer],$D$9,0)*MATCH(orderHistory[status],$D$11,0)*MATCH(orderHistory[order_type],$D$13,0)),MATCH(ROW(orderHistory[customer]),ROW(orderHistory[customer])),""),ROWS($A$15:A18)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4BEAUTY4YOU</v>
      </c>
      <c r="M13" s="540">
        <f t="array" ref="M13">IFERROR(IF($D$9="",IF($D$11="",IF($D$13="",IF($D$15="",INDEX(orderHistory[order_no],SMALL(MATCH(ROW(orderHistory[customer]),ROW(orderHistory[customer])),ROWS($A$15:A18)+$B$3)),INDEX(orderHistory[order_no],SMALL(IF(ISNUMBER(MATCH(YEAR(orderHistory[invoice_date]),$D$15,0)),MATCH(ROW(orderHistory[customer]),ROW(orderHistory[customer])),""),ROWS($A$15:A18)+$B$3))),IF($D$15="",INDEX(orderHistory[order_no],SMALL(IF(ISNUMBER(MATCH(orderHistory[order_type],$D$13,0)),MATCH(ROW(orderHistory[customer]),ROW(orderHistory[customer])),""),ROWS($A$15:A18)+$B$3)),INDEX(orderHistory[order_no],SMALL(IF(ISNUMBER(MATCH(orderHistory[order_type],$D$13,0)*MATCH(YEAR(orderHistory[invoice_date]),$D$15,0)),MATCH(ROW(orderHistory[customer]),ROW(orderHistory[customer])),""),ROWS($A$15:A18)+$B$3)))),IF($D$13="",IF($D$15="",INDEX(orderHistory[order_no],SMALL(IF(ISNUMBER(MATCH(orderHistory[status],$D$11,0)),MATCH(ROW(orderHistory[customer]),ROW(orderHistory[customer])),""),ROWS($A$15:A18)+$B$3)),INDEX(orderHistory[order_no],SMALL(IF(ISNUMBER(MATCH(orderHistory[status],$D$11,0)*MATCH(YEAR(orderHistory[invoice_date]),$D$15,0)),MATCH(ROW(orderHistory[customer]),ROW(orderHistory[customer])),""),ROWS($A$15:A18)+$B$3))),IF($D$15="",INDEX(orderHistory[order_no],SMALL(IF(ISNUMBER(MATCH(orderHistory[status],$D$11,0)*MATCH(orderHistory[order_type],$D$13,0)),MATCH(ROW(orderHistory[customer]),ROW(orderHistory[customer])),""),ROWS($A$15:A18)+$B$3)),INDEX(orderHistory[order_no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no],SMALL(IF(ISNUMBER(MATCH(orderHistory[customer],$D$9,0)),MATCH(ROW(orderHistory[customer]),ROW(orderHistory[customer])),""),ROWS($A$15:A18)+$B$3)),INDEX(orderHistory[order_no],SMALL(IF(ISNUMBER(MATCH(orderHistory[customer],$D$9,0)*MATCH(YEAR(orderHistory[invoice_date]),$D$15,0)),MATCH(ROW(orderHistory[customer]),ROW(orderHistory[customer])),""),ROWS($A$15:A18)+$B$3))),IF($D$15="",INDEX(orderHistory[order_no],SMALL(IF(ISNUMBER(MATCH(orderHistory[customer],$D$9,0)*MATCH(orderHistory[order_type],$D$13,0)),MATCH(ROW(orderHistory[customer]),ROW(orderHistory[customer])),""),ROWS($A$15:A18)+$B$3)),INDEX(orderHistory[order_no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no],SMALL(IF(ISNUMBER(MATCH(orderHistory[customer],$D$9,0)*MATCH(orderHistory[status],$D$11,0)),MATCH(ROW(orderHistory[customer]),ROW(orderHistory[customer])),""),ROWS($A$15:A18)+$B$3)),INDEX(orderHistory[order_no],SMALL(IF(ISNUMBER(MATCH(orderHistory[customer],$D$9,0)*MATCH(orderHistory[status],$D$11,0)*MATCH(YEAR(orderHistory[invoice_date]),$D$15,0)),MATCH(ROW(orderHistory[customer]),ROW(orderHistory[customer])),""),ROWS($A$15:A18)+$B$3))),IF($D$15="",INDEX(orderHistory[order_no],SMALL(IF(ISNUMBER(MATCH(orderHistory[customer],$D$9,0)*MATCH(orderHistory[status],$D$11,0)*MATCH(orderHistory[order_type],$D$13,0)),MATCH(ROW(orderHistory[customer]),ROW(orderHistory[customer])),""),ROWS($A$15:A18)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52</v>
      </c>
      <c r="N13" s="541" t="str">
        <f t="array" ref="N13">IFERROR(IF($D$9="",IF($D$11="",IF($D$13="",IF($D$15="",INDEX(orderHistory[order_type],SMALL(MATCH(ROW(orderHistory[customer]),ROW(orderHistory[customer])),ROWS($A$15:A18)+$B$3)),INDEX(orderHistory[order_type],SMALL(IF(ISNUMBER(MATCH(YEAR(orderHistory[invoice_date]),$D$15,0)),MATCH(ROW(orderHistory[customer]),ROW(orderHistory[customer])),""),ROWS($A$15:A18)+$B$3))),IF($D$15="",INDEX(orderHistory[order_type],SMALL(IF(ISNUMBER(MATCH(orderHistory[order_type],$D$13,0)),MATCH(ROW(orderHistory[customer]),ROW(orderHistory[customer])),""),ROWS($A$15:A18)+$B$3)),INDEX(orderHistory[order_type],SMALL(IF(ISNUMBER(MATCH(orderHistory[order_type],$D$13,0)*MATCH(YEAR(orderHistory[invoice_date]),$D$15,0)),MATCH(ROW(orderHistory[customer]),ROW(orderHistory[customer])),""),ROWS($A$15:A18)+$B$3)))),IF($D$13="",IF($D$15="",INDEX(orderHistory[order_type],SMALL(IF(ISNUMBER(MATCH(orderHistory[status],$D$11,0)),MATCH(ROW(orderHistory[customer]),ROW(orderHistory[customer])),""),ROWS($A$15:A18)+$B$3)),INDEX(orderHistory[order_type],SMALL(IF(ISNUMBER(MATCH(orderHistory[status],$D$11,0)*MATCH(YEAR(orderHistory[invoice_date]),$D$15,0)),MATCH(ROW(orderHistory[customer]),ROW(orderHistory[customer])),""),ROWS($A$15:A18)+$B$3))),IF($D$15="",INDEX(orderHistory[order_type],SMALL(IF(ISNUMBER(MATCH(orderHistory[status],$D$11,0)*MATCH(orderHistory[order_type],$D$13,0)),MATCH(ROW(orderHistory[customer]),ROW(orderHistory[customer])),""),ROWS($A$15:A18)+$B$3)),INDEX(orderHistory[order_typ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type],SMALL(IF(ISNUMBER(MATCH(orderHistory[customer],$D$9,0)),MATCH(ROW(orderHistory[customer]),ROW(orderHistory[customer])),""),ROWS($A$15:A18)+$B$3)),INDEX(orderHistory[order_type],SMALL(IF(ISNUMBER(MATCH(orderHistory[customer],$D$9,0)*MATCH(YEAR(orderHistory[invoice_date]),$D$15,0)),MATCH(ROW(orderHistory[customer]),ROW(orderHistory[customer])),""),ROWS($A$15:A18)+$B$3))),IF($D$15="",INDEX(orderHistory[order_type],SMALL(IF(ISNUMBER(MATCH(orderHistory[customer],$D$9,0)*MATCH(orderHistory[order_type],$D$13,0)),MATCH(ROW(orderHistory[customer]),ROW(orderHistory[customer])),""),ROWS($A$15:A18)+$B$3)),INDEX(orderHistory[order_typ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type],SMALL(IF(ISNUMBER(MATCH(orderHistory[customer],$D$9,0)*MATCH(orderHistory[status],$D$11,0)),MATCH(ROW(orderHistory[customer]),ROW(orderHistory[customer])),""),ROWS($A$15:A18)+$B$3)),INDEX(orderHistory[order_type],SMALL(IF(ISNUMBER(MATCH(orderHistory[customer],$D$9,0)*MATCH(orderHistory[status],$D$11,0)*MATCH(YEAR(orderHistory[invoice_date]),$D$15,0)),MATCH(ROW(orderHistory[customer]),ROW(orderHistory[customer])),""),ROWS($A$15:A18)+$B$3))),IF($D$15="",INDEX(orderHistory[order_type],SMALL(IF(ISNUMBER(MATCH(orderHistory[customer],$D$9,0)*MATCH(orderHistory[status],$D$11,0)*MATCH(orderHistory[order_type],$D$13,0)),MATCH(ROW(orderHistory[customer]),ROW(orderHistory[customer])),""),ROWS($A$15:A18)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SAMPLING</v>
      </c>
      <c r="O13" s="542">
        <f t="array" ref="O13">IFERROR(IF($D$9="",IF($D$11="",IF($D$13="",IF($D$15="",INDEX(orderHistory[order_date],SMALL(MATCH(ROW(orderHistory[customer]),ROW(orderHistory[customer])),ROWS($A$15:A18)+$B$3)),INDEX(orderHistory[order_date],SMALL(IF(ISNUMBER(MATCH(YEAR(orderHistory[invoice_date]),$D$15,0)),MATCH(ROW(orderHistory[customer]),ROW(orderHistory[customer])),""),ROWS($A$15:A18)+$B$3))),IF($D$15="",INDEX(orderHistory[order_date],SMALL(IF(ISNUMBER(MATCH(orderHistory[order_type],$D$13,0)),MATCH(ROW(orderHistory[customer]),ROW(orderHistory[customer])),""),ROWS($A$15:A18)+$B$3)),INDEX(orderHistory[order_date],SMALL(IF(ISNUMBER(MATCH(orderHistory[order_type],$D$13,0)*MATCH(YEAR(orderHistory[invoice_date]),$D$15,0)),MATCH(ROW(orderHistory[customer]),ROW(orderHistory[customer])),""),ROWS($A$15:A18)+$B$3)))),IF($D$13="",IF($D$15="",INDEX(orderHistory[order_date],SMALL(IF(ISNUMBER(MATCH(orderHistory[status],$D$11,0)),MATCH(ROW(orderHistory[customer]),ROW(orderHistory[customer])),""),ROWS($A$15:A18)+$B$3)),INDEX(orderHistory[order_date],SMALL(IF(ISNUMBER(MATCH(orderHistory[status],$D$11,0)*MATCH(YEAR(orderHistory[invoice_date]),$D$15,0)),MATCH(ROW(orderHistory[customer]),ROW(orderHistory[customer])),""),ROWS($A$15:A18)+$B$3))),IF($D$15="",INDEX(orderHistory[order_date],SMALL(IF(ISNUMBER(MATCH(orderHistory[status],$D$11,0)*MATCH(orderHistory[order_type],$D$13,0)),MATCH(ROW(orderHistory[customer]),ROW(orderHistory[customer])),""),ROWS($A$15:A18)+$B$3)),INDEX(orderHistory[order_dat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date],SMALL(IF(ISNUMBER(MATCH(orderHistory[customer],$D$9,0)),MATCH(ROW(orderHistory[customer]),ROW(orderHistory[customer])),""),ROWS($A$15:A18)+$B$3)),INDEX(orderHistory[order_date],SMALL(IF(ISNUMBER(MATCH(orderHistory[customer],$D$9,0)*MATCH(YEAR(orderHistory[invoice_date]),$D$15,0)),MATCH(ROW(orderHistory[customer]),ROW(orderHistory[customer])),""),ROWS($A$15:A18)+$B$3))),IF($D$15="",INDEX(orderHistory[order_date],SMALL(IF(ISNUMBER(MATCH(orderHistory[customer],$D$9,0)*MATCH(orderHistory[order_type],$D$13,0)),MATCH(ROW(orderHistory[customer]),ROW(orderHistory[customer])),""),ROWS($A$15:A18)+$B$3)),INDEX(orderHistory[order_dat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date],SMALL(IF(ISNUMBER(MATCH(orderHistory[customer],$D$9,0)*MATCH(orderHistory[status],$D$11,0)),MATCH(ROW(orderHistory[customer]),ROW(orderHistory[customer])),""),ROWS($A$15:A18)+$B$3)),INDEX(orderHistory[order_date],SMALL(IF(ISNUMBER(MATCH(orderHistory[customer],$D$9,0)*MATCH(orderHistory[status],$D$11,0)*MATCH(YEAR(orderHistory[invoice_date]),$D$15,0)),MATCH(ROW(orderHistory[customer]),ROW(orderHistory[customer])),""),ROWS($A$15:A18)+$B$3))),IF($D$15="",INDEX(orderHistory[order_date],SMALL(IF(ISNUMBER(MATCH(orderHistory[customer],$D$9,0)*MATCH(orderHistory[status],$D$11,0)*MATCH(orderHistory[order_type],$D$13,0)),MATCH(ROW(orderHistory[customer]),ROW(orderHistory[customer])),""),ROWS($A$15:A18)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45435</v>
      </c>
      <c r="P13" s="543">
        <f t="array" ref="P13">IFERROR(IF($D$9="",IF($D$11="",IF($D$13="",IF($D$15="",INDEX(orderHistory[invoice_no],SMALL(MATCH(ROW(orderHistory[customer]),ROW(orderHistory[customer])),ROWS($A$15:A18)+$B$3)),INDEX(orderHistory[invoice_no],SMALL(IF(ISNUMBER(MATCH(YEAR(orderHistory[invoice_date]),$D$15,0)),MATCH(ROW(orderHistory[customer]),ROW(orderHistory[customer])),""),ROWS($A$15:A18)+$B$3))),IF($D$15="",INDEX(orderHistory[invoice_no],SMALL(IF(ISNUMBER(MATCH(orderHistory[order_type],$D$13,0)),MATCH(ROW(orderHistory[customer]),ROW(orderHistory[customer])),""),ROWS($A$15:A18)+$B$3)),INDEX(orderHistory[invoice_no],SMALL(IF(ISNUMBER(MATCH(orderHistory[order_type],$D$13,0)*MATCH(YEAR(orderHistory[invoice_date]),$D$15,0)),MATCH(ROW(orderHistory[customer]),ROW(orderHistory[customer])),""),ROWS($A$15:A18)+$B$3)))),IF($D$13="",IF($D$15="",INDEX(orderHistory[invoice_no],SMALL(IF(ISNUMBER(MATCH(orderHistory[status],$D$11,0)),MATCH(ROW(orderHistory[customer]),ROW(orderHistory[customer])),""),ROWS($A$15:A18)+$B$3)),INDEX(orderHistory[invoice_no],SMALL(IF(ISNUMBER(MATCH(orderHistory[status],$D$11,0)*MATCH(YEAR(orderHistory[invoice_date]),$D$15,0)),MATCH(ROW(orderHistory[customer]),ROW(orderHistory[customer])),""),ROWS($A$15:A18)+$B$3))),IF($D$15="",INDEX(orderHistory[invoice_no],SMALL(IF(ISNUMBER(MATCH(orderHistory[status],$D$11,0)*MATCH(orderHistory[order_type],$D$13,0)),MATCH(ROW(orderHistory[customer]),ROW(orderHistory[customer])),""),ROWS($A$15:A18)+$B$3)),INDEX(orderHistory[invoice_no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oice_no],SMALL(IF(ISNUMBER(MATCH(orderHistory[customer],$D$9,0)),MATCH(ROW(orderHistory[customer]),ROW(orderHistory[customer])),""),ROWS($A$15:A18)+$B$3)),INDEX(orderHistory[invoice_no],SMALL(IF(ISNUMBER(MATCH(orderHistory[customer],$D$9,0)*MATCH(YEAR(orderHistory[invoice_date]),$D$15,0)),MATCH(ROW(orderHistory[customer]),ROW(orderHistory[customer])),""),ROWS($A$15:A18)+$B$3))),IF($D$15="",INDEX(orderHistory[invoice_no],SMALL(IF(ISNUMBER(MATCH(orderHistory[customer],$D$9,0)*MATCH(orderHistory[order_type],$D$13,0)),MATCH(ROW(orderHistory[customer]),ROW(orderHistory[customer])),""),ROWS($A$15:A18)+$B$3)),INDEX(orderHistory[invoice_no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YEAR(orderHistory[invoice_date]),$D$15,0)),MATCH(ROW(orderHistory[customer]),ROW(orderHistory[customer])),""),ROWS($A$15:A18)+$B$3))),IF($D$15="",INDEX(orderHistory[invoice_no],SMALL(IF(ISNUMBER(MATCH(orderHistory[customer],$D$9,0)*MATCH(orderHistory[status],$D$11,0)*MATCH(orderHistory[order_type],$D$13,0)),MATCH(ROW(orderHistory[customer]),ROW(orderHistory[customer])),""),ROWS($A$15:A18)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0</v>
      </c>
      <c r="Q13" s="544">
        <f t="array" ref="Q13">IFERROR(IF($D$9="",IF($D$11="",IF($D$13="",IF($D$15="",INDEX(orderHistory[invoice_date],SMALL(MATCH(ROW(orderHistory[customer]),ROW(orderHistory[customer])),ROWS($A$15:A18)+$B$3)),INDEX(orderHistory[invoice_date],SMALL(IF(ISNUMBER(MATCH(YEAR(orderHistory[invoice_date]),$D$15,0)),MATCH(ROW(orderHistory[customer]),ROW(orderHistory[customer])),""),ROWS($A$15:A18)+$B$3))),IF($D$15="",INDEX(orderHistory[invoice_date],SMALL(IF(ISNUMBER(MATCH(orderHistory[order_type],$D$13,0)),MATCH(ROW(orderHistory[customer]),ROW(orderHistory[customer])),""),ROWS($A$15:A18)+$B$3)),INDEX(orderHistory[invoice_date],SMALL(IF(ISNUMBER(MATCH(orderHistory[order_type],$D$13,0)*MATCH(YEAR(orderHistory[invoice_date]),$D$15,0)),MATCH(ROW(orderHistory[customer]),ROW(orderHistory[customer])),""),ROWS($A$15:A18)+$B$3)))),IF($D$13="",IF($D$15="",INDEX(orderHistory[invoice_date],SMALL(IF(ISNUMBER(MATCH(orderHistory[status],$D$11,0)),MATCH(ROW(orderHistory[customer]),ROW(orderHistory[customer])),""),ROWS($A$15:A18)+$B$3)),INDEX(orderHistory[invoice_date],SMALL(IF(ISNUMBER(MATCH(orderHistory[status],$D$11,0)*MATCH(YEAR(orderHistory[invoice_date]),$D$15,0)),MATCH(ROW(orderHistory[customer]),ROW(orderHistory[customer])),""),ROWS($A$15:A18)+$B$3))),IF($D$15="",INDEX(orderHistory[invoice_date],SMALL(IF(ISNUMBER(MATCH(orderHistory[status],$D$11,0)*MATCH(orderHistory[order_type],$D$13,0)),MATCH(ROW(orderHistory[customer]),ROW(orderHistory[customer])),""),ROWS($A$15:A18)+$B$3)),INDEX(orderHistory[invoice_dat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oice_date],SMALL(IF(ISNUMBER(MATCH(orderHistory[customer],$D$9,0)),MATCH(ROW(orderHistory[customer]),ROW(orderHistory[customer])),""),ROWS($A$15:A18)+$B$3)),INDEX(orderHistory[invoice_date],SMALL(IF(ISNUMBER(MATCH(orderHistory[customer],$D$9,0)*MATCH(YEAR(orderHistory[invoice_date]),$D$15,0)),MATCH(ROW(orderHistory[customer]),ROW(orderHistory[customer])),""),ROWS($A$15:A18)+$B$3))),IF($D$15="",INDEX(orderHistory[invoice_date],SMALL(IF(ISNUMBER(MATCH(orderHistory[customer],$D$9,0)*MATCH(orderHistory[order_type],$D$13,0)),MATCH(ROW(orderHistory[customer]),ROW(orderHistory[customer])),""),ROWS($A$15:A18)+$B$3)),INDEX(orderHistory[invoice_dat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YEAR(orderHistory[invoice_date]),$D$15,0)),MATCH(ROW(orderHistory[customer]),ROW(orderHistory[customer])),""),ROWS($A$15:A18)+$B$3))),IF($D$15="",INDEX(orderHistory[invoice_date],SMALL(IF(ISNUMBER(MATCH(orderHistory[customer],$D$9,0)*MATCH(orderHistory[status],$D$11,0)*MATCH(orderHistory[order_type],$D$13,0)),MATCH(ROW(orderHistory[customer]),ROW(orderHistory[customer])),""),ROWS($A$15:A18)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0</v>
      </c>
      <c r="R13" s="545">
        <f t="array" ref="R13">IFERROR(IF($D$9="",IF($D$11="",IF($D$13="",IF($D$15="",INDEX(orderHistory[inv_amount],SMALL(MATCH(ROW(orderHistory[customer]),ROW(orderHistory[customer])),ROWS($A$15:A18)+$B$3)),INDEX(orderHistory[inv_amount],SMALL(IF(ISNUMBER(MATCH(YEAR(orderHistory[invoice_date]),$D$15,0)),MATCH(ROW(orderHistory[customer]),ROW(orderHistory[customer])),""),ROWS($A$15:A18)+$B$3))),IF($D$15="",INDEX(orderHistory[inv_amount],SMALL(IF(ISNUMBER(MATCH(orderHistory[order_type],$D$13,0)),MATCH(ROW(orderHistory[customer]),ROW(orderHistory[customer])),""),ROWS($A$15:A18)+$B$3)),INDEX(orderHistory[inv_amount],SMALL(IF(ISNUMBER(MATCH(orderHistory[order_type],$D$13,0)*MATCH(YEAR(orderHistory[invoice_date]),$D$15,0)),MATCH(ROW(orderHistory[customer]),ROW(orderHistory[customer])),""),ROWS($A$15:A18)+$B$3)))),IF($D$13="",IF($D$15="",INDEX(orderHistory[inv_amount],SMALL(IF(ISNUMBER(MATCH(orderHistory[status],$D$11,0)),MATCH(ROW(orderHistory[customer]),ROW(orderHistory[customer])),""),ROWS($A$15:A18)+$B$3)),INDEX(orderHistory[inv_amount],SMALL(IF(ISNUMBER(MATCH(orderHistory[status],$D$11,0)*MATCH(YEAR(orderHistory[invoice_date]),$D$15,0)),MATCH(ROW(orderHistory[customer]),ROW(orderHistory[customer])),""),ROWS($A$15:A18)+$B$3))),IF($D$15="",INDEX(orderHistory[inv_amount],SMALL(IF(ISNUMBER(MATCH(orderHistory[status],$D$11,0)*MATCH(orderHistory[order_type],$D$13,0)),MATCH(ROW(orderHistory[customer]),ROW(orderHistory[customer])),""),ROWS($A$15:A18)+$B$3)),INDEX(orderHistory[inv_amount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_amount],SMALL(IF(ISNUMBER(MATCH(orderHistory[customer],$D$9,0)),MATCH(ROW(orderHistory[customer]),ROW(orderHistory[customer])),""),ROWS($A$15:A18)+$B$3)),INDEX(orderHistory[inv_amount],SMALL(IF(ISNUMBER(MATCH(orderHistory[customer],$D$9,0)*MATCH(YEAR(orderHistory[invoice_date]),$D$15,0)),MATCH(ROW(orderHistory[customer]),ROW(orderHistory[customer])),""),ROWS($A$15:A18)+$B$3))),IF($D$15="",INDEX(orderHistory[inv_amount],SMALL(IF(ISNUMBER(MATCH(orderHistory[customer],$D$9,0)*MATCH(orderHistory[order_type],$D$13,0)),MATCH(ROW(orderHistory[customer]),ROW(orderHistory[customer])),""),ROWS($A$15:A18)+$B$3)),INDEX(orderHistory[inv_amount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_amount],SMALL(IF(ISNUMBER(MATCH(orderHistory[customer],$D$9,0)*MATCH(orderHistory[status],$D$11,0)),MATCH(ROW(orderHistory[customer]),ROW(orderHistory[customer])),""),ROWS($A$15:A18)+$B$3)),INDEX(orderHistory[inv_amount],SMALL(IF(ISNUMBER(MATCH(orderHistory[customer],$D$9,0)*MATCH(orderHistory[status],$D$11,0)*MATCH(YEAR(orderHistory[inv_amount]),$D$15,0)),MATCH(ROW(orderHistory[customer]),ROW(orderHistory[customer])),""),ROWS($A$15:A18)+$B$3))),IF($D$15="",INDEX(orderHistory[inv_amount],SMALL(IF(ISNUMBER(MATCH(orderHistory[customer],$D$9,0)*MATCH(orderHistory[status],$D$11,0)*MATCH(orderHistory[order_type],$D$13,0)),MATCH(ROW(orderHistory[customer]),ROW(orderHistory[customer])),""),ROWS($A$15:A18)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0</v>
      </c>
      <c r="S13" s="546">
        <f t="shared" si="2"/>
        <v>0</v>
      </c>
      <c r="T13" s="547" t="b">
        <f t="array" ref="T13">IFERROR(IF($D$9="",IF($D$11="",IF($D$13="",IF($D$15="",INDEX(orderHistory[payed],SMALL(MATCH(ROW(orderHistory[customer]),ROW(orderHistory[customer])),ROWS($A$15:A18)+$B$3)),INDEX(orderHistory[payed],SMALL(IF(ISNUMBER(MATCH(YEAR(orderHistory[invoice_date]),$D$15,0)),MATCH(ROW(orderHistory[customer]),ROW(orderHistory[customer])),""),ROWS($A$15:A18)+$B$3))),IF($D$15="",INDEX(orderHistory[payed],SMALL(IF(ISNUMBER(MATCH(orderHistory[order_type],$D$13,0)),MATCH(ROW(orderHistory[customer]),ROW(orderHistory[customer])),""),ROWS($A$15:A18)+$B$3)),INDEX(orderHistory[payed],SMALL(IF(ISNUMBER(MATCH(orderHistory[order_type],$D$13,0)*MATCH(YEAR(orderHistory[invoice_date]),$D$15,0)),MATCH(ROW(orderHistory[customer]),ROW(orderHistory[customer])),""),ROWS($A$15:A18)+$B$3)))),IF($D$13="",IF($D$15="",INDEX(orderHistory[payed],SMALL(IF(ISNUMBER(MATCH(orderHistory[status],$D$11,0)),MATCH(ROW(orderHistory[customer]),ROW(orderHistory[customer])),""),ROWS($A$15:A18)+$B$3)),INDEX(orderHistory[payed],SMALL(IF(ISNUMBER(MATCH(orderHistory[status],$D$11,0)*MATCH(YEAR(orderHistory[invoice_date]),$D$15,0)),MATCH(ROW(orderHistory[customer]),ROW(orderHistory[customer])),""),ROWS($A$15:A18)+$B$3))),IF($D$15="",INDEX(orderHistory[payed],SMALL(IF(ISNUMBER(MATCH(orderHistory[status],$D$11,0)*MATCH(orderHistory[order_type],$D$13,0)),MATCH(ROW(orderHistory[customer]),ROW(orderHistory[customer])),""),ROWS($A$15:A18)+$B$3)),INDEX(orderHistory[payed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payed],SMALL(IF(ISNUMBER(MATCH(orderHistory[customer],$D$9,0)),MATCH(ROW(orderHistory[customer]),ROW(orderHistory[customer])),""),ROWS($A$15:A18)+$B$3)),INDEX(orderHistory[payed],SMALL(IF(ISNUMBER(MATCH(orderHistory[customer],$D$9,0)*MATCH(YEAR(orderHistory[invoice_date]),$D$15,0)),MATCH(ROW(orderHistory[customer]),ROW(orderHistory[customer])),""),ROWS($A$15:A18)+$B$3))),IF($D$15="",INDEX(orderHistory[payed],SMALL(IF(ISNUMBER(MATCH(orderHistory[customer],$D$9,0)*MATCH(orderHistory[order_type],$D$13,0)),MATCH(ROW(orderHistory[customer]),ROW(orderHistory[customer])),""),ROWS($A$15:A18)+$B$3)),INDEX(orderHistory[payed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payed],SMALL(IF(ISNUMBER(MATCH(orderHistory[customer],$D$9,0)*MATCH(orderHistory[status],$D$11,0)),MATCH(ROW(orderHistory[customer]),ROW(orderHistory[customer])),""),ROWS($A$15:A18)+$B$3)),INDEX(orderHistory[payed],SMALL(IF(ISNUMBER(MATCH(orderHistory[customer],$D$9,0)*MATCH(orderHistory[status],$D$11,0)*MATCH(YEAR(orderHistory[payed]),$D$15,0)),MATCH(ROW(orderHistory[customer]),ROW(orderHistory[customer])),""),ROWS($A$15:A18)+$B$3))),IF($D$15="",INDEX(orderHistory[payed],SMALL(IF(ISNUMBER(MATCH(orderHistory[customer],$D$9,0)*MATCH(orderHistory[status],$D$11,0)*MATCH(orderHistory[order_type],$D$13,0)),MATCH(ROW(orderHistory[customer]),ROW(orderHistory[customer])),""),ROWS($A$15:A18)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1</v>
      </c>
      <c r="U13" s="541" t="str">
        <f t="array" ref="U13">IFERROR(IF($D$9="",IF($D$11="",IF($D$13="",IF($D$15="",INDEX(orderHistory[shipping_method],SMALL(MATCH(ROW(orderHistory[customer]),ROW(orderHistory[customer])),ROWS($A$15:A18)+$B$3)),INDEX(orderHistory[shipping_method],SMALL(IF(ISNUMBER(MATCH(YEAR(orderHistory[invoice_date]),$D$15,0)),MATCH(ROW(orderHistory[customer]),ROW(orderHistory[customer])),""),ROWS($A$15:A18)+$B$3))),IF($D$15="",INDEX(orderHistory[shipping_method],SMALL(IF(ISNUMBER(MATCH(orderHistory[order_type],$D$13,0)),MATCH(ROW(orderHistory[customer]),ROW(orderHistory[customer])),""),ROWS($A$15:A18)+$B$3)),INDEX(orderHistory[shipping_method],SMALL(IF(ISNUMBER(MATCH(orderHistory[order_type],$D$13,0)*MATCH(YEAR(orderHistory[invoice_date]),$D$15,0)),MATCH(ROW(orderHistory[customer]),ROW(orderHistory[customer])),""),ROWS($A$15:A18)+$B$3)))),IF($D$13="",IF($D$15="",INDEX(orderHistory[shipping_method],SMALL(IF(ISNUMBER(MATCH(orderHistory[status],$D$11,0)),MATCH(ROW(orderHistory[customer]),ROW(orderHistory[customer])),""),ROWS($A$15:A18)+$B$3)),INDEX(orderHistory[shipping_method],SMALL(IF(ISNUMBER(MATCH(orderHistory[status],$D$11,0)*MATCH(YEAR(orderHistory[invoice_date]),$D$15,0)),MATCH(ROW(orderHistory[customer]),ROW(orderHistory[customer])),""),ROWS($A$15:A18)+$B$3))),IF($D$15="",INDEX(orderHistory[shipping_method],SMALL(IF(ISNUMBER(MATCH(orderHistory[status],$D$11,0)*MATCH(orderHistory[order_type],$D$13,0)),MATCH(ROW(orderHistory[customer]),ROW(orderHistory[customer])),""),ROWS($A$15:A18)+$B$3)),INDEX(orderHistory[shipping_method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shipping_method],SMALL(IF(ISNUMBER(MATCH(orderHistory[customer],$D$9,0)),MATCH(ROW(orderHistory[customer]),ROW(orderHistory[customer])),""),ROWS($A$15:A18)+$B$3)),INDEX(orderHistory[shipping_method],SMALL(IF(ISNUMBER(MATCH(orderHistory[customer],$D$9,0)*MATCH(YEAR(orderHistory[invoice_date]),$D$15,0)),MATCH(ROW(orderHistory[customer]),ROW(orderHistory[customer])),""),ROWS($A$15:A18)+$B$3))),IF($D$15="",INDEX(orderHistory[shipping_method],SMALL(IF(ISNUMBER(MATCH(orderHistory[customer],$D$9,0)*MATCH(orderHistory[order_type],$D$13,0)),MATCH(ROW(orderHistory[customer]),ROW(orderHistory[customer])),""),ROWS($A$15:A18)+$B$3)),INDEX(orderHistory[shipping_method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shipping_method],SMALL(IF(ISNUMBER(MATCH(orderHistory[customer],$D$9,0)*MATCH(orderHistory[status],$D$11,0)),MATCH(ROW(orderHistory[customer]),ROW(orderHistory[customer])),""),ROWS($A$15:A18)+$B$3)),INDEX(orderHistory[shipping_method],SMALL(IF(ISNUMBER(MATCH(orderHistory[customer],$D$9,0)*MATCH(orderHistory[status],$D$11,0)*MATCH(YEAR(orderHistory[shipping_method]),$D$15,0)),MATCH(ROW(orderHistory[customer]),ROW(orderHistory[customer])),""),ROWS($A$15:A18)+$B$3))),IF($D$15="",INDEX(orderHistory[shipping_method],SMALL(IF(ISNUMBER(MATCH(orderHistory[customer],$D$9,0)*MATCH(orderHistory[status],$D$11,0)*MATCH(orderHistory[order_type],$D$13,0)),MATCH(ROW(orderHistory[customer]),ROW(orderHistory[customer])),""),ROWS($A$15:A18)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BY ROAD</v>
      </c>
      <c r="V13" s="548" t="str">
        <f t="array" ref="V13">IFERROR(IF($D$9="",IF($D$11="",IF($D$13="",IF($D$15="",INDEX(orderHistory[status],SMALL(MATCH(ROW(orderHistory[customer]),ROW(orderHistory[customer])),ROWS($A$15:A18)+$B$3)),INDEX(orderHistory[status],SMALL(IF(ISNUMBER(MATCH(YEAR(orderHistory[invoice_date]),$D$15,0)),MATCH(ROW(orderHistory[customer]),ROW(orderHistory[customer])),""),ROWS($A$15:A18)+$B$3))),IF($D$15="",INDEX(orderHistory[status],SMALL(IF(ISNUMBER(MATCH(orderHistory[order_type],$D$13,0)),MATCH(ROW(orderHistory[customer]),ROW(orderHistory[customer])),""),ROWS($A$15:A18)+$B$3)),INDEX(orderHistory[status],SMALL(IF(ISNUMBER(MATCH(orderHistory[order_type],$D$13,0)*MATCH(YEAR(orderHistory[invoice_date]),$D$15,0)),MATCH(ROW(orderHistory[customer]),ROW(orderHistory[customer])),""),ROWS($A$15:A18)+$B$3)))),IF($D$13="",IF($D$15="",INDEX(orderHistory[status],SMALL(IF(ISNUMBER(MATCH(orderHistory[status],$D$11,0)),MATCH(ROW(orderHistory[customer]),ROW(orderHistory[customer])),""),ROWS($A$15:A18)+$B$3)),INDEX(orderHistory[status],SMALL(IF(ISNUMBER(MATCH(orderHistory[status],$D$11,0)*MATCH(YEAR(orderHistory[invoice_date]),$D$15,0)),MATCH(ROW(orderHistory[customer]),ROW(orderHistory[customer])),""),ROWS($A$15:A18)+$B$3))),IF($D$15="",INDEX(orderHistory[status],SMALL(IF(ISNUMBER(MATCH(orderHistory[status],$D$11,0)*MATCH(orderHistory[order_type],$D$13,0)),MATCH(ROW(orderHistory[customer]),ROW(orderHistory[customer])),""),ROWS($A$15:A18)+$B$3)),INDEX(orderHistory[status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status],SMALL(IF(ISNUMBER(MATCH(orderHistory[customer],$D$9,0)),MATCH(ROW(orderHistory[customer]),ROW(orderHistory[customer])),""),ROWS($A$15:A18)+$B$3)),INDEX(orderHistory[status],SMALL(IF(ISNUMBER(MATCH(orderHistory[customer],$D$9,0)*MATCH(YEAR(orderHistory[invoice_date]),$D$15,0)),MATCH(ROW(orderHistory[customer]),ROW(orderHistory[customer])),""),ROWS($A$15:A18)+$B$3))),IF($D$15="",INDEX(orderHistory[status],SMALL(IF(ISNUMBER(MATCH(orderHistory[customer],$D$9,0)*MATCH(orderHistory[order_type],$D$13,0)),MATCH(ROW(orderHistory[customer]),ROW(orderHistory[customer])),""),ROWS($A$15:A18)+$B$3)),INDEX(orderHistory[status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status],SMALL(IF(ISNUMBER(MATCH(orderHistory[customer],$D$9,0)*MATCH(orderHistory[status],$D$11,0)),MATCH(ROW(orderHistory[customer]),ROW(orderHistory[customer])),""),ROWS($A$15:A18)+$B$3)),INDEX(orderHistory[status],SMALL(IF(ISNUMBER(MATCH(orderHistory[customer],$D$9,0)*MATCH(orderHistory[status],$D$11,0)*MATCH(YEAR(orderHistory[status]),$D$15,0)),MATCH(ROW(orderHistory[customer]),ROW(orderHistory[customer])),""),ROWS($A$15:A18)+$B$3))),IF($D$15="",INDEX(orderHistory[status],SMALL(IF(ISNUMBER(MATCH(orderHistory[customer],$D$9,0)*MATCH(orderHistory[status],$D$11,0)*MATCH(orderHistory[order_type],$D$13,0)),MATCH(ROW(orderHistory[customer]),ROW(orderHistory[customer])),""),ROWS($A$15:A18)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SHIPPED</v>
      </c>
      <c r="W13" s="407"/>
      <c r="AO13" s="456"/>
      <c r="AQ13" s="462"/>
      <c r="AR13" s="470"/>
      <c r="AS13" s="464"/>
      <c r="AT13" s="470"/>
      <c r="AU13" s="421"/>
      <c r="AW13" s="460"/>
      <c r="AX13" s="472"/>
      <c r="AZ13" s="473"/>
      <c r="BD13" s="460"/>
      <c r="BE13" s="460"/>
      <c r="BF13" s="474"/>
      <c r="BG13" s="466"/>
      <c r="BH13" s="477"/>
      <c r="BJ13" s="421"/>
      <c r="BK13" s="475"/>
      <c r="BL13" s="451"/>
      <c r="BM13" s="452"/>
      <c r="BN13" s="451"/>
      <c r="BO13" s="452"/>
      <c r="BX13" s="456">
        <f>IF(BX9="","",IFERROR(INDEX(orderHistory[invoice_no],MATCH($BX$11,orderHistory[order_no],0)),""))</f>
        <v>0</v>
      </c>
      <c r="BZ13" s="158"/>
      <c r="CA13" s="154" t="str">
        <f>IF(BZ13="","",INDEX(bhpc_data[description],MATCH(BZ13,bhpc_data[sku],0)))</f>
        <v/>
      </c>
      <c r="CB13" s="166"/>
      <c r="CC13" s="358"/>
      <c r="CD13" s="260"/>
      <c r="CE13" s="360"/>
      <c r="CF13" s="161"/>
      <c r="CG13" s="164" t="str">
        <f>IFERROR(ROUNDUP(CB13/INDEX(bhpc_data[units_per_carton],MATCH(BZ13,bhpc_data[sku],0)),0),"")</f>
        <v/>
      </c>
      <c r="CH13" s="165" t="str">
        <f>IFERROR(ROUNDUP(CD13/INDEX(bhpc_data[units_per_carton],MATCH(BZ13,bhpc_data[sku],0)),0),"")</f>
        <v/>
      </c>
      <c r="CI13" s="165" t="str">
        <f>IFERROR(ROUNDUP(CF13/INDEX(bhpc_data[units_per_carton],MATCH(BZ13,bhpc_data[sku])),0),"")</f>
        <v/>
      </c>
      <c r="CJ13" s="165" t="str">
        <f>IFERROR(((CB13+CD13+CF13)/INDEX(bhpc_data[units_per_carton],MATCH(BZ13,bhpc_data[sku],0)))*INDEX(bhpc_data[net_weight],MATCH(BZ13,bhpc_data[sku],0)),"")</f>
        <v/>
      </c>
      <c r="CK13" s="165" t="str">
        <f>IFERROR(((CB13+CD13+CF13)/INDEX(bhpc_data[units_per_carton],MATCH(BZ13,bhpc_data[sku],0)))*INDEX(bhpc_data[gross_weight],MATCH(BZ13,bhpc_data[sku],0)),"")</f>
        <v/>
      </c>
      <c r="CL13" s="180" t="str">
        <f>IFERROR((CB13+CD13+CF13)/INDEX(bhpc_data[units_per_carton],MATCH(BZ13,bhpc_data[sku],0))*INDEX(bhpc_data[lenght],MATCH(BZ13,bhpc_data[sku],0))*INDEX(bhpc_data[width],MATCH(BZ13,bhpc_data[sku],0))*INDEX(bhpc_data[height],MATCH(BZ13,bhpc_data[sku],0))/1000000000,"")</f>
        <v/>
      </c>
      <c r="CM13" s="189" t="str">
        <f>IFERROR(INDEX(bhpc_data[category],MATCH(BZ13,bhpc_data[sku],0)),"")</f>
        <v/>
      </c>
      <c r="CN13" s="189" t="str">
        <f>IFERROR(INDEX(bhpc_data[size1],MATCH(BZ13,bhpc_data[sku],0)),"")</f>
        <v/>
      </c>
      <c r="CO13" s="388" t="str">
        <f>IFERROR(INDEX(bhpc_data[hs_code],MATCH(BZ13,bhpc_data[sku],0)),"")</f>
        <v/>
      </c>
      <c r="CP13" s="377" t="str">
        <f>IFERROR(INDEX(inventory[ESISTENZA],MATCH(BZ13,inventory[ARTICOLO],0)),"")</f>
        <v/>
      </c>
      <c r="CQ13" s="367" t="str">
        <f>IFERROR(IF(BZ13="","",IF($BX$15="SALE",INDEX(inventory[COSTO UNITARIO],MATCH(BZ13,inventory[ARTICOLO],0)),IF($BX$15="SAMPLING",INDEX(inventory[COSTO UNITARIO],MATCH(BZ13,inventory[ARTICOLO],0)),""))),"")</f>
        <v/>
      </c>
      <c r="CR13" s="368" t="str">
        <f t="shared" si="0"/>
        <v/>
      </c>
      <c r="CS13" s="264" t="str">
        <f t="shared" si="1"/>
        <v/>
      </c>
      <c r="CU13" s="85"/>
      <c r="CV13" s="89" t="s">
        <v>975</v>
      </c>
      <c r="CW13" s="280">
        <f>COUNTA($CF$10:$CF$110)</f>
        <v>2</v>
      </c>
      <c r="CX13" s="89"/>
      <c r="CY13" s="81"/>
      <c r="CZ13" s="82"/>
      <c r="DA13" s="432" t="str">
        <f>IFERROR(VLOOKUP(BZ13,bhpc_data[],22,FALSE),"")</f>
        <v/>
      </c>
      <c r="DH13" s="296"/>
      <c r="EC13" s="456"/>
      <c r="EE13" s="202" t="str" cm="1">
        <f t="array" ref="EE13">IFERROR(IF($EC$9="",IF($EC$11="",IF($EC$13="",INDEX(bhpc_data[sku],SMALL(MATCH(ROW(bhpc_data[sku]),ROW(bhpc_data[sku])),ROWS($A$15:A18)+$B$3)),INDEX(bhpc_data[sku],SMALL(IF(ISNUMBER(MATCH(bhpc_data[size1],$EC$13,0)),MATCH(ROW(bhpc_data[sku]),ROW(bhpc_data[sku])),""),ROWS($A$15:A18)+$B$3))),IF($EC$13="",INDEX(bhpc_data[sku],SMALL(IF(ISNUMBER(MATCH(bhpc_data[sex],$EC$11,0)),MATCH(ROW(bhpc_data[sku]),ROW(bhpc_data[sku])),""),ROWS($A$15:A18)+$B$3)),INDEX(bhpc_data[sku],SMALL(IF(ISNUMBER(MATCH(bhpc_data[sex],$EC$11,0)*MATCH(bhpc_data[size1],$EC$13,0)),MATCH(ROW(bhpc_data[sku]),ROW(bhpc_data[sku])),""),ROWS($A$15:A18)+$B$3)))),IF($EC$11="",IF($EC$13="",INDEX(bhpc_data[sku],SMALL(IF(ISNUMBER(MATCH(bhpc_data[category],$EC$9,0)),MATCH(ROW(bhpc_data[sku]),ROW(bhpc_data[sku])),""),ROWS($A$15:A18)+$B$3)),INDEX(bhpc_data[sku],SMALL(IF(ISNUMBER(MATCH(bhpc_data[category],$EC$9,0)*MATCH(bhpc_data[size1],$EC$13,0)),MATCH(ROW(bhpc_data[sku]),ROW(bhpc_data[sku])),""),ROWS($A$15:A18)+$B$3))),IF($EC$13="",INDEX(bhpc_data[sku],SMALL(IF(ISNUMBER(MATCH(bhpc_data[category],$EC$9,0)*MATCH(bhpc_data[sex],$EC$11,0)),MATCH(ROW(bhpc_data[sku]),ROW(bhpc_data[sku])),""),ROWS($A$15:A18)+$B$3)),INDEX(bhpc_data[sku],SMALL(IF(ISNUMBER(MATCH(bhpc_data[category],$EC$9,0)*MATCH(bhpc_data[sex],$EC$11,0)*MATCH(bhpc_data[size1],$EC$13,0)),MATCH(ROW(bhpc_data[sku]),ROW(bhpc_data[sku])),""),ROWS($A$15:A18)+$B$3))))),"")</f>
        <v>GS5007</v>
      </c>
      <c r="EF13" s="198" t="str" cm="1">
        <f t="array" ref="EF13">IFERROR(IF($EC$9="",IF($EC$11="",IF($EC$13="",INDEX(bhpc_data[description],SMALL(MATCH(ROW(bhpc_data[sku]),ROW(bhpc_data[sku])),ROWS($A$15:A18)+$B$3)),INDEX(bhpc_data[description],SMALL(IF(ISNUMBER(MATCH(bhpc_data[size1],$EC$13,0)),MATCH(ROW(bhpc_data[sku]),ROW(bhpc_data[sku])),""),ROWS($A$15:A18)+$B$3))),IF($EC$13="",INDEX(bhpc_data[description],SMALL(IF(ISNUMBER(MATCH(bhpc_data[sex],$EC$11,0)),MATCH(ROW(bhpc_data[sku]),ROW(bhpc_data[sku])),""),ROWS($A$15:A18)+$B$3)),INDEX(bhpc_data[description],SMALL(IF(ISNUMBER(MATCH(bhpc_data[sex],$EC$11,0)*MATCH(bhpc_data[size1],$EC$13,0)),MATCH(ROW(bhpc_data[sku]),ROW(bhpc_data[sku])),""),ROWS($A$15:A18)+$B$3)))),IF($EC$11="",IF($EC$13="",INDEX(bhpc_data[description],SMALL(IF(ISNUMBER(MATCH(bhpc_data[category],$EC$9,0)),MATCH(ROW(bhpc_data[sku]),ROW(bhpc_data[sku])),""),ROWS($A$15:A18)+$B$3)),INDEX(bhpc_data[description],SMALL(IF(ISNUMBER(MATCH(bhpc_data[category],$EC$9,0)*MATCH(bhpc_data[size1],$EC$13,0)),MATCH(ROW(bhpc_data[sku]),ROW(bhpc_data[sku])),""),ROWS($A$15:A18)+$B$3))),IF($EC$13="",INDEX(bhpc_data[description],SMALL(IF(ISNUMBER(MATCH(bhpc_data[category],$EC$9,0)*MATCH(bhpc_data[sex],$EC$11,0)),MATCH(ROW(bhpc_data[sku]),ROW(bhpc_data[sku])),""),ROWS($A$15:A18)+$B$3)),INDEX(bhpc_data[description],SMALL(IF(ISNUMBER(MATCH(bhpc_data[category],$EC$9,0)*MATCH(bhpc_data[sex],$EC$11,0)*MATCH(bhpc_data[size1],$EC$13,0)),MATCH(ROW(bhpc_data[sku]),ROW(bhpc_data[sku])),""),ROWS($A$15:A18)+$B$3))))),"")</f>
        <v>BHPC GIFT SET SPORT MEN 2 EDT 100ML + DEO 175ML</v>
      </c>
      <c r="EG13" s="263">
        <f>IFERROR(IF(warehouse[[#This Row],[SKU]]="","",INDEX(inventory[ESISTENZA],MATCH(warehouse[[#This Row],[SKU]],inventory[ARTICOLO],0))),"")</f>
        <v>250</v>
      </c>
      <c r="EH13" s="328"/>
      <c r="EI13" s="328"/>
      <c r="EJ13" s="263"/>
      <c r="EK13" s="113"/>
      <c r="FF13" s="413"/>
      <c r="FG13" s="413"/>
      <c r="FH13" s="413"/>
      <c r="FI13" s="413"/>
      <c r="FJ13" s="413"/>
      <c r="FK13" s="413"/>
      <c r="FL13" s="413"/>
      <c r="FM13" s="413"/>
      <c r="FN13" s="413"/>
      <c r="FO13" s="413"/>
      <c r="FP13" s="413"/>
      <c r="FQ13" s="413"/>
      <c r="FR13" s="413"/>
      <c r="FS13" s="413"/>
      <c r="FT13" s="413"/>
      <c r="FU13" s="413"/>
      <c r="FV13" s="413"/>
      <c r="FW13" s="413"/>
      <c r="FX13" s="413"/>
      <c r="FY13" s="413"/>
      <c r="FZ13" s="413"/>
      <c r="GA13" s="413"/>
      <c r="GB13" s="413"/>
      <c r="GC13" s="413"/>
      <c r="GD13" s="413"/>
      <c r="GE13" s="413"/>
      <c r="GF13" s="413"/>
      <c r="GG13" s="413"/>
      <c r="GH13" s="413"/>
      <c r="GI13" s="413"/>
      <c r="GJ13" s="413"/>
      <c r="GK13" s="413"/>
      <c r="GL13" s="413"/>
      <c r="GM13" s="413"/>
      <c r="GN13" s="413"/>
      <c r="GO13" s="413"/>
      <c r="GP13" s="413"/>
      <c r="GQ13" s="413"/>
      <c r="GR13" s="413"/>
      <c r="GS13" s="413"/>
      <c r="GT13" s="413"/>
      <c r="GU13" s="413"/>
      <c r="GV13" s="413"/>
      <c r="GW13" s="413"/>
      <c r="GX13" s="413"/>
      <c r="GY13" s="413"/>
      <c r="GZ13" s="413"/>
      <c r="HA13" s="413"/>
      <c r="HB13" s="413"/>
      <c r="HC13" s="413"/>
      <c r="HD13" s="413"/>
      <c r="HE13" s="413"/>
      <c r="HF13" s="413"/>
      <c r="HG13" s="413"/>
      <c r="HH13" s="413"/>
      <c r="HI13" s="413"/>
      <c r="HJ13" s="413"/>
      <c r="HK13" s="413"/>
      <c r="HL13" s="413"/>
      <c r="HM13" s="413"/>
      <c r="HN13" s="413"/>
      <c r="HO13" s="413"/>
      <c r="HP13" s="413"/>
      <c r="HQ13" s="413"/>
      <c r="HR13" s="413"/>
      <c r="HS13" s="413"/>
      <c r="HT13" s="413"/>
    </row>
    <row r="14" spans="1:702" ht="15" customHeight="1" x14ac:dyDescent="0.35">
      <c r="B14" s="151"/>
      <c r="D14" s="415" t="s">
        <v>1018</v>
      </c>
      <c r="F14" s="92"/>
      <c r="G14" s="814" t="str">
        <f>IFERROR(INDEX(clientData[payment_account],MATCH($B$6,clientData[cod_cliente],0)),"")</f>
        <v>"BANCO BPM" - IBAN: IT 98 R 05034 10500 000000000813 - (BIC)  SWIFT: BAPPIT22</v>
      </c>
      <c r="H14" s="815"/>
      <c r="I14" s="816"/>
      <c r="J14" s="82"/>
      <c r="L14" s="539" t="str">
        <f t="array" ref="L14">IFERROR(IF($D$9="",IF($D$11="",IF($D$13="",IF($D$15="",INDEX(orderHistory[customer],SMALL(MATCH(ROW(orderHistory[customer]),ROW(orderHistory[customer])),ROWS($A$15:A19)+$B$3)),INDEX(orderHistory[customer],SMALL(IF(ISNUMBER(MATCH(YEAR(orderHistory[invoice_date]),$D$15,0)),MATCH(ROW(orderHistory[customer]),ROW(orderHistory[customer])),""),ROWS($A$15:A19)+$B$3))),IF($D$15="",INDEX(orderHistory[customer],SMALL(IF(ISNUMBER(MATCH(orderHistory[order_type],$D$13,0)),MATCH(ROW(orderHistory[customer]),ROW(orderHistory[customer])),""),ROWS($A$15:A19)+$B$3)),INDEX(orderHistory[customer],SMALL(IF(ISNUMBER(MATCH(orderHistory[order_type],$D$13,0)*MATCH(YEAR(orderHistory[invoice_date]),$D$15,0)),MATCH(ROW(orderHistory[customer]),ROW(orderHistory[customer])),""),ROWS($A$15:A19)+$B$3)))),IF($D$13="",IF($D$15="",INDEX(orderHistory[customer],SMALL(IF(ISNUMBER(MATCH(orderHistory[status],$D$11,0)),MATCH(ROW(orderHistory[customer]),ROW(orderHistory[customer])),""),ROWS($A$15:A19)+$B$3)),INDEX(orderHistory[customer],SMALL(IF(ISNUMBER(MATCH(orderHistory[status],$D$11,0)*MATCH(YEAR(orderHistory[invoice_date]),$D$15,0)),MATCH(ROW(orderHistory[customer]),ROW(orderHistory[customer])),""),ROWS($A$15:A19)+$B$3))),IF($D$15="",INDEX(orderHistory[customer],SMALL(IF(ISNUMBER(MATCH(orderHistory[status],$D$11,0)*MATCH(orderHistory[order_type],$D$13,0)),MATCH(ROW(orderHistory[customer]),ROW(orderHistory[customer])),""),ROWS($A$15:A19)+$B$3)),INDEX(orderHistory[customer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customer],SMALL(IF(ISNUMBER(MATCH(orderHistory[customer],$D$9,0)),MATCH(ROW(orderHistory[customer]),ROW(orderHistory[customer])),""),ROWS($A$15:A19)+$B$3)),INDEX(orderHistory[customer],SMALL(IF(ISNUMBER(MATCH(orderHistory[customer],$D$9,0)*MATCH(YEAR(orderHistory[invoice_date]),$D$15,0)),MATCH(ROW(orderHistory[customer]),ROW(orderHistory[customer])),""),ROWS($A$15:A19)+$B$3))),IF($D$15="",INDEX(orderHistory[customer],SMALL(IF(ISNUMBER(MATCH(orderHistory[customer],$D$9,0)*MATCH(orderHistory[order_type],$D$13,0)),MATCH(ROW(orderHistory[customer]),ROW(orderHistory[customer])),""),ROWS($A$15:A19)+$B$3)),INDEX(orderHistory[customer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customer],SMALL(IF(ISNUMBER(MATCH(orderHistory[customer],$D$9,0)*MATCH(orderHistory[status],$D$11,0)),MATCH(ROW(orderHistory[customer]),ROW(orderHistory[customer])),""),ROWS($A$15:A19)+$B$3)),INDEX(orderHistory[customer],SMALL(IF(ISNUMBER(MATCH(orderHistory[customer],$D$9,0)*MATCH(orderHistory[status],$D$11,0)*MATCH(YEAR(orderHistory[invoice_date]),$D$15,0)),MATCH(ROW(orderHistory[customer]),ROW(orderHistory[customer])),""),ROWS($A$15:A19)+$B$3))),IF($D$15="",INDEX(orderHistory[customer],SMALL(IF(ISNUMBER(MATCH(orderHistory[customer],$D$9,0)*MATCH(orderHistory[status],$D$11,0)*MATCH(orderHistory[order_type],$D$13,0)),MATCH(ROW(orderHistory[customer]),ROW(orderHistory[customer])),""),ROWS($A$15:A19)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BRANDSHAPERS</v>
      </c>
      <c r="M14" s="540">
        <f t="array" ref="M14">IFERROR(IF($D$9="",IF($D$11="",IF($D$13="",IF($D$15="",INDEX(orderHistory[order_no],SMALL(MATCH(ROW(orderHistory[customer]),ROW(orderHistory[customer])),ROWS($A$15:A19)+$B$3)),INDEX(orderHistory[order_no],SMALL(IF(ISNUMBER(MATCH(YEAR(orderHistory[invoice_date]),$D$15,0)),MATCH(ROW(orderHistory[customer]),ROW(orderHistory[customer])),""),ROWS($A$15:A19)+$B$3))),IF($D$15="",INDEX(orderHistory[order_no],SMALL(IF(ISNUMBER(MATCH(orderHistory[order_type],$D$13,0)),MATCH(ROW(orderHistory[customer]),ROW(orderHistory[customer])),""),ROWS($A$15:A19)+$B$3)),INDEX(orderHistory[order_no],SMALL(IF(ISNUMBER(MATCH(orderHistory[order_type],$D$13,0)*MATCH(YEAR(orderHistory[invoice_date]),$D$15,0)),MATCH(ROW(orderHistory[customer]),ROW(orderHistory[customer])),""),ROWS($A$15:A19)+$B$3)))),IF($D$13="",IF($D$15="",INDEX(orderHistory[order_no],SMALL(IF(ISNUMBER(MATCH(orderHistory[status],$D$11,0)),MATCH(ROW(orderHistory[customer]),ROW(orderHistory[customer])),""),ROWS($A$15:A19)+$B$3)),INDEX(orderHistory[order_no],SMALL(IF(ISNUMBER(MATCH(orderHistory[status],$D$11,0)*MATCH(YEAR(orderHistory[invoice_date]),$D$15,0)),MATCH(ROW(orderHistory[customer]),ROW(orderHistory[customer])),""),ROWS($A$15:A19)+$B$3))),IF($D$15="",INDEX(orderHistory[order_no],SMALL(IF(ISNUMBER(MATCH(orderHistory[status],$D$11,0)*MATCH(orderHistory[order_type],$D$13,0)),MATCH(ROW(orderHistory[customer]),ROW(orderHistory[customer])),""),ROWS($A$15:A19)+$B$3)),INDEX(orderHistory[order_no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no],SMALL(IF(ISNUMBER(MATCH(orderHistory[customer],$D$9,0)),MATCH(ROW(orderHistory[customer]),ROW(orderHistory[customer])),""),ROWS($A$15:A19)+$B$3)),INDEX(orderHistory[order_no],SMALL(IF(ISNUMBER(MATCH(orderHistory[customer],$D$9,0)*MATCH(YEAR(orderHistory[invoice_date]),$D$15,0)),MATCH(ROW(orderHistory[customer]),ROW(orderHistory[customer])),""),ROWS($A$15:A19)+$B$3))),IF($D$15="",INDEX(orderHistory[order_no],SMALL(IF(ISNUMBER(MATCH(orderHistory[customer],$D$9,0)*MATCH(orderHistory[order_type],$D$13,0)),MATCH(ROW(orderHistory[customer]),ROW(orderHistory[customer])),""),ROWS($A$15:A19)+$B$3)),INDEX(orderHistory[order_no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no],SMALL(IF(ISNUMBER(MATCH(orderHistory[customer],$D$9,0)*MATCH(orderHistory[status],$D$11,0)),MATCH(ROW(orderHistory[customer]),ROW(orderHistory[customer])),""),ROWS($A$15:A19)+$B$3)),INDEX(orderHistory[order_no],SMALL(IF(ISNUMBER(MATCH(orderHistory[customer],$D$9,0)*MATCH(orderHistory[status],$D$11,0)*MATCH(YEAR(orderHistory[invoice_date]),$D$15,0)),MATCH(ROW(orderHistory[customer]),ROW(orderHistory[customer])),""),ROWS($A$15:A19)+$B$3))),IF($D$15="",INDEX(orderHistory[order_no],SMALL(IF(ISNUMBER(MATCH(orderHistory[customer],$D$9,0)*MATCH(orderHistory[status],$D$11,0)*MATCH(orderHistory[order_type],$D$13,0)),MATCH(ROW(orderHistory[customer]),ROW(orderHistory[customer])),""),ROWS($A$15:A19)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32</v>
      </c>
      <c r="N14" s="541" t="str">
        <f t="array" ref="N14">IFERROR(IF($D$9="",IF($D$11="",IF($D$13="",IF($D$15="",INDEX(orderHistory[order_type],SMALL(MATCH(ROW(orderHistory[customer]),ROW(orderHistory[customer])),ROWS($A$15:A19)+$B$3)),INDEX(orderHistory[order_type],SMALL(IF(ISNUMBER(MATCH(YEAR(orderHistory[invoice_date]),$D$15,0)),MATCH(ROW(orderHistory[customer]),ROW(orderHistory[customer])),""),ROWS($A$15:A19)+$B$3))),IF($D$15="",INDEX(orderHistory[order_type],SMALL(IF(ISNUMBER(MATCH(orderHistory[order_type],$D$13,0)),MATCH(ROW(orderHistory[customer]),ROW(orderHistory[customer])),""),ROWS($A$15:A19)+$B$3)),INDEX(orderHistory[order_type],SMALL(IF(ISNUMBER(MATCH(orderHistory[order_type],$D$13,0)*MATCH(YEAR(orderHistory[invoice_date]),$D$15,0)),MATCH(ROW(orderHistory[customer]),ROW(orderHistory[customer])),""),ROWS($A$15:A19)+$B$3)))),IF($D$13="",IF($D$15="",INDEX(orderHistory[order_type],SMALL(IF(ISNUMBER(MATCH(orderHistory[status],$D$11,0)),MATCH(ROW(orderHistory[customer]),ROW(orderHistory[customer])),""),ROWS($A$15:A19)+$B$3)),INDEX(orderHistory[order_type],SMALL(IF(ISNUMBER(MATCH(orderHistory[status],$D$11,0)*MATCH(YEAR(orderHistory[invoice_date]),$D$15,0)),MATCH(ROW(orderHistory[customer]),ROW(orderHistory[customer])),""),ROWS($A$15:A19)+$B$3))),IF($D$15="",INDEX(orderHistory[order_type],SMALL(IF(ISNUMBER(MATCH(orderHistory[status],$D$11,0)*MATCH(orderHistory[order_type],$D$13,0)),MATCH(ROW(orderHistory[customer]),ROW(orderHistory[customer])),""),ROWS($A$15:A19)+$B$3)),INDEX(orderHistory[order_typ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type],SMALL(IF(ISNUMBER(MATCH(orderHistory[customer],$D$9,0)),MATCH(ROW(orderHistory[customer]),ROW(orderHistory[customer])),""),ROWS($A$15:A19)+$B$3)),INDEX(orderHistory[order_type],SMALL(IF(ISNUMBER(MATCH(orderHistory[customer],$D$9,0)*MATCH(YEAR(orderHistory[invoice_date]),$D$15,0)),MATCH(ROW(orderHistory[customer]),ROW(orderHistory[customer])),""),ROWS($A$15:A19)+$B$3))),IF($D$15="",INDEX(orderHistory[order_type],SMALL(IF(ISNUMBER(MATCH(orderHistory[customer],$D$9,0)*MATCH(orderHistory[order_type],$D$13,0)),MATCH(ROW(orderHistory[customer]),ROW(orderHistory[customer])),""),ROWS($A$15:A19)+$B$3)),INDEX(orderHistory[order_typ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type],SMALL(IF(ISNUMBER(MATCH(orderHistory[customer],$D$9,0)*MATCH(orderHistory[status],$D$11,0)),MATCH(ROW(orderHistory[customer]),ROW(orderHistory[customer])),""),ROWS($A$15:A19)+$B$3)),INDEX(orderHistory[order_type],SMALL(IF(ISNUMBER(MATCH(orderHistory[customer],$D$9,0)*MATCH(orderHistory[status],$D$11,0)*MATCH(YEAR(orderHistory[invoice_date]),$D$15,0)),MATCH(ROW(orderHistory[customer]),ROW(orderHistory[customer])),""),ROWS($A$15:A19)+$B$3))),IF($D$15="",INDEX(orderHistory[order_type],SMALL(IF(ISNUMBER(MATCH(orderHistory[customer],$D$9,0)*MATCH(orderHistory[status],$D$11,0)*MATCH(orderHistory[order_type],$D$13,0)),MATCH(ROW(orderHistory[customer]),ROW(orderHistory[customer])),""),ROWS($A$15:A19)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SAMPLING</v>
      </c>
      <c r="O14" s="542">
        <f t="array" ref="O14">IFERROR(IF($D$9="",IF($D$11="",IF($D$13="",IF($D$15="",INDEX(orderHistory[order_date],SMALL(MATCH(ROW(orderHistory[customer]),ROW(orderHistory[customer])),ROWS($A$15:A19)+$B$3)),INDEX(orderHistory[order_date],SMALL(IF(ISNUMBER(MATCH(YEAR(orderHistory[invoice_date]),$D$15,0)),MATCH(ROW(orderHistory[customer]),ROW(orderHistory[customer])),""),ROWS($A$15:A19)+$B$3))),IF($D$15="",INDEX(orderHistory[order_date],SMALL(IF(ISNUMBER(MATCH(orderHistory[order_type],$D$13,0)),MATCH(ROW(orderHistory[customer]),ROW(orderHistory[customer])),""),ROWS($A$15:A19)+$B$3)),INDEX(orderHistory[order_date],SMALL(IF(ISNUMBER(MATCH(orderHistory[order_type],$D$13,0)*MATCH(YEAR(orderHistory[invoice_date]),$D$15,0)),MATCH(ROW(orderHistory[customer]),ROW(orderHistory[customer])),""),ROWS($A$15:A19)+$B$3)))),IF($D$13="",IF($D$15="",INDEX(orderHistory[order_date],SMALL(IF(ISNUMBER(MATCH(orderHistory[status],$D$11,0)),MATCH(ROW(orderHistory[customer]),ROW(orderHistory[customer])),""),ROWS($A$15:A19)+$B$3)),INDEX(orderHistory[order_date],SMALL(IF(ISNUMBER(MATCH(orderHistory[status],$D$11,0)*MATCH(YEAR(orderHistory[invoice_date]),$D$15,0)),MATCH(ROW(orderHistory[customer]),ROW(orderHistory[customer])),""),ROWS($A$15:A19)+$B$3))),IF($D$15="",INDEX(orderHistory[order_date],SMALL(IF(ISNUMBER(MATCH(orderHistory[status],$D$11,0)*MATCH(orderHistory[order_type],$D$13,0)),MATCH(ROW(orderHistory[customer]),ROW(orderHistory[customer])),""),ROWS($A$15:A19)+$B$3)),INDEX(orderHistory[order_dat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date],SMALL(IF(ISNUMBER(MATCH(orderHistory[customer],$D$9,0)),MATCH(ROW(orderHistory[customer]),ROW(orderHistory[customer])),""),ROWS($A$15:A19)+$B$3)),INDEX(orderHistory[order_date],SMALL(IF(ISNUMBER(MATCH(orderHistory[customer],$D$9,0)*MATCH(YEAR(orderHistory[invoice_date]),$D$15,0)),MATCH(ROW(orderHistory[customer]),ROW(orderHistory[customer])),""),ROWS($A$15:A19)+$B$3))),IF($D$15="",INDEX(orderHistory[order_date],SMALL(IF(ISNUMBER(MATCH(orderHistory[customer],$D$9,0)*MATCH(orderHistory[order_type],$D$13,0)),MATCH(ROW(orderHistory[customer]),ROW(orderHistory[customer])),""),ROWS($A$15:A19)+$B$3)),INDEX(orderHistory[order_dat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date],SMALL(IF(ISNUMBER(MATCH(orderHistory[customer],$D$9,0)*MATCH(orderHistory[status],$D$11,0)),MATCH(ROW(orderHistory[customer]),ROW(orderHistory[customer])),""),ROWS($A$15:A19)+$B$3)),INDEX(orderHistory[order_date],SMALL(IF(ISNUMBER(MATCH(orderHistory[customer],$D$9,0)*MATCH(orderHistory[status],$D$11,0)*MATCH(YEAR(orderHistory[invoice_date]),$D$15,0)),MATCH(ROW(orderHistory[customer]),ROW(orderHistory[customer])),""),ROWS($A$15:A19)+$B$3))),IF($D$15="",INDEX(orderHistory[order_date],SMALL(IF(ISNUMBER(MATCH(orderHistory[customer],$D$9,0)*MATCH(orderHistory[status],$D$11,0)*MATCH(orderHistory[order_type],$D$13,0)),MATCH(ROW(orderHistory[customer]),ROW(orderHistory[customer])),""),ROWS($A$15:A19)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45392</v>
      </c>
      <c r="P14" s="543">
        <f t="array" ref="P14">IFERROR(IF($D$9="",IF($D$11="",IF($D$13="",IF($D$15="",INDEX(orderHistory[invoice_no],SMALL(MATCH(ROW(orderHistory[customer]),ROW(orderHistory[customer])),ROWS($A$15:A19)+$B$3)),INDEX(orderHistory[invoice_no],SMALL(IF(ISNUMBER(MATCH(YEAR(orderHistory[invoice_date]),$D$15,0)),MATCH(ROW(orderHistory[customer]),ROW(orderHistory[customer])),""),ROWS($A$15:A19)+$B$3))),IF($D$15="",INDEX(orderHistory[invoice_no],SMALL(IF(ISNUMBER(MATCH(orderHistory[order_type],$D$13,0)),MATCH(ROW(orderHistory[customer]),ROW(orderHistory[customer])),""),ROWS($A$15:A19)+$B$3)),INDEX(orderHistory[invoice_no],SMALL(IF(ISNUMBER(MATCH(orderHistory[order_type],$D$13,0)*MATCH(YEAR(orderHistory[invoice_date]),$D$15,0)),MATCH(ROW(orderHistory[customer]),ROW(orderHistory[customer])),""),ROWS($A$15:A19)+$B$3)))),IF($D$13="",IF($D$15="",INDEX(orderHistory[invoice_no],SMALL(IF(ISNUMBER(MATCH(orderHistory[status],$D$11,0)),MATCH(ROW(orderHistory[customer]),ROW(orderHistory[customer])),""),ROWS($A$15:A19)+$B$3)),INDEX(orderHistory[invoice_no],SMALL(IF(ISNUMBER(MATCH(orderHistory[status],$D$11,0)*MATCH(YEAR(orderHistory[invoice_date]),$D$15,0)),MATCH(ROW(orderHistory[customer]),ROW(orderHistory[customer])),""),ROWS($A$15:A19)+$B$3))),IF($D$15="",INDEX(orderHistory[invoice_no],SMALL(IF(ISNUMBER(MATCH(orderHistory[status],$D$11,0)*MATCH(orderHistory[order_type],$D$13,0)),MATCH(ROW(orderHistory[customer]),ROW(orderHistory[customer])),""),ROWS($A$15:A19)+$B$3)),INDEX(orderHistory[invoice_no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oice_no],SMALL(IF(ISNUMBER(MATCH(orderHistory[customer],$D$9,0)),MATCH(ROW(orderHistory[customer]),ROW(orderHistory[customer])),""),ROWS($A$15:A19)+$B$3)),INDEX(orderHistory[invoice_no],SMALL(IF(ISNUMBER(MATCH(orderHistory[customer],$D$9,0)*MATCH(YEAR(orderHistory[invoice_date]),$D$15,0)),MATCH(ROW(orderHistory[customer]),ROW(orderHistory[customer])),""),ROWS($A$15:A19)+$B$3))),IF($D$15="",INDEX(orderHistory[invoice_no],SMALL(IF(ISNUMBER(MATCH(orderHistory[customer],$D$9,0)*MATCH(orderHistory[order_type],$D$13,0)),MATCH(ROW(orderHistory[customer]),ROW(orderHistory[customer])),""),ROWS($A$15:A19)+$B$3)),INDEX(orderHistory[invoice_no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YEAR(orderHistory[invoice_date]),$D$15,0)),MATCH(ROW(orderHistory[customer]),ROW(orderHistory[customer])),""),ROWS($A$15:A19)+$B$3))),IF($D$15="",INDEX(orderHistory[invoice_no],SMALL(IF(ISNUMBER(MATCH(orderHistory[customer],$D$9,0)*MATCH(orderHistory[status],$D$11,0)*MATCH(orderHistory[order_type],$D$13,0)),MATCH(ROW(orderHistory[customer]),ROW(orderHistory[customer])),""),ROWS($A$15:A19)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0</v>
      </c>
      <c r="Q14" s="544">
        <f t="array" ref="Q14">IFERROR(IF($D$9="",IF($D$11="",IF($D$13="",IF($D$15="",INDEX(orderHistory[invoice_date],SMALL(MATCH(ROW(orderHistory[customer]),ROW(orderHistory[customer])),ROWS($A$15:A19)+$B$3)),INDEX(orderHistory[invoice_date],SMALL(IF(ISNUMBER(MATCH(YEAR(orderHistory[invoice_date]),$D$15,0)),MATCH(ROW(orderHistory[customer]),ROW(orderHistory[customer])),""),ROWS($A$15:A19)+$B$3))),IF($D$15="",INDEX(orderHistory[invoice_date],SMALL(IF(ISNUMBER(MATCH(orderHistory[order_type],$D$13,0)),MATCH(ROW(orderHistory[customer]),ROW(orderHistory[customer])),""),ROWS($A$15:A19)+$B$3)),INDEX(orderHistory[invoice_date],SMALL(IF(ISNUMBER(MATCH(orderHistory[order_type],$D$13,0)*MATCH(YEAR(orderHistory[invoice_date]),$D$15,0)),MATCH(ROW(orderHistory[customer]),ROW(orderHistory[customer])),""),ROWS($A$15:A19)+$B$3)))),IF($D$13="",IF($D$15="",INDEX(orderHistory[invoice_date],SMALL(IF(ISNUMBER(MATCH(orderHistory[status],$D$11,0)),MATCH(ROW(orderHistory[customer]),ROW(orderHistory[customer])),""),ROWS($A$15:A19)+$B$3)),INDEX(orderHistory[invoice_date],SMALL(IF(ISNUMBER(MATCH(orderHistory[status],$D$11,0)*MATCH(YEAR(orderHistory[invoice_date]),$D$15,0)),MATCH(ROW(orderHistory[customer]),ROW(orderHistory[customer])),""),ROWS($A$15:A19)+$B$3))),IF($D$15="",INDEX(orderHistory[invoice_date],SMALL(IF(ISNUMBER(MATCH(orderHistory[status],$D$11,0)*MATCH(orderHistory[order_type],$D$13,0)),MATCH(ROW(orderHistory[customer]),ROW(orderHistory[customer])),""),ROWS($A$15:A19)+$B$3)),INDEX(orderHistory[invoice_dat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oice_date],SMALL(IF(ISNUMBER(MATCH(orderHistory[customer],$D$9,0)),MATCH(ROW(orderHistory[customer]),ROW(orderHistory[customer])),""),ROWS($A$15:A19)+$B$3)),INDEX(orderHistory[invoice_date],SMALL(IF(ISNUMBER(MATCH(orderHistory[customer],$D$9,0)*MATCH(YEAR(orderHistory[invoice_date]),$D$15,0)),MATCH(ROW(orderHistory[customer]),ROW(orderHistory[customer])),""),ROWS($A$15:A19)+$B$3))),IF($D$15="",INDEX(orderHistory[invoice_date],SMALL(IF(ISNUMBER(MATCH(orderHistory[customer],$D$9,0)*MATCH(orderHistory[order_type],$D$13,0)),MATCH(ROW(orderHistory[customer]),ROW(orderHistory[customer])),""),ROWS($A$15:A19)+$B$3)),INDEX(orderHistory[invoice_dat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YEAR(orderHistory[invoice_date]),$D$15,0)),MATCH(ROW(orderHistory[customer]),ROW(orderHistory[customer])),""),ROWS($A$15:A19)+$B$3))),IF($D$15="",INDEX(orderHistory[invoice_date],SMALL(IF(ISNUMBER(MATCH(orderHistory[customer],$D$9,0)*MATCH(orderHistory[status],$D$11,0)*MATCH(orderHistory[order_type],$D$13,0)),MATCH(ROW(orderHistory[customer]),ROW(orderHistory[customer])),""),ROWS($A$15:A19)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0</v>
      </c>
      <c r="R14" s="545">
        <f t="array" ref="R14">IFERROR(IF($D$9="",IF($D$11="",IF($D$13="",IF($D$15="",INDEX(orderHistory[inv_amount],SMALL(MATCH(ROW(orderHistory[customer]),ROW(orderHistory[customer])),ROWS($A$15:A19)+$B$3)),INDEX(orderHistory[inv_amount],SMALL(IF(ISNUMBER(MATCH(YEAR(orderHistory[invoice_date]),$D$15,0)),MATCH(ROW(orderHistory[customer]),ROW(orderHistory[customer])),""),ROWS($A$15:A19)+$B$3))),IF($D$15="",INDEX(orderHistory[inv_amount],SMALL(IF(ISNUMBER(MATCH(orderHistory[order_type],$D$13,0)),MATCH(ROW(orderHistory[customer]),ROW(orderHistory[customer])),""),ROWS($A$15:A19)+$B$3)),INDEX(orderHistory[inv_amount],SMALL(IF(ISNUMBER(MATCH(orderHistory[order_type],$D$13,0)*MATCH(YEAR(orderHistory[invoice_date]),$D$15,0)),MATCH(ROW(orderHistory[customer]),ROW(orderHistory[customer])),""),ROWS($A$15:A19)+$B$3)))),IF($D$13="",IF($D$15="",INDEX(orderHistory[inv_amount],SMALL(IF(ISNUMBER(MATCH(orderHistory[status],$D$11,0)),MATCH(ROW(orderHistory[customer]),ROW(orderHistory[customer])),""),ROWS($A$15:A19)+$B$3)),INDEX(orderHistory[inv_amount],SMALL(IF(ISNUMBER(MATCH(orderHistory[status],$D$11,0)*MATCH(YEAR(orderHistory[invoice_date]),$D$15,0)),MATCH(ROW(orderHistory[customer]),ROW(orderHistory[customer])),""),ROWS($A$15:A19)+$B$3))),IF($D$15="",INDEX(orderHistory[inv_amount],SMALL(IF(ISNUMBER(MATCH(orderHistory[status],$D$11,0)*MATCH(orderHistory[order_type],$D$13,0)),MATCH(ROW(orderHistory[customer]),ROW(orderHistory[customer])),""),ROWS($A$15:A19)+$B$3)),INDEX(orderHistory[inv_amount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_amount],SMALL(IF(ISNUMBER(MATCH(orderHistory[customer],$D$9,0)),MATCH(ROW(orderHistory[customer]),ROW(orderHistory[customer])),""),ROWS($A$15:A19)+$B$3)),INDEX(orderHistory[inv_amount],SMALL(IF(ISNUMBER(MATCH(orderHistory[customer],$D$9,0)*MATCH(YEAR(orderHistory[invoice_date]),$D$15,0)),MATCH(ROW(orderHistory[customer]),ROW(orderHistory[customer])),""),ROWS($A$15:A19)+$B$3))),IF($D$15="",INDEX(orderHistory[inv_amount],SMALL(IF(ISNUMBER(MATCH(orderHistory[customer],$D$9,0)*MATCH(orderHistory[order_type],$D$13,0)),MATCH(ROW(orderHistory[customer]),ROW(orderHistory[customer])),""),ROWS($A$15:A19)+$B$3)),INDEX(orderHistory[inv_amount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_amount],SMALL(IF(ISNUMBER(MATCH(orderHistory[customer],$D$9,0)*MATCH(orderHistory[status],$D$11,0)),MATCH(ROW(orderHistory[customer]),ROW(orderHistory[customer])),""),ROWS($A$15:A19)+$B$3)),INDEX(orderHistory[inv_amount],SMALL(IF(ISNUMBER(MATCH(orderHistory[customer],$D$9,0)*MATCH(orderHistory[status],$D$11,0)*MATCH(YEAR(orderHistory[inv_amount]),$D$15,0)),MATCH(ROW(orderHistory[customer]),ROW(orderHistory[customer])),""),ROWS($A$15:A19)+$B$3))),IF($D$15="",INDEX(orderHistory[inv_amount],SMALL(IF(ISNUMBER(MATCH(orderHistory[customer],$D$9,0)*MATCH(orderHistory[status],$D$11,0)*MATCH(orderHistory[order_type],$D$13,0)),MATCH(ROW(orderHistory[customer]),ROW(orderHistory[customer])),""),ROWS($A$15:A19)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0</v>
      </c>
      <c r="S14" s="546">
        <f t="shared" si="2"/>
        <v>0</v>
      </c>
      <c r="T14" s="547" t="b">
        <f t="array" ref="T14">IFERROR(IF($D$9="",IF($D$11="",IF($D$13="",IF($D$15="",INDEX(orderHistory[payed],SMALL(MATCH(ROW(orderHistory[customer]),ROW(orderHistory[customer])),ROWS($A$15:A19)+$B$3)),INDEX(orderHistory[payed],SMALL(IF(ISNUMBER(MATCH(YEAR(orderHistory[invoice_date]),$D$15,0)),MATCH(ROW(orderHistory[customer]),ROW(orderHistory[customer])),""),ROWS($A$15:A19)+$B$3))),IF($D$15="",INDEX(orderHistory[payed],SMALL(IF(ISNUMBER(MATCH(orderHistory[order_type],$D$13,0)),MATCH(ROW(orderHistory[customer]),ROW(orderHistory[customer])),""),ROWS($A$15:A19)+$B$3)),INDEX(orderHistory[payed],SMALL(IF(ISNUMBER(MATCH(orderHistory[order_type],$D$13,0)*MATCH(YEAR(orderHistory[invoice_date]),$D$15,0)),MATCH(ROW(orderHistory[customer]),ROW(orderHistory[customer])),""),ROWS($A$15:A19)+$B$3)))),IF($D$13="",IF($D$15="",INDEX(orderHistory[payed],SMALL(IF(ISNUMBER(MATCH(orderHistory[status],$D$11,0)),MATCH(ROW(orderHistory[customer]),ROW(orderHistory[customer])),""),ROWS($A$15:A19)+$B$3)),INDEX(orderHistory[payed],SMALL(IF(ISNUMBER(MATCH(orderHistory[status],$D$11,0)*MATCH(YEAR(orderHistory[invoice_date]),$D$15,0)),MATCH(ROW(orderHistory[customer]),ROW(orderHistory[customer])),""),ROWS($A$15:A19)+$B$3))),IF($D$15="",INDEX(orderHistory[payed],SMALL(IF(ISNUMBER(MATCH(orderHistory[status],$D$11,0)*MATCH(orderHistory[order_type],$D$13,0)),MATCH(ROW(orderHistory[customer]),ROW(orderHistory[customer])),""),ROWS($A$15:A19)+$B$3)),INDEX(orderHistory[payed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payed],SMALL(IF(ISNUMBER(MATCH(orderHistory[customer],$D$9,0)),MATCH(ROW(orderHistory[customer]),ROW(orderHistory[customer])),""),ROWS($A$15:A19)+$B$3)),INDEX(orderHistory[payed],SMALL(IF(ISNUMBER(MATCH(orderHistory[customer],$D$9,0)*MATCH(YEAR(orderHistory[invoice_date]),$D$15,0)),MATCH(ROW(orderHistory[customer]),ROW(orderHistory[customer])),""),ROWS($A$15:A19)+$B$3))),IF($D$15="",INDEX(orderHistory[payed],SMALL(IF(ISNUMBER(MATCH(orderHistory[customer],$D$9,0)*MATCH(orderHistory[order_type],$D$13,0)),MATCH(ROW(orderHistory[customer]),ROW(orderHistory[customer])),""),ROWS($A$15:A19)+$B$3)),INDEX(orderHistory[payed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payed],SMALL(IF(ISNUMBER(MATCH(orderHistory[customer],$D$9,0)*MATCH(orderHistory[status],$D$11,0)),MATCH(ROW(orderHistory[customer]),ROW(orderHistory[customer])),""),ROWS($A$15:A19)+$B$3)),INDEX(orderHistory[payed],SMALL(IF(ISNUMBER(MATCH(orderHistory[customer],$D$9,0)*MATCH(orderHistory[status],$D$11,0)*MATCH(YEAR(orderHistory[payed]),$D$15,0)),MATCH(ROW(orderHistory[customer]),ROW(orderHistory[customer])),""),ROWS($A$15:A19)+$B$3))),IF($D$15="",INDEX(orderHistory[payed],SMALL(IF(ISNUMBER(MATCH(orderHistory[customer],$D$9,0)*MATCH(orderHistory[status],$D$11,0)*MATCH(orderHistory[order_type],$D$13,0)),MATCH(ROW(orderHistory[customer]),ROW(orderHistory[customer])),""),ROWS($A$15:A19)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1</v>
      </c>
      <c r="U14" s="541" t="str">
        <f t="array" ref="U14">IFERROR(IF($D$9="",IF($D$11="",IF($D$13="",IF($D$15="",INDEX(orderHistory[shipping_method],SMALL(MATCH(ROW(orderHistory[customer]),ROW(orderHistory[customer])),ROWS($A$15:A19)+$B$3)),INDEX(orderHistory[shipping_method],SMALL(IF(ISNUMBER(MATCH(YEAR(orderHistory[invoice_date]),$D$15,0)),MATCH(ROW(orderHistory[customer]),ROW(orderHistory[customer])),""),ROWS($A$15:A19)+$B$3))),IF($D$15="",INDEX(orderHistory[shipping_method],SMALL(IF(ISNUMBER(MATCH(orderHistory[order_type],$D$13,0)),MATCH(ROW(orderHistory[customer]),ROW(orderHistory[customer])),""),ROWS($A$15:A19)+$B$3)),INDEX(orderHistory[shipping_method],SMALL(IF(ISNUMBER(MATCH(orderHistory[order_type],$D$13,0)*MATCH(YEAR(orderHistory[invoice_date]),$D$15,0)),MATCH(ROW(orderHistory[customer]),ROW(orderHistory[customer])),""),ROWS($A$15:A19)+$B$3)))),IF($D$13="",IF($D$15="",INDEX(orderHistory[shipping_method],SMALL(IF(ISNUMBER(MATCH(orderHistory[status],$D$11,0)),MATCH(ROW(orderHistory[customer]),ROW(orderHistory[customer])),""),ROWS($A$15:A19)+$B$3)),INDEX(orderHistory[shipping_method],SMALL(IF(ISNUMBER(MATCH(orderHistory[status],$D$11,0)*MATCH(YEAR(orderHistory[invoice_date]),$D$15,0)),MATCH(ROW(orderHistory[customer]),ROW(orderHistory[customer])),""),ROWS($A$15:A19)+$B$3))),IF($D$15="",INDEX(orderHistory[shipping_method],SMALL(IF(ISNUMBER(MATCH(orderHistory[status],$D$11,0)*MATCH(orderHistory[order_type],$D$13,0)),MATCH(ROW(orderHistory[customer]),ROW(orderHistory[customer])),""),ROWS($A$15:A19)+$B$3)),INDEX(orderHistory[shipping_method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shipping_method],SMALL(IF(ISNUMBER(MATCH(orderHistory[customer],$D$9,0)),MATCH(ROW(orderHistory[customer]),ROW(orderHistory[customer])),""),ROWS($A$15:A19)+$B$3)),INDEX(orderHistory[shipping_method],SMALL(IF(ISNUMBER(MATCH(orderHistory[customer],$D$9,0)*MATCH(YEAR(orderHistory[invoice_date]),$D$15,0)),MATCH(ROW(orderHistory[customer]),ROW(orderHistory[customer])),""),ROWS($A$15:A19)+$B$3))),IF($D$15="",INDEX(orderHistory[shipping_method],SMALL(IF(ISNUMBER(MATCH(orderHistory[customer],$D$9,0)*MATCH(orderHistory[order_type],$D$13,0)),MATCH(ROW(orderHistory[customer]),ROW(orderHistory[customer])),""),ROWS($A$15:A19)+$B$3)),INDEX(orderHistory[shipping_method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shipping_method],SMALL(IF(ISNUMBER(MATCH(orderHistory[customer],$D$9,0)*MATCH(orderHistory[status],$D$11,0)),MATCH(ROW(orderHistory[customer]),ROW(orderHistory[customer])),""),ROWS($A$15:A19)+$B$3)),INDEX(orderHistory[shipping_method],SMALL(IF(ISNUMBER(MATCH(orderHistory[customer],$D$9,0)*MATCH(orderHistory[status],$D$11,0)*MATCH(YEAR(orderHistory[shipping_method]),$D$15,0)),MATCH(ROW(orderHistory[customer]),ROW(orderHistory[customer])),""),ROWS($A$15:A19)+$B$3))),IF($D$15="",INDEX(orderHistory[shipping_method],SMALL(IF(ISNUMBER(MATCH(orderHistory[customer],$D$9,0)*MATCH(orderHistory[status],$D$11,0)*MATCH(orderHistory[order_type],$D$13,0)),MATCH(ROW(orderHistory[customer]),ROW(orderHistory[customer])),""),ROWS($A$15:A19)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BY ROAD</v>
      </c>
      <c r="V14" s="548" t="str">
        <f t="array" ref="V14">IFERROR(IF($D$9="",IF($D$11="",IF($D$13="",IF($D$15="",INDEX(orderHistory[status],SMALL(MATCH(ROW(orderHistory[customer]),ROW(orderHistory[customer])),ROWS($A$15:A19)+$B$3)),INDEX(orderHistory[status],SMALL(IF(ISNUMBER(MATCH(YEAR(orderHistory[invoice_date]),$D$15,0)),MATCH(ROW(orderHistory[customer]),ROW(orderHistory[customer])),""),ROWS($A$15:A19)+$B$3))),IF($D$15="",INDEX(orderHistory[status],SMALL(IF(ISNUMBER(MATCH(orderHistory[order_type],$D$13,0)),MATCH(ROW(orderHistory[customer]),ROW(orderHistory[customer])),""),ROWS($A$15:A19)+$B$3)),INDEX(orderHistory[status],SMALL(IF(ISNUMBER(MATCH(orderHistory[order_type],$D$13,0)*MATCH(YEAR(orderHistory[invoice_date]),$D$15,0)),MATCH(ROW(orderHistory[customer]),ROW(orderHistory[customer])),""),ROWS($A$15:A19)+$B$3)))),IF($D$13="",IF($D$15="",INDEX(orderHistory[status],SMALL(IF(ISNUMBER(MATCH(orderHistory[status],$D$11,0)),MATCH(ROW(orderHistory[customer]),ROW(orderHistory[customer])),""),ROWS($A$15:A19)+$B$3)),INDEX(orderHistory[status],SMALL(IF(ISNUMBER(MATCH(orderHistory[status],$D$11,0)*MATCH(YEAR(orderHistory[invoice_date]),$D$15,0)),MATCH(ROW(orderHistory[customer]),ROW(orderHistory[customer])),""),ROWS($A$15:A19)+$B$3))),IF($D$15="",INDEX(orderHistory[status],SMALL(IF(ISNUMBER(MATCH(orderHistory[status],$D$11,0)*MATCH(orderHistory[order_type],$D$13,0)),MATCH(ROW(orderHistory[customer]),ROW(orderHistory[customer])),""),ROWS($A$15:A19)+$B$3)),INDEX(orderHistory[status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status],SMALL(IF(ISNUMBER(MATCH(orderHistory[customer],$D$9,0)),MATCH(ROW(orderHistory[customer]),ROW(orderHistory[customer])),""),ROWS($A$15:A19)+$B$3)),INDEX(orderHistory[status],SMALL(IF(ISNUMBER(MATCH(orderHistory[customer],$D$9,0)*MATCH(YEAR(orderHistory[invoice_date]),$D$15,0)),MATCH(ROW(orderHistory[customer]),ROW(orderHistory[customer])),""),ROWS($A$15:A19)+$B$3))),IF($D$15="",INDEX(orderHistory[status],SMALL(IF(ISNUMBER(MATCH(orderHistory[customer],$D$9,0)*MATCH(orderHistory[order_type],$D$13,0)),MATCH(ROW(orderHistory[customer]),ROW(orderHistory[customer])),""),ROWS($A$15:A19)+$B$3)),INDEX(orderHistory[status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status],SMALL(IF(ISNUMBER(MATCH(orderHistory[customer],$D$9,0)*MATCH(orderHistory[status],$D$11,0)),MATCH(ROW(orderHistory[customer]),ROW(orderHistory[customer])),""),ROWS($A$15:A19)+$B$3)),INDEX(orderHistory[status],SMALL(IF(ISNUMBER(MATCH(orderHistory[customer],$D$9,0)*MATCH(orderHistory[status],$D$11,0)*MATCH(YEAR(orderHistory[status]),$D$15,0)),MATCH(ROW(orderHistory[customer]),ROW(orderHistory[customer])),""),ROWS($A$15:A19)+$B$3))),IF($D$15="",INDEX(orderHistory[status],SMALL(IF(ISNUMBER(MATCH(orderHistory[customer],$D$9,0)*MATCH(orderHistory[status],$D$11,0)*MATCH(orderHistory[order_type],$D$13,0)),MATCH(ROW(orderHistory[customer]),ROW(orderHistory[customer])),""),ROWS($A$15:A19)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SHIPPED</v>
      </c>
      <c r="W14" s="407"/>
      <c r="AQ14" s="462"/>
      <c r="AR14" s="478"/>
      <c r="AS14" s="464"/>
      <c r="AT14" s="479"/>
      <c r="AU14" s="421"/>
      <c r="AW14" s="462"/>
      <c r="AX14" s="423"/>
      <c r="BD14" s="460"/>
      <c r="BE14" s="460"/>
      <c r="BF14" s="466"/>
      <c r="BG14" s="466"/>
      <c r="BH14" s="466"/>
      <c r="BJ14" s="421"/>
      <c r="BK14" s="475"/>
      <c r="BL14" s="451"/>
      <c r="BM14" s="452"/>
      <c r="BN14" s="451"/>
      <c r="BO14" s="452"/>
      <c r="BX14" s="413" t="s">
        <v>844</v>
      </c>
      <c r="BZ14" s="158"/>
      <c r="CA14" s="154" t="str">
        <f>IF(BZ14="","",INDEX(bhpc_data[description],MATCH(BZ14,bhpc_data[sku],0)))</f>
        <v/>
      </c>
      <c r="CB14" s="166"/>
      <c r="CC14" s="358"/>
      <c r="CD14" s="259"/>
      <c r="CE14" s="360"/>
      <c r="CF14" s="161"/>
      <c r="CG14" s="164" t="str">
        <f>IFERROR(ROUNDUP(CB14/INDEX(bhpc_data[units_per_carton],MATCH(BZ14,bhpc_data[sku],0)),0),"")</f>
        <v/>
      </c>
      <c r="CH14" s="165" t="str">
        <f>IFERROR(ROUNDUP(CD14/INDEX(bhpc_data[units_per_carton],MATCH(BZ14,bhpc_data[sku],0)),0),"")</f>
        <v/>
      </c>
      <c r="CI14" s="165" t="str">
        <f>IFERROR(ROUNDUP(CF14/INDEX(bhpc_data[units_per_carton],MATCH(BZ14,bhpc_data[sku])),0),"")</f>
        <v/>
      </c>
      <c r="CJ14" s="165" t="str">
        <f>IFERROR(((CB14+CD14+CF14)/INDEX(bhpc_data[units_per_carton],MATCH(BZ14,bhpc_data[sku],0)))*INDEX(bhpc_data[net_weight],MATCH(BZ14,bhpc_data[sku],0)),"")</f>
        <v/>
      </c>
      <c r="CK14" s="165" t="str">
        <f>IFERROR(((CB14+CD14+CF14)/INDEX(bhpc_data[units_per_carton],MATCH(BZ14,bhpc_data[sku],0)))*INDEX(bhpc_data[gross_weight],MATCH(BZ14,bhpc_data[sku],0)),"")</f>
        <v/>
      </c>
      <c r="CL14" s="180" t="str">
        <f>IFERROR((CB14+CD14+CF14)/INDEX(bhpc_data[units_per_carton],MATCH(BZ14,bhpc_data[sku],0))*INDEX(bhpc_data[lenght],MATCH(BZ14,bhpc_data[sku],0))*INDEX(bhpc_data[width],MATCH(BZ14,bhpc_data[sku],0))*INDEX(bhpc_data[height],MATCH(BZ14,bhpc_data[sku],0))/1000000000,"")</f>
        <v/>
      </c>
      <c r="CM14" s="189" t="str">
        <f>IFERROR(INDEX(bhpc_data[category],MATCH(BZ14,bhpc_data[sku],0)),"")</f>
        <v/>
      </c>
      <c r="CN14" s="189" t="str">
        <f>IFERROR(INDEX(bhpc_data[size1],MATCH(BZ14,bhpc_data[sku],0)),"")</f>
        <v/>
      </c>
      <c r="CO14" s="388" t="str">
        <f>IFERROR(INDEX(bhpc_data[hs_code],MATCH(BZ14,bhpc_data[sku],0)),"")</f>
        <v/>
      </c>
      <c r="CP14" s="377" t="str">
        <f>IFERROR(INDEX(inventory[ESISTENZA],MATCH(BZ14,inventory[ARTICOLO],0)),"")</f>
        <v/>
      </c>
      <c r="CQ14" s="367" t="str">
        <f>IFERROR(IF(BZ14="","",IF($BX$15="SALE",INDEX(inventory[COSTO UNITARIO],MATCH(BZ14,inventory[ARTICOLO],0)),IF($BX$15="SAMPLING",INDEX(inventory[COSTO UNITARIO],MATCH(BZ14,inventory[ARTICOLO],0)),""))),"")</f>
        <v/>
      </c>
      <c r="CR14" s="368" t="str">
        <f t="shared" si="0"/>
        <v/>
      </c>
      <c r="CS14" s="264" t="str">
        <f t="shared" si="1"/>
        <v/>
      </c>
      <c r="CU14" s="85"/>
      <c r="CV14" s="89" t="s">
        <v>603</v>
      </c>
      <c r="CW14" s="281">
        <f>SUM($CB$10:$CB$110,$CD$10:$CD$110,$CF$10:$CF$110)</f>
        <v>48</v>
      </c>
      <c r="CX14" s="372" t="s">
        <v>402</v>
      </c>
      <c r="CY14" s="284">
        <f>IF($BX$15="SUPPLY",0,$CY$11-$CY$12)</f>
        <v>-560.64</v>
      </c>
      <c r="CZ14" s="82"/>
      <c r="DA14" s="432" t="str">
        <f>IFERROR(VLOOKUP(BZ14,bhpc_data[],22,FALSE),"")</f>
        <v/>
      </c>
      <c r="DH14" s="296"/>
      <c r="EC14" s="413"/>
      <c r="EE14" s="202" t="str" cm="1">
        <f t="array" ref="EE14">IFERROR(IF($EC$9="",IF($EC$11="",IF($EC$13="",INDEX(bhpc_data[sku],SMALL(MATCH(ROW(bhpc_data[sku]),ROW(bhpc_data[sku])),ROWS($A$15:A19)+$B$3)),INDEX(bhpc_data[sku],SMALL(IF(ISNUMBER(MATCH(bhpc_data[size1],$EC$13,0)),MATCH(ROW(bhpc_data[sku]),ROW(bhpc_data[sku])),""),ROWS($A$15:A19)+$B$3))),IF($EC$13="",INDEX(bhpc_data[sku],SMALL(IF(ISNUMBER(MATCH(bhpc_data[sex],$EC$11,0)),MATCH(ROW(bhpc_data[sku]),ROW(bhpc_data[sku])),""),ROWS($A$15:A19)+$B$3)),INDEX(bhpc_data[sku],SMALL(IF(ISNUMBER(MATCH(bhpc_data[sex],$EC$11,0)*MATCH(bhpc_data[size1],$EC$13,0)),MATCH(ROW(bhpc_data[sku]),ROW(bhpc_data[sku])),""),ROWS($A$15:A19)+$B$3)))),IF($EC$11="",IF($EC$13="",INDEX(bhpc_data[sku],SMALL(IF(ISNUMBER(MATCH(bhpc_data[category],$EC$9,0)),MATCH(ROW(bhpc_data[sku]),ROW(bhpc_data[sku])),""),ROWS($A$15:A19)+$B$3)),INDEX(bhpc_data[sku],SMALL(IF(ISNUMBER(MATCH(bhpc_data[category],$EC$9,0)*MATCH(bhpc_data[size1],$EC$13,0)),MATCH(ROW(bhpc_data[sku]),ROW(bhpc_data[sku])),""),ROWS($A$15:A19)+$B$3))),IF($EC$13="",INDEX(bhpc_data[sku],SMALL(IF(ISNUMBER(MATCH(bhpc_data[category],$EC$9,0)*MATCH(bhpc_data[sex],$EC$11,0)),MATCH(ROW(bhpc_data[sku]),ROW(bhpc_data[sku])),""),ROWS($A$15:A19)+$B$3)),INDEX(bhpc_data[sku],SMALL(IF(ISNUMBER(MATCH(bhpc_data[category],$EC$9,0)*MATCH(bhpc_data[sex],$EC$11,0)*MATCH(bhpc_data[size1],$EC$13,0)),MATCH(ROW(bhpc_data[sku]),ROW(bhpc_data[sku])),""),ROWS($A$15:A19)+$B$3))))),"")</f>
        <v>GS5008</v>
      </c>
      <c r="EF14" s="198" t="str" cm="1">
        <f t="array" ref="EF14">IFERROR(IF($EC$9="",IF($EC$11="",IF($EC$13="",INDEX(bhpc_data[description],SMALL(MATCH(ROW(bhpc_data[sku]),ROW(bhpc_data[sku])),ROWS($A$15:A19)+$B$3)),INDEX(bhpc_data[description],SMALL(IF(ISNUMBER(MATCH(bhpc_data[size1],$EC$13,0)),MATCH(ROW(bhpc_data[sku]),ROW(bhpc_data[sku])),""),ROWS($A$15:A19)+$B$3))),IF($EC$13="",INDEX(bhpc_data[description],SMALL(IF(ISNUMBER(MATCH(bhpc_data[sex],$EC$11,0)),MATCH(ROW(bhpc_data[sku]),ROW(bhpc_data[sku])),""),ROWS($A$15:A19)+$B$3)),INDEX(bhpc_data[description],SMALL(IF(ISNUMBER(MATCH(bhpc_data[sex],$EC$11,0)*MATCH(bhpc_data[size1],$EC$13,0)),MATCH(ROW(bhpc_data[sku]),ROW(bhpc_data[sku])),""),ROWS($A$15:A19)+$B$3)))),IF($EC$11="",IF($EC$13="",INDEX(bhpc_data[description],SMALL(IF(ISNUMBER(MATCH(bhpc_data[category],$EC$9,0)),MATCH(ROW(bhpc_data[sku]),ROW(bhpc_data[sku])),""),ROWS($A$15:A19)+$B$3)),INDEX(bhpc_data[description],SMALL(IF(ISNUMBER(MATCH(bhpc_data[category],$EC$9,0)*MATCH(bhpc_data[size1],$EC$13,0)),MATCH(ROW(bhpc_data[sku]),ROW(bhpc_data[sku])),""),ROWS($A$15:A19)+$B$3))),IF($EC$13="",INDEX(bhpc_data[description],SMALL(IF(ISNUMBER(MATCH(bhpc_data[category],$EC$9,0)*MATCH(bhpc_data[sex],$EC$11,0)),MATCH(ROW(bhpc_data[sku]),ROW(bhpc_data[sku])),""),ROWS($A$15:A19)+$B$3)),INDEX(bhpc_data[description],SMALL(IF(ISNUMBER(MATCH(bhpc_data[category],$EC$9,0)*MATCH(bhpc_data[sex],$EC$11,0)*MATCH(bhpc_data[size1],$EC$13,0)),MATCH(ROW(bhpc_data[sku]),ROW(bhpc_data[sku])),""),ROWS($A$15:A19)+$B$3))))),"")</f>
        <v>BHPC GIFT SET SPORT MEN 1 EDT 50ML + DEO 175ML</v>
      </c>
      <c r="EG14" s="263">
        <f>IFERROR(IF(warehouse[[#This Row],[SKU]]="","",INDEX(inventory[ESISTENZA],MATCH(warehouse[[#This Row],[SKU]],inventory[ARTICOLO],0))),"")</f>
        <v>398</v>
      </c>
      <c r="EH14" s="328"/>
      <c r="EI14" s="328"/>
      <c r="EJ14" s="263"/>
      <c r="EK14" s="113"/>
      <c r="FF14" s="413"/>
      <c r="FG14" s="413"/>
      <c r="FH14" s="413"/>
      <c r="FI14" s="413"/>
      <c r="FJ14" s="413"/>
      <c r="FK14" s="413"/>
      <c r="FL14" s="413"/>
      <c r="FM14" s="413"/>
      <c r="FN14" s="413"/>
      <c r="FO14" s="413"/>
      <c r="FP14" s="413"/>
      <c r="FQ14" s="413"/>
      <c r="FR14" s="413"/>
      <c r="FS14" s="413"/>
      <c r="FT14" s="413"/>
      <c r="FU14" s="413"/>
      <c r="FV14" s="413"/>
      <c r="FW14" s="413"/>
      <c r="FX14" s="413"/>
      <c r="FY14" s="413"/>
      <c r="FZ14" s="413"/>
      <c r="GA14" s="413"/>
      <c r="GB14" s="413"/>
      <c r="GC14" s="413"/>
      <c r="GD14" s="413"/>
      <c r="GE14" s="413"/>
      <c r="GF14" s="413"/>
      <c r="GG14" s="413"/>
      <c r="GH14" s="413"/>
      <c r="GI14" s="413"/>
      <c r="GJ14" s="413"/>
      <c r="GK14" s="413"/>
      <c r="GL14" s="413"/>
      <c r="GM14" s="413"/>
      <c r="GN14" s="413"/>
      <c r="GO14" s="413"/>
      <c r="GP14" s="413"/>
      <c r="GQ14" s="413"/>
      <c r="GR14" s="413"/>
      <c r="GS14" s="413"/>
      <c r="GT14" s="413"/>
      <c r="GU14" s="413"/>
      <c r="GV14" s="413"/>
      <c r="GW14" s="413"/>
      <c r="GX14" s="413"/>
      <c r="GY14" s="413"/>
      <c r="GZ14" s="413"/>
      <c r="HA14" s="413"/>
      <c r="HB14" s="413"/>
      <c r="HC14" s="413"/>
      <c r="HD14" s="413"/>
      <c r="HE14" s="413"/>
      <c r="HF14" s="413"/>
      <c r="HG14" s="413"/>
      <c r="HH14" s="413"/>
      <c r="HI14" s="413"/>
      <c r="HJ14" s="413"/>
      <c r="HK14" s="413"/>
      <c r="HL14" s="413"/>
      <c r="HM14" s="413"/>
      <c r="HN14" s="413"/>
      <c r="HO14" s="413"/>
      <c r="HP14" s="413"/>
      <c r="HQ14" s="413"/>
      <c r="HR14" s="413"/>
      <c r="HS14" s="413"/>
      <c r="HT14" s="413"/>
    </row>
    <row r="15" spans="1:702" ht="15" customHeight="1" thickBot="1" x14ac:dyDescent="0.4">
      <c r="A15" s="156" t="s">
        <v>626</v>
      </c>
      <c r="B15" s="157">
        <v>45479.462638888886</v>
      </c>
      <c r="D15" s="422"/>
      <c r="F15" s="92"/>
      <c r="G15" s="817"/>
      <c r="H15" s="818"/>
      <c r="I15" s="819"/>
      <c r="J15" s="82"/>
      <c r="L15" s="539" t="str" cm="1">
        <f t="array" ref="L15">IFERROR(IF($D$9="",IF($D$11="",IF($D$13="",IF($D$15="",INDEX(orderHistory[customer],SMALL(MATCH(ROW(orderHistory[customer]),ROW(orderHistory[customer])),ROWS($A$15:A20)+$B$3)),INDEX(orderHistory[customer],SMALL(IF(ISNUMBER(MATCH(YEAR(orderHistory[invoice_date]),$D$15,0)),MATCH(ROW(orderHistory[customer]),ROW(orderHistory[customer])),""),ROWS($A$15:A20)+$B$3))),IF($D$15="",INDEX(orderHistory[customer],SMALL(IF(ISNUMBER(MATCH(orderHistory[order_type],$D$13,0)),MATCH(ROW(orderHistory[customer]),ROW(orderHistory[customer])),""),ROWS($A$15:A20)+$B$3)),INDEX(orderHistory[customer],SMALL(IF(ISNUMBER(MATCH(orderHistory[order_type],$D$13,0)*MATCH(YEAR(orderHistory[invoice_date]),$D$15,0)),MATCH(ROW(orderHistory[customer]),ROW(orderHistory[customer])),""),ROWS($A$15:A20)+$B$3)))),IF($D$13="",IF($D$15="",INDEX(orderHistory[customer],SMALL(IF(ISNUMBER(MATCH(orderHistory[status],$D$11,0)),MATCH(ROW(orderHistory[customer]),ROW(orderHistory[customer])),""),ROWS($A$15:A20)+$B$3)),INDEX(orderHistory[customer],SMALL(IF(ISNUMBER(MATCH(orderHistory[status],$D$11,0)*MATCH(YEAR(orderHistory[invoice_date]),$D$15,0)),MATCH(ROW(orderHistory[customer]),ROW(orderHistory[customer])),""),ROWS($A$15:A20)+$B$3))),IF($D$15="",INDEX(orderHistory[customer],SMALL(IF(ISNUMBER(MATCH(orderHistory[status],$D$11,0)*MATCH(orderHistory[order_type],$D$13,0)),MATCH(ROW(orderHistory[customer]),ROW(orderHistory[customer])),""),ROWS($A$15:A20)+$B$3)),INDEX(orderHistory[customer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customer],SMALL(IF(ISNUMBER(MATCH(orderHistory[customer],$D$9,0)),MATCH(ROW(orderHistory[customer]),ROW(orderHistory[customer])),""),ROWS($A$15:A20)+$B$3)),INDEX(orderHistory[customer],SMALL(IF(ISNUMBER(MATCH(orderHistory[customer],$D$9,0)*MATCH(YEAR(orderHistory[invoice_date]),$D$15,0)),MATCH(ROW(orderHistory[customer]),ROW(orderHistory[customer])),""),ROWS($A$15:A20)+$B$3))),IF($D$15="",INDEX(orderHistory[customer],SMALL(IF(ISNUMBER(MATCH(orderHistory[customer],$D$9,0)*MATCH(orderHistory[order_type],$D$13,0)),MATCH(ROW(orderHistory[customer]),ROW(orderHistory[customer])),""),ROWS($A$15:A20)+$B$3)),INDEX(orderHistory[customer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customer],SMALL(IF(ISNUMBER(MATCH(orderHistory[customer],$D$9,0)*MATCH(orderHistory[status],$D$11,0)),MATCH(ROW(orderHistory[customer]),ROW(orderHistory[customer])),""),ROWS($A$15:A20)+$B$3)),INDEX(orderHistory[customer],SMALL(IF(ISNUMBER(MATCH(orderHistory[customer],$D$9,0)*MATCH(orderHistory[status],$D$11,0)*MATCH(YEAR(orderHistory[invoice_date]),$D$15,0)),MATCH(ROW(orderHistory[customer]),ROW(orderHistory[customer])),""),ROWS($A$15:A20)+$B$3))),IF($D$15="",INDEX(orderHistory[customer],SMALL(IF(ISNUMBER(MATCH(orderHistory[customer],$D$9,0)*MATCH(orderHistory[status],$D$11,0)*MATCH(orderHistory[order_type],$D$13,0)),MATCH(ROW(orderHistory[customer]),ROW(orderHistory[customer])),""),ROWS($A$15:A20)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ORCOS</v>
      </c>
      <c r="M15" s="540">
        <f t="array" ref="M15">IFERROR(IF($D$9="",IF($D$11="",IF($D$13="",IF($D$15="",INDEX(orderHistory[order_no],SMALL(MATCH(ROW(orderHistory[customer]),ROW(orderHistory[customer])),ROWS($A$15:A20)+$B$3)),INDEX(orderHistory[order_no],SMALL(IF(ISNUMBER(MATCH(YEAR(orderHistory[invoice_date]),$D$15,0)),MATCH(ROW(orderHistory[customer]),ROW(orderHistory[customer])),""),ROWS($A$15:A20)+$B$3))),IF($D$15="",INDEX(orderHistory[order_no],SMALL(IF(ISNUMBER(MATCH(orderHistory[order_type],$D$13,0)),MATCH(ROW(orderHistory[customer]),ROW(orderHistory[customer])),""),ROWS($A$15:A20)+$B$3)),INDEX(orderHistory[order_no],SMALL(IF(ISNUMBER(MATCH(orderHistory[order_type],$D$13,0)*MATCH(YEAR(orderHistory[invoice_date]),$D$15,0)),MATCH(ROW(orderHistory[customer]),ROW(orderHistory[customer])),""),ROWS($A$15:A20)+$B$3)))),IF($D$13="",IF($D$15="",INDEX(orderHistory[order_no],SMALL(IF(ISNUMBER(MATCH(orderHistory[status],$D$11,0)),MATCH(ROW(orderHistory[customer]),ROW(orderHistory[customer])),""),ROWS($A$15:A20)+$B$3)),INDEX(orderHistory[order_no],SMALL(IF(ISNUMBER(MATCH(orderHistory[status],$D$11,0)*MATCH(YEAR(orderHistory[invoice_date]),$D$15,0)),MATCH(ROW(orderHistory[customer]),ROW(orderHistory[customer])),""),ROWS($A$15:A20)+$B$3))),IF($D$15="",INDEX(orderHistory[order_no],SMALL(IF(ISNUMBER(MATCH(orderHistory[status],$D$11,0)*MATCH(orderHistory[order_type],$D$13,0)),MATCH(ROW(orderHistory[customer]),ROW(orderHistory[customer])),""),ROWS($A$15:A20)+$B$3)),INDEX(orderHistory[order_no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no],SMALL(IF(ISNUMBER(MATCH(orderHistory[customer],$D$9,0)),MATCH(ROW(orderHistory[customer]),ROW(orderHistory[customer])),""),ROWS($A$15:A20)+$B$3)),INDEX(orderHistory[order_no],SMALL(IF(ISNUMBER(MATCH(orderHistory[customer],$D$9,0)*MATCH(YEAR(orderHistory[invoice_date]),$D$15,0)),MATCH(ROW(orderHistory[customer]),ROW(orderHistory[customer])),""),ROWS($A$15:A20)+$B$3))),IF($D$15="",INDEX(orderHistory[order_no],SMALL(IF(ISNUMBER(MATCH(orderHistory[customer],$D$9,0)*MATCH(orderHistory[order_type],$D$13,0)),MATCH(ROW(orderHistory[customer]),ROW(orderHistory[customer])),""),ROWS($A$15:A20)+$B$3)),INDEX(orderHistory[order_no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no],SMALL(IF(ISNUMBER(MATCH(orderHistory[customer],$D$9,0)*MATCH(orderHistory[status],$D$11,0)),MATCH(ROW(orderHistory[customer]),ROW(orderHistory[customer])),""),ROWS($A$15:A20)+$B$3)),INDEX(orderHistory[order_no],SMALL(IF(ISNUMBER(MATCH(orderHistory[customer],$D$9,0)*MATCH(orderHistory[status],$D$11,0)*MATCH(YEAR(orderHistory[invoice_date]),$D$15,0)),MATCH(ROW(orderHistory[customer]),ROW(orderHistory[customer])),""),ROWS($A$15:A20)+$B$3))),IF($D$15="",INDEX(orderHistory[order_no],SMALL(IF(ISNUMBER(MATCH(orderHistory[customer],$D$9,0)*MATCH(orderHistory[status],$D$11,0)*MATCH(orderHistory[order_type],$D$13,0)),MATCH(ROW(orderHistory[customer]),ROW(orderHistory[customer])),""),ROWS($A$15:A20)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22</v>
      </c>
      <c r="N15" s="541" t="str">
        <f t="array" ref="N15">IFERROR(IF($D$9="",IF($D$11="",IF($D$13="",IF($D$15="",INDEX(orderHistory[order_type],SMALL(MATCH(ROW(orderHistory[customer]),ROW(orderHistory[customer])),ROWS($A$15:A20)+$B$3)),INDEX(orderHistory[order_type],SMALL(IF(ISNUMBER(MATCH(YEAR(orderHistory[invoice_date]),$D$15,0)),MATCH(ROW(orderHistory[customer]),ROW(orderHistory[customer])),""),ROWS($A$15:A20)+$B$3))),IF($D$15="",INDEX(orderHistory[order_type],SMALL(IF(ISNUMBER(MATCH(orderHistory[order_type],$D$13,0)),MATCH(ROW(orderHistory[customer]),ROW(orderHistory[customer])),""),ROWS($A$15:A20)+$B$3)),INDEX(orderHistory[order_type],SMALL(IF(ISNUMBER(MATCH(orderHistory[order_type],$D$13,0)*MATCH(YEAR(orderHistory[invoice_date]),$D$15,0)),MATCH(ROW(orderHistory[customer]),ROW(orderHistory[customer])),""),ROWS($A$15:A20)+$B$3)))),IF($D$13="",IF($D$15="",INDEX(orderHistory[order_type],SMALL(IF(ISNUMBER(MATCH(orderHistory[status],$D$11,0)),MATCH(ROW(orderHistory[customer]),ROW(orderHistory[customer])),""),ROWS($A$15:A20)+$B$3)),INDEX(orderHistory[order_type],SMALL(IF(ISNUMBER(MATCH(orderHistory[status],$D$11,0)*MATCH(YEAR(orderHistory[invoice_date]),$D$15,0)),MATCH(ROW(orderHistory[customer]),ROW(orderHistory[customer])),""),ROWS($A$15:A20)+$B$3))),IF($D$15="",INDEX(orderHistory[order_type],SMALL(IF(ISNUMBER(MATCH(orderHistory[status],$D$11,0)*MATCH(orderHistory[order_type],$D$13,0)),MATCH(ROW(orderHistory[customer]),ROW(orderHistory[customer])),""),ROWS($A$15:A20)+$B$3)),INDEX(orderHistory[order_typ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type],SMALL(IF(ISNUMBER(MATCH(orderHistory[customer],$D$9,0)),MATCH(ROW(orderHistory[customer]),ROW(orderHistory[customer])),""),ROWS($A$15:A20)+$B$3)),INDEX(orderHistory[order_type],SMALL(IF(ISNUMBER(MATCH(orderHistory[customer],$D$9,0)*MATCH(YEAR(orderHistory[invoice_date]),$D$15,0)),MATCH(ROW(orderHistory[customer]),ROW(orderHistory[customer])),""),ROWS($A$15:A20)+$B$3))),IF($D$15="",INDEX(orderHistory[order_type],SMALL(IF(ISNUMBER(MATCH(orderHistory[customer],$D$9,0)*MATCH(orderHistory[order_type],$D$13,0)),MATCH(ROW(orderHistory[customer]),ROW(orderHistory[customer])),""),ROWS($A$15:A20)+$B$3)),INDEX(orderHistory[order_typ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type],SMALL(IF(ISNUMBER(MATCH(orderHistory[customer],$D$9,0)*MATCH(orderHistory[status],$D$11,0)),MATCH(ROW(orderHistory[customer]),ROW(orderHistory[customer])),""),ROWS($A$15:A20)+$B$3)),INDEX(orderHistory[order_type],SMALL(IF(ISNUMBER(MATCH(orderHistory[customer],$D$9,0)*MATCH(orderHistory[status],$D$11,0)*MATCH(YEAR(orderHistory[invoice_date]),$D$15,0)),MATCH(ROW(orderHistory[customer]),ROW(orderHistory[customer])),""),ROWS($A$15:A20)+$B$3))),IF($D$15="",INDEX(orderHistory[order_type],SMALL(IF(ISNUMBER(MATCH(orderHistory[customer],$D$9,0)*MATCH(orderHistory[status],$D$11,0)*MATCH(orderHistory[order_type],$D$13,0)),MATCH(ROW(orderHistory[customer]),ROW(orderHistory[customer])),""),ROWS($A$15:A20)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SAMPLING</v>
      </c>
      <c r="O15" s="542">
        <f t="array" ref="O15">IFERROR(IF($D$9="",IF($D$11="",IF($D$13="",IF($D$15="",INDEX(orderHistory[order_date],SMALL(MATCH(ROW(orderHistory[customer]),ROW(orderHistory[customer])),ROWS($A$15:A20)+$B$3)),INDEX(orderHistory[order_date],SMALL(IF(ISNUMBER(MATCH(YEAR(orderHistory[invoice_date]),$D$15,0)),MATCH(ROW(orderHistory[customer]),ROW(orderHistory[customer])),""),ROWS($A$15:A20)+$B$3))),IF($D$15="",INDEX(orderHistory[order_date],SMALL(IF(ISNUMBER(MATCH(orderHistory[order_type],$D$13,0)),MATCH(ROW(orderHistory[customer]),ROW(orderHistory[customer])),""),ROWS($A$15:A20)+$B$3)),INDEX(orderHistory[order_date],SMALL(IF(ISNUMBER(MATCH(orderHistory[order_type],$D$13,0)*MATCH(YEAR(orderHistory[invoice_date]),$D$15,0)),MATCH(ROW(orderHistory[customer]),ROW(orderHistory[customer])),""),ROWS($A$15:A20)+$B$3)))),IF($D$13="",IF($D$15="",INDEX(orderHistory[order_date],SMALL(IF(ISNUMBER(MATCH(orderHistory[status],$D$11,0)),MATCH(ROW(orderHistory[customer]),ROW(orderHistory[customer])),""),ROWS($A$15:A20)+$B$3)),INDEX(orderHistory[order_date],SMALL(IF(ISNUMBER(MATCH(orderHistory[status],$D$11,0)*MATCH(YEAR(orderHistory[invoice_date]),$D$15,0)),MATCH(ROW(orderHistory[customer]),ROW(orderHistory[customer])),""),ROWS($A$15:A20)+$B$3))),IF($D$15="",INDEX(orderHistory[order_date],SMALL(IF(ISNUMBER(MATCH(orderHistory[status],$D$11,0)*MATCH(orderHistory[order_type],$D$13,0)),MATCH(ROW(orderHistory[customer]),ROW(orderHistory[customer])),""),ROWS($A$15:A20)+$B$3)),INDEX(orderHistory[order_dat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date],SMALL(IF(ISNUMBER(MATCH(orderHistory[customer],$D$9,0)),MATCH(ROW(orderHistory[customer]),ROW(orderHistory[customer])),""),ROWS($A$15:A20)+$B$3)),INDEX(orderHistory[order_date],SMALL(IF(ISNUMBER(MATCH(orderHistory[customer],$D$9,0)*MATCH(YEAR(orderHistory[invoice_date]),$D$15,0)),MATCH(ROW(orderHistory[customer]),ROW(orderHistory[customer])),""),ROWS($A$15:A20)+$B$3))),IF($D$15="",INDEX(orderHistory[order_date],SMALL(IF(ISNUMBER(MATCH(orderHistory[customer],$D$9,0)*MATCH(orderHistory[order_type],$D$13,0)),MATCH(ROW(orderHistory[customer]),ROW(orderHistory[customer])),""),ROWS($A$15:A20)+$B$3)),INDEX(orderHistory[order_dat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date],SMALL(IF(ISNUMBER(MATCH(orderHistory[customer],$D$9,0)*MATCH(orderHistory[status],$D$11,0)),MATCH(ROW(orderHistory[customer]),ROW(orderHistory[customer])),""),ROWS($A$15:A20)+$B$3)),INDEX(orderHistory[order_date],SMALL(IF(ISNUMBER(MATCH(orderHistory[customer],$D$9,0)*MATCH(orderHistory[status],$D$11,0)*MATCH(YEAR(orderHistory[invoice_date]),$D$15,0)),MATCH(ROW(orderHistory[customer]),ROW(orderHistory[customer])),""),ROWS($A$15:A20)+$B$3))),IF($D$15="",INDEX(orderHistory[order_date],SMALL(IF(ISNUMBER(MATCH(orderHistory[customer],$D$9,0)*MATCH(orderHistory[status],$D$11,0)*MATCH(orderHistory[order_type],$D$13,0)),MATCH(ROW(orderHistory[customer]),ROW(orderHistory[customer])),""),ROWS($A$15:A20)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45369</v>
      </c>
      <c r="P15" s="543">
        <f t="array" ref="P15">IFERROR(IF($D$9="",IF($D$11="",IF($D$13="",IF($D$15="",INDEX(orderHistory[invoice_no],SMALL(MATCH(ROW(orderHistory[customer]),ROW(orderHistory[customer])),ROWS($A$15:A20)+$B$3)),INDEX(orderHistory[invoice_no],SMALL(IF(ISNUMBER(MATCH(YEAR(orderHistory[invoice_date]),$D$15,0)),MATCH(ROW(orderHistory[customer]),ROW(orderHistory[customer])),""),ROWS($A$15:A20)+$B$3))),IF($D$15="",INDEX(orderHistory[invoice_no],SMALL(IF(ISNUMBER(MATCH(orderHistory[order_type],$D$13,0)),MATCH(ROW(orderHistory[customer]),ROW(orderHistory[customer])),""),ROWS($A$15:A20)+$B$3)),INDEX(orderHistory[invoice_no],SMALL(IF(ISNUMBER(MATCH(orderHistory[order_type],$D$13,0)*MATCH(YEAR(orderHistory[invoice_date]),$D$15,0)),MATCH(ROW(orderHistory[customer]),ROW(orderHistory[customer])),""),ROWS($A$15:A20)+$B$3)))),IF($D$13="",IF($D$15="",INDEX(orderHistory[invoice_no],SMALL(IF(ISNUMBER(MATCH(orderHistory[status],$D$11,0)),MATCH(ROW(orderHistory[customer]),ROW(orderHistory[customer])),""),ROWS($A$15:A20)+$B$3)),INDEX(orderHistory[invoice_no],SMALL(IF(ISNUMBER(MATCH(orderHistory[status],$D$11,0)*MATCH(YEAR(orderHistory[invoice_date]),$D$15,0)),MATCH(ROW(orderHistory[customer]),ROW(orderHistory[customer])),""),ROWS($A$15:A20)+$B$3))),IF($D$15="",INDEX(orderHistory[invoice_no],SMALL(IF(ISNUMBER(MATCH(orderHistory[status],$D$11,0)*MATCH(orderHistory[order_type],$D$13,0)),MATCH(ROW(orderHistory[customer]),ROW(orderHistory[customer])),""),ROWS($A$15:A20)+$B$3)),INDEX(orderHistory[invoice_no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oice_no],SMALL(IF(ISNUMBER(MATCH(orderHistory[customer],$D$9,0)),MATCH(ROW(orderHistory[customer]),ROW(orderHistory[customer])),""),ROWS($A$15:A20)+$B$3)),INDEX(orderHistory[invoice_no],SMALL(IF(ISNUMBER(MATCH(orderHistory[customer],$D$9,0)*MATCH(YEAR(orderHistory[invoice_date]),$D$15,0)),MATCH(ROW(orderHistory[customer]),ROW(orderHistory[customer])),""),ROWS($A$15:A20)+$B$3))),IF($D$15="",INDEX(orderHistory[invoice_no],SMALL(IF(ISNUMBER(MATCH(orderHistory[customer],$D$9,0)*MATCH(orderHistory[order_type],$D$13,0)),MATCH(ROW(orderHistory[customer]),ROW(orderHistory[customer])),""),ROWS($A$15:A20)+$B$3)),INDEX(orderHistory[invoice_no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YEAR(orderHistory[invoice_date]),$D$15,0)),MATCH(ROW(orderHistory[customer]),ROW(orderHistory[customer])),""),ROWS($A$15:A20)+$B$3))),IF($D$15="",INDEX(orderHistory[invoice_no],SMALL(IF(ISNUMBER(MATCH(orderHistory[customer],$D$9,0)*MATCH(orderHistory[status],$D$11,0)*MATCH(orderHistory[order_type],$D$13,0)),MATCH(ROW(orderHistory[customer]),ROW(orderHistory[customer])),""),ROWS($A$15:A20)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0</v>
      </c>
      <c r="Q15" s="544">
        <f t="array" ref="Q15">IFERROR(IF($D$9="",IF($D$11="",IF($D$13="",IF($D$15="",INDEX(orderHistory[invoice_date],SMALL(MATCH(ROW(orderHistory[customer]),ROW(orderHistory[customer])),ROWS($A$15:A20)+$B$3)),INDEX(orderHistory[invoice_date],SMALL(IF(ISNUMBER(MATCH(YEAR(orderHistory[invoice_date]),$D$15,0)),MATCH(ROW(orderHistory[customer]),ROW(orderHistory[customer])),""),ROWS($A$15:A20)+$B$3))),IF($D$15="",INDEX(orderHistory[invoice_date],SMALL(IF(ISNUMBER(MATCH(orderHistory[order_type],$D$13,0)),MATCH(ROW(orderHistory[customer]),ROW(orderHistory[customer])),""),ROWS($A$15:A20)+$B$3)),INDEX(orderHistory[invoice_date],SMALL(IF(ISNUMBER(MATCH(orderHistory[order_type],$D$13,0)*MATCH(YEAR(orderHistory[invoice_date]),$D$15,0)),MATCH(ROW(orderHistory[customer]),ROW(orderHistory[customer])),""),ROWS($A$15:A20)+$B$3)))),IF($D$13="",IF($D$15="",INDEX(orderHistory[invoice_date],SMALL(IF(ISNUMBER(MATCH(orderHistory[status],$D$11,0)),MATCH(ROW(orderHistory[customer]),ROW(orderHistory[customer])),""),ROWS($A$15:A20)+$B$3)),INDEX(orderHistory[invoice_date],SMALL(IF(ISNUMBER(MATCH(orderHistory[status],$D$11,0)*MATCH(YEAR(orderHistory[invoice_date]),$D$15,0)),MATCH(ROW(orderHistory[customer]),ROW(orderHistory[customer])),""),ROWS($A$15:A20)+$B$3))),IF($D$15="",INDEX(orderHistory[invoice_date],SMALL(IF(ISNUMBER(MATCH(orderHistory[status],$D$11,0)*MATCH(orderHistory[order_type],$D$13,0)),MATCH(ROW(orderHistory[customer]),ROW(orderHistory[customer])),""),ROWS($A$15:A20)+$B$3)),INDEX(orderHistory[invoice_dat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oice_date],SMALL(IF(ISNUMBER(MATCH(orderHistory[customer],$D$9,0)),MATCH(ROW(orderHistory[customer]),ROW(orderHistory[customer])),""),ROWS($A$15:A20)+$B$3)),INDEX(orderHistory[invoice_date],SMALL(IF(ISNUMBER(MATCH(orderHistory[customer],$D$9,0)*MATCH(YEAR(orderHistory[invoice_date]),$D$15,0)),MATCH(ROW(orderHistory[customer]),ROW(orderHistory[customer])),""),ROWS($A$15:A20)+$B$3))),IF($D$15="",INDEX(orderHistory[invoice_date],SMALL(IF(ISNUMBER(MATCH(orderHistory[customer],$D$9,0)*MATCH(orderHistory[order_type],$D$13,0)),MATCH(ROW(orderHistory[customer]),ROW(orderHistory[customer])),""),ROWS($A$15:A20)+$B$3)),INDEX(orderHistory[invoice_dat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YEAR(orderHistory[invoice_date]),$D$15,0)),MATCH(ROW(orderHistory[customer]),ROW(orderHistory[customer])),""),ROWS($A$15:A20)+$B$3))),IF($D$15="",INDEX(orderHistory[invoice_date],SMALL(IF(ISNUMBER(MATCH(orderHistory[customer],$D$9,0)*MATCH(orderHistory[status],$D$11,0)*MATCH(orderHistory[order_type],$D$13,0)),MATCH(ROW(orderHistory[customer]),ROW(orderHistory[customer])),""),ROWS($A$15:A20)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0</v>
      </c>
      <c r="R15" s="545">
        <f t="array" ref="R15">IFERROR(IF($D$9="",IF($D$11="",IF($D$13="",IF($D$15="",INDEX(orderHistory[inv_amount],SMALL(MATCH(ROW(orderHistory[customer]),ROW(orderHistory[customer])),ROWS($A$15:A20)+$B$3)),INDEX(orderHistory[inv_amount],SMALL(IF(ISNUMBER(MATCH(YEAR(orderHistory[invoice_date]),$D$15,0)),MATCH(ROW(orderHistory[customer]),ROW(orderHistory[customer])),""),ROWS($A$15:A20)+$B$3))),IF($D$15="",INDEX(orderHistory[inv_amount],SMALL(IF(ISNUMBER(MATCH(orderHistory[order_type],$D$13,0)),MATCH(ROW(orderHistory[customer]),ROW(orderHistory[customer])),""),ROWS($A$15:A20)+$B$3)),INDEX(orderHistory[inv_amount],SMALL(IF(ISNUMBER(MATCH(orderHistory[order_type],$D$13,0)*MATCH(YEAR(orderHistory[invoice_date]),$D$15,0)),MATCH(ROW(orderHistory[customer]),ROW(orderHistory[customer])),""),ROWS($A$15:A20)+$B$3)))),IF($D$13="",IF($D$15="",INDEX(orderHistory[inv_amount],SMALL(IF(ISNUMBER(MATCH(orderHistory[status],$D$11,0)),MATCH(ROW(orderHistory[customer]),ROW(orderHistory[customer])),""),ROWS($A$15:A20)+$B$3)),INDEX(orderHistory[inv_amount],SMALL(IF(ISNUMBER(MATCH(orderHistory[status],$D$11,0)*MATCH(YEAR(orderHistory[invoice_date]),$D$15,0)),MATCH(ROW(orderHistory[customer]),ROW(orderHistory[customer])),""),ROWS($A$15:A20)+$B$3))),IF($D$15="",INDEX(orderHistory[inv_amount],SMALL(IF(ISNUMBER(MATCH(orderHistory[status],$D$11,0)*MATCH(orderHistory[order_type],$D$13,0)),MATCH(ROW(orderHistory[customer]),ROW(orderHistory[customer])),""),ROWS($A$15:A20)+$B$3)),INDEX(orderHistory[inv_amount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_amount],SMALL(IF(ISNUMBER(MATCH(orderHistory[customer],$D$9,0)),MATCH(ROW(orderHistory[customer]),ROW(orderHistory[customer])),""),ROWS($A$15:A20)+$B$3)),INDEX(orderHistory[inv_amount],SMALL(IF(ISNUMBER(MATCH(orderHistory[customer],$D$9,0)*MATCH(YEAR(orderHistory[invoice_date]),$D$15,0)),MATCH(ROW(orderHistory[customer]),ROW(orderHistory[customer])),""),ROWS($A$15:A20)+$B$3))),IF($D$15="",INDEX(orderHistory[inv_amount],SMALL(IF(ISNUMBER(MATCH(orderHistory[customer],$D$9,0)*MATCH(orderHistory[order_type],$D$13,0)),MATCH(ROW(orderHistory[customer]),ROW(orderHistory[customer])),""),ROWS($A$15:A20)+$B$3)),INDEX(orderHistory[inv_amount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_amount],SMALL(IF(ISNUMBER(MATCH(orderHistory[customer],$D$9,0)*MATCH(orderHistory[status],$D$11,0)),MATCH(ROW(orderHistory[customer]),ROW(orderHistory[customer])),""),ROWS($A$15:A20)+$B$3)),INDEX(orderHistory[inv_amount],SMALL(IF(ISNUMBER(MATCH(orderHistory[customer],$D$9,0)*MATCH(orderHistory[status],$D$11,0)*MATCH(YEAR(orderHistory[inv_amount]),$D$15,0)),MATCH(ROW(orderHistory[customer]),ROW(orderHistory[customer])),""),ROWS($A$15:A20)+$B$3))),IF($D$15="",INDEX(orderHistory[inv_amount],SMALL(IF(ISNUMBER(MATCH(orderHistory[customer],$D$9,0)*MATCH(orderHistory[status],$D$11,0)*MATCH(orderHistory[order_type],$D$13,0)),MATCH(ROW(orderHistory[customer]),ROW(orderHistory[customer])),""),ROWS($A$15:A20)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0</v>
      </c>
      <c r="S15" s="546">
        <f t="shared" si="2"/>
        <v>0</v>
      </c>
      <c r="T15" s="547" t="b">
        <f t="array" ref="T15">IFERROR(IF($D$9="",IF($D$11="",IF($D$13="",IF($D$15="",INDEX(orderHistory[payed],SMALL(MATCH(ROW(orderHistory[customer]),ROW(orderHistory[customer])),ROWS($A$15:A20)+$B$3)),INDEX(orderHistory[payed],SMALL(IF(ISNUMBER(MATCH(YEAR(orderHistory[invoice_date]),$D$15,0)),MATCH(ROW(orderHistory[customer]),ROW(orderHistory[customer])),""),ROWS($A$15:A20)+$B$3))),IF($D$15="",INDEX(orderHistory[payed],SMALL(IF(ISNUMBER(MATCH(orderHistory[order_type],$D$13,0)),MATCH(ROW(orderHistory[customer]),ROW(orderHistory[customer])),""),ROWS($A$15:A20)+$B$3)),INDEX(orderHistory[payed],SMALL(IF(ISNUMBER(MATCH(orderHistory[order_type],$D$13,0)*MATCH(YEAR(orderHistory[invoice_date]),$D$15,0)),MATCH(ROW(orderHistory[customer]),ROW(orderHistory[customer])),""),ROWS($A$15:A20)+$B$3)))),IF($D$13="",IF($D$15="",INDEX(orderHistory[payed],SMALL(IF(ISNUMBER(MATCH(orderHistory[status],$D$11,0)),MATCH(ROW(orderHistory[customer]),ROW(orderHistory[customer])),""),ROWS($A$15:A20)+$B$3)),INDEX(orderHistory[payed],SMALL(IF(ISNUMBER(MATCH(orderHistory[status],$D$11,0)*MATCH(YEAR(orderHistory[invoice_date]),$D$15,0)),MATCH(ROW(orderHistory[customer]),ROW(orderHistory[customer])),""),ROWS($A$15:A20)+$B$3))),IF($D$15="",INDEX(orderHistory[payed],SMALL(IF(ISNUMBER(MATCH(orderHistory[status],$D$11,0)*MATCH(orderHistory[order_type],$D$13,0)),MATCH(ROW(orderHistory[customer]),ROW(orderHistory[customer])),""),ROWS($A$15:A20)+$B$3)),INDEX(orderHistory[payed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payed],SMALL(IF(ISNUMBER(MATCH(orderHistory[customer],$D$9,0)),MATCH(ROW(orderHistory[customer]),ROW(orderHistory[customer])),""),ROWS($A$15:A20)+$B$3)),INDEX(orderHistory[payed],SMALL(IF(ISNUMBER(MATCH(orderHistory[customer],$D$9,0)*MATCH(YEAR(orderHistory[invoice_date]),$D$15,0)),MATCH(ROW(orderHistory[customer]),ROW(orderHistory[customer])),""),ROWS($A$15:A20)+$B$3))),IF($D$15="",INDEX(orderHistory[payed],SMALL(IF(ISNUMBER(MATCH(orderHistory[customer],$D$9,0)*MATCH(orderHistory[order_type],$D$13,0)),MATCH(ROW(orderHistory[customer]),ROW(orderHistory[customer])),""),ROWS($A$15:A20)+$B$3)),INDEX(orderHistory[payed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payed],SMALL(IF(ISNUMBER(MATCH(orderHistory[customer],$D$9,0)*MATCH(orderHistory[status],$D$11,0)),MATCH(ROW(orderHistory[customer]),ROW(orderHistory[customer])),""),ROWS($A$15:A20)+$B$3)),INDEX(orderHistory[payed],SMALL(IF(ISNUMBER(MATCH(orderHistory[customer],$D$9,0)*MATCH(orderHistory[status],$D$11,0)*MATCH(YEAR(orderHistory[payed]),$D$15,0)),MATCH(ROW(orderHistory[customer]),ROW(orderHistory[customer])),""),ROWS($A$15:A20)+$B$3))),IF($D$15="",INDEX(orderHistory[payed],SMALL(IF(ISNUMBER(MATCH(orderHistory[customer],$D$9,0)*MATCH(orderHistory[status],$D$11,0)*MATCH(orderHistory[order_type],$D$13,0)),MATCH(ROW(orderHistory[customer]),ROW(orderHistory[customer])),""),ROWS($A$15:A20)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1</v>
      </c>
      <c r="U15" s="541" t="str">
        <f t="array" ref="U15">IFERROR(IF($D$9="",IF($D$11="",IF($D$13="",IF($D$15="",INDEX(orderHistory[shipping_method],SMALL(MATCH(ROW(orderHistory[customer]),ROW(orderHistory[customer])),ROWS($A$15:A20)+$B$3)),INDEX(orderHistory[shipping_method],SMALL(IF(ISNUMBER(MATCH(YEAR(orderHistory[invoice_date]),$D$15,0)),MATCH(ROW(orderHistory[customer]),ROW(orderHistory[customer])),""),ROWS($A$15:A20)+$B$3))),IF($D$15="",INDEX(orderHistory[shipping_method],SMALL(IF(ISNUMBER(MATCH(orderHistory[order_type],$D$13,0)),MATCH(ROW(orderHistory[customer]),ROW(orderHistory[customer])),""),ROWS($A$15:A20)+$B$3)),INDEX(orderHistory[shipping_method],SMALL(IF(ISNUMBER(MATCH(orderHistory[order_type],$D$13,0)*MATCH(YEAR(orderHistory[invoice_date]),$D$15,0)),MATCH(ROW(orderHistory[customer]),ROW(orderHistory[customer])),""),ROWS($A$15:A20)+$B$3)))),IF($D$13="",IF($D$15="",INDEX(orderHistory[shipping_method],SMALL(IF(ISNUMBER(MATCH(orderHistory[status],$D$11,0)),MATCH(ROW(orderHistory[customer]),ROW(orderHistory[customer])),""),ROWS($A$15:A20)+$B$3)),INDEX(orderHistory[shipping_method],SMALL(IF(ISNUMBER(MATCH(orderHistory[status],$D$11,0)*MATCH(YEAR(orderHistory[invoice_date]),$D$15,0)),MATCH(ROW(orderHistory[customer]),ROW(orderHistory[customer])),""),ROWS($A$15:A20)+$B$3))),IF($D$15="",INDEX(orderHistory[shipping_method],SMALL(IF(ISNUMBER(MATCH(orderHistory[status],$D$11,0)*MATCH(orderHistory[order_type],$D$13,0)),MATCH(ROW(orderHistory[customer]),ROW(orderHistory[customer])),""),ROWS($A$15:A20)+$B$3)),INDEX(orderHistory[shipping_method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shipping_method],SMALL(IF(ISNUMBER(MATCH(orderHistory[customer],$D$9,0)),MATCH(ROW(orderHistory[customer]),ROW(orderHistory[customer])),""),ROWS($A$15:A20)+$B$3)),INDEX(orderHistory[shipping_method],SMALL(IF(ISNUMBER(MATCH(orderHistory[customer],$D$9,0)*MATCH(YEAR(orderHistory[invoice_date]),$D$15,0)),MATCH(ROW(orderHistory[customer]),ROW(orderHistory[customer])),""),ROWS($A$15:A20)+$B$3))),IF($D$15="",INDEX(orderHistory[shipping_method],SMALL(IF(ISNUMBER(MATCH(orderHistory[customer],$D$9,0)*MATCH(orderHistory[order_type],$D$13,0)),MATCH(ROW(orderHistory[customer]),ROW(orderHistory[customer])),""),ROWS($A$15:A20)+$B$3)),INDEX(orderHistory[shipping_method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shipping_method],SMALL(IF(ISNUMBER(MATCH(orderHistory[customer],$D$9,0)*MATCH(orderHistory[status],$D$11,0)),MATCH(ROW(orderHistory[customer]),ROW(orderHistory[customer])),""),ROWS($A$15:A20)+$B$3)),INDEX(orderHistory[shipping_method],SMALL(IF(ISNUMBER(MATCH(orderHistory[customer],$D$9,0)*MATCH(orderHistory[status],$D$11,0)*MATCH(YEAR(orderHistory[shipping_method]),$D$15,0)),MATCH(ROW(orderHistory[customer]),ROW(orderHistory[customer])),""),ROWS($A$15:A20)+$B$3))),IF($D$15="",INDEX(orderHistory[shipping_method],SMALL(IF(ISNUMBER(MATCH(orderHistory[customer],$D$9,0)*MATCH(orderHistory[status],$D$11,0)*MATCH(orderHistory[order_type],$D$13,0)),MATCH(ROW(orderHistory[customer]),ROW(orderHistory[customer])),""),ROWS($A$15:A20)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BY ROAD</v>
      </c>
      <c r="V15" s="548" t="str">
        <f t="array" ref="V15">IFERROR(IF($D$9="",IF($D$11="",IF($D$13="",IF($D$15="",INDEX(orderHistory[status],SMALL(MATCH(ROW(orderHistory[customer]),ROW(orderHistory[customer])),ROWS($A$15:A20)+$B$3)),INDEX(orderHistory[status],SMALL(IF(ISNUMBER(MATCH(YEAR(orderHistory[invoice_date]),$D$15,0)),MATCH(ROW(orderHistory[customer]),ROW(orderHistory[customer])),""),ROWS($A$15:A20)+$B$3))),IF($D$15="",INDEX(orderHistory[status],SMALL(IF(ISNUMBER(MATCH(orderHistory[order_type],$D$13,0)),MATCH(ROW(orderHistory[customer]),ROW(orderHistory[customer])),""),ROWS($A$15:A20)+$B$3)),INDEX(orderHistory[status],SMALL(IF(ISNUMBER(MATCH(orderHistory[order_type],$D$13,0)*MATCH(YEAR(orderHistory[invoice_date]),$D$15,0)),MATCH(ROW(orderHistory[customer]),ROW(orderHistory[customer])),""),ROWS($A$15:A20)+$B$3)))),IF($D$13="",IF($D$15="",INDEX(orderHistory[status],SMALL(IF(ISNUMBER(MATCH(orderHistory[status],$D$11,0)),MATCH(ROW(orderHistory[customer]),ROW(orderHistory[customer])),""),ROWS($A$15:A20)+$B$3)),INDEX(orderHistory[status],SMALL(IF(ISNUMBER(MATCH(orderHistory[status],$D$11,0)*MATCH(YEAR(orderHistory[invoice_date]),$D$15,0)),MATCH(ROW(orderHistory[customer]),ROW(orderHistory[customer])),""),ROWS($A$15:A20)+$B$3))),IF($D$15="",INDEX(orderHistory[status],SMALL(IF(ISNUMBER(MATCH(orderHistory[status],$D$11,0)*MATCH(orderHistory[order_type],$D$13,0)),MATCH(ROW(orderHistory[customer]),ROW(orderHistory[customer])),""),ROWS($A$15:A20)+$B$3)),INDEX(orderHistory[status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status],SMALL(IF(ISNUMBER(MATCH(orderHistory[customer],$D$9,0)),MATCH(ROW(orderHistory[customer]),ROW(orderHistory[customer])),""),ROWS($A$15:A20)+$B$3)),INDEX(orderHistory[status],SMALL(IF(ISNUMBER(MATCH(orderHistory[customer],$D$9,0)*MATCH(YEAR(orderHistory[invoice_date]),$D$15,0)),MATCH(ROW(orderHistory[customer]),ROW(orderHistory[customer])),""),ROWS($A$15:A20)+$B$3))),IF($D$15="",INDEX(orderHistory[status],SMALL(IF(ISNUMBER(MATCH(orderHistory[customer],$D$9,0)*MATCH(orderHistory[order_type],$D$13,0)),MATCH(ROW(orderHistory[customer]),ROW(orderHistory[customer])),""),ROWS($A$15:A20)+$B$3)),INDEX(orderHistory[status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status],SMALL(IF(ISNUMBER(MATCH(orderHistory[customer],$D$9,0)*MATCH(orderHistory[status],$D$11,0)),MATCH(ROW(orderHistory[customer]),ROW(orderHistory[customer])),""),ROWS($A$15:A20)+$B$3)),INDEX(orderHistory[status],SMALL(IF(ISNUMBER(MATCH(orderHistory[customer],$D$9,0)*MATCH(orderHistory[status],$D$11,0)*MATCH(YEAR(orderHistory[status]),$D$15,0)),MATCH(ROW(orderHistory[customer]),ROW(orderHistory[customer])),""),ROWS($A$15:A20)+$B$3))),IF($D$15="",INDEX(orderHistory[status],SMALL(IF(ISNUMBER(MATCH(orderHistory[customer],$D$9,0)*MATCH(orderHistory[status],$D$11,0)*MATCH(orderHistory[order_type],$D$13,0)),MATCH(ROW(orderHistory[customer]),ROW(orderHistory[customer])),""),ROWS($A$15:A20)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SHIPPED</v>
      </c>
      <c r="W15" s="408"/>
      <c r="AQ15" s="480"/>
      <c r="AR15" s="481"/>
      <c r="AS15" s="481"/>
      <c r="AT15" s="481"/>
      <c r="AU15" s="429"/>
      <c r="AW15" s="462"/>
      <c r="AX15" s="472"/>
      <c r="BD15" s="460"/>
      <c r="BE15" s="460"/>
      <c r="BF15" s="474"/>
      <c r="BG15" s="466"/>
      <c r="BH15" s="466"/>
      <c r="BJ15" s="421"/>
      <c r="BK15" s="475"/>
      <c r="BL15" s="451"/>
      <c r="BM15" s="452"/>
      <c r="BN15" s="451"/>
      <c r="BO15" s="452"/>
      <c r="BX15" s="456" t="str">
        <f>IF(BX9="","",INDEX(orderHistory[order_type],MATCH($BX$11,orderHistory[order_no],0)))</f>
        <v>SAMPLING</v>
      </c>
      <c r="BZ15" s="158"/>
      <c r="CA15" s="154" t="str">
        <f>IF(BZ15="","",INDEX(bhpc_data[description],MATCH(BZ15,bhpc_data[sku],0)))</f>
        <v/>
      </c>
      <c r="CB15" s="159"/>
      <c r="CC15" s="357"/>
      <c r="CD15" s="260"/>
      <c r="CE15" s="360"/>
      <c r="CF15" s="161"/>
      <c r="CG15" s="164" t="str">
        <f>IFERROR(ROUNDUP(CB15/INDEX(bhpc_data[units_per_carton],MATCH(BZ15,bhpc_data[sku],0)),0),"")</f>
        <v/>
      </c>
      <c r="CH15" s="165" t="str">
        <f>IFERROR(ROUNDUP(CD15/INDEX(bhpc_data[units_per_carton],MATCH(BZ15,bhpc_data[sku],0)),0),"")</f>
        <v/>
      </c>
      <c r="CI15" s="165" t="str">
        <f>IFERROR(ROUNDUP(CF15/INDEX(bhpc_data[units_per_carton],MATCH(BZ15,bhpc_data[sku])),0),"")</f>
        <v/>
      </c>
      <c r="CJ15" s="165" t="str">
        <f>IFERROR(((CB15+CD15+CF15)/INDEX(bhpc_data[units_per_carton],MATCH(BZ15,bhpc_data[sku],0)))*INDEX(bhpc_data[net_weight],MATCH(BZ15,bhpc_data[sku],0)),"")</f>
        <v/>
      </c>
      <c r="CK15" s="165" t="str">
        <f>IFERROR(((CB15+CD15+CF15)/INDEX(bhpc_data[units_per_carton],MATCH(BZ15,bhpc_data[sku],0)))*INDEX(bhpc_data[gross_weight],MATCH(BZ15,bhpc_data[sku],0)),"")</f>
        <v/>
      </c>
      <c r="CL15" s="180" t="str">
        <f>IFERROR((CB15+CD15+CF15)/INDEX(bhpc_data[units_per_carton],MATCH(BZ15,bhpc_data[sku],0))*INDEX(bhpc_data[lenght],MATCH(BZ15,bhpc_data[sku],0))*INDEX(bhpc_data[width],MATCH(BZ15,bhpc_data[sku],0))*INDEX(bhpc_data[height],MATCH(BZ15,bhpc_data[sku],0))/1000000000,"")</f>
        <v/>
      </c>
      <c r="CM15" s="189" t="str">
        <f>IFERROR(INDEX(bhpc_data[category],MATCH(BZ15,bhpc_data[sku],0)),"")</f>
        <v/>
      </c>
      <c r="CN15" s="189" t="str">
        <f>IFERROR(INDEX(bhpc_data[size1],MATCH(BZ15,bhpc_data[sku],0)),"")</f>
        <v/>
      </c>
      <c r="CO15" s="388" t="str">
        <f>IFERROR(INDEX(bhpc_data[hs_code],MATCH(BZ15,bhpc_data[sku],0)),"")</f>
        <v/>
      </c>
      <c r="CP15" s="377" t="str">
        <f>IFERROR(INDEX(inventory[ESISTENZA],MATCH(BZ15,inventory[ARTICOLO],0)),"")</f>
        <v/>
      </c>
      <c r="CQ15" s="364" t="str">
        <f>IFERROR(IF(BZ15="","",IF($BX$15="SALE",INDEX(inventory[COSTO UNITARIO],MATCH(BZ15,inventory[ARTICOLO],0)),IF($BX$15="SAMPLING",INDEX(inventory[COSTO UNITARIO],MATCH(BZ15,inventory[ARTICOLO],0)),""))),"")</f>
        <v/>
      </c>
      <c r="CR15" s="365" t="str">
        <f t="shared" si="0"/>
        <v/>
      </c>
      <c r="CS15" s="264" t="str">
        <f t="shared" si="1"/>
        <v/>
      </c>
      <c r="CU15" s="85"/>
      <c r="CV15" s="89" t="s">
        <v>604</v>
      </c>
      <c r="CW15" s="281">
        <f>SUM($CD$10:$CD$110)</f>
        <v>0</v>
      </c>
      <c r="CX15" s="372" t="s">
        <v>605</v>
      </c>
      <c r="CY15" s="284">
        <f>IF($BX$15="SUPPLY",0,CY11*7%)</f>
        <v>0</v>
      </c>
      <c r="CZ15" s="82"/>
      <c r="DA15" s="432" t="str">
        <f>IFERROR(VLOOKUP(BZ15,bhpc_data[],22,FALSE),"")</f>
        <v/>
      </c>
      <c r="DH15" s="296"/>
      <c r="EE15" s="202" t="str" cm="1">
        <f t="array" ref="EE15">IFERROR(IF($EC$9="",IF($EC$11="",IF($EC$13="",INDEX(bhpc_data[sku],SMALL(MATCH(ROW(bhpc_data[sku]),ROW(bhpc_data[sku])),ROWS($A$15:A20)+$B$3)),INDEX(bhpc_data[sku],SMALL(IF(ISNUMBER(MATCH(bhpc_data[size1],$EC$13,0)),MATCH(ROW(bhpc_data[sku]),ROW(bhpc_data[sku])),""),ROWS($A$15:A20)+$B$3))),IF($EC$13="",INDEX(bhpc_data[sku],SMALL(IF(ISNUMBER(MATCH(bhpc_data[sex],$EC$11,0)),MATCH(ROW(bhpc_data[sku]),ROW(bhpc_data[sku])),""),ROWS($A$15:A20)+$B$3)),INDEX(bhpc_data[sku],SMALL(IF(ISNUMBER(MATCH(bhpc_data[sex],$EC$11,0)*MATCH(bhpc_data[size1],$EC$13,0)),MATCH(ROW(bhpc_data[sku]),ROW(bhpc_data[sku])),""),ROWS($A$15:A20)+$B$3)))),IF($EC$11="",IF($EC$13="",INDEX(bhpc_data[sku],SMALL(IF(ISNUMBER(MATCH(bhpc_data[category],$EC$9,0)),MATCH(ROW(bhpc_data[sku]),ROW(bhpc_data[sku])),""),ROWS($A$15:A20)+$B$3)),INDEX(bhpc_data[sku],SMALL(IF(ISNUMBER(MATCH(bhpc_data[category],$EC$9,0)*MATCH(bhpc_data[size1],$EC$13,0)),MATCH(ROW(bhpc_data[sku]),ROW(bhpc_data[sku])),""),ROWS($A$15:A20)+$B$3))),IF($EC$13="",INDEX(bhpc_data[sku],SMALL(IF(ISNUMBER(MATCH(bhpc_data[category],$EC$9,0)*MATCH(bhpc_data[sex],$EC$11,0)),MATCH(ROW(bhpc_data[sku]),ROW(bhpc_data[sku])),""),ROWS($A$15:A20)+$B$3)),INDEX(bhpc_data[sku],SMALL(IF(ISNUMBER(MATCH(bhpc_data[category],$EC$9,0)*MATCH(bhpc_data[sex],$EC$11,0)*MATCH(bhpc_data[size1],$EC$13,0)),MATCH(ROW(bhpc_data[sku]),ROW(bhpc_data[sku])),""),ROWS($A$15:A20)+$B$3))))),"")</f>
        <v>GS5009</v>
      </c>
      <c r="EF15" s="198" t="str" cm="1">
        <f t="array" ref="EF15">IFERROR(IF($EC$9="",IF($EC$11="",IF($EC$13="",INDEX(bhpc_data[description],SMALL(MATCH(ROW(bhpc_data[sku]),ROW(bhpc_data[sku])),ROWS($A$15:A20)+$B$3)),INDEX(bhpc_data[description],SMALL(IF(ISNUMBER(MATCH(bhpc_data[size1],$EC$13,0)),MATCH(ROW(bhpc_data[sku]),ROW(bhpc_data[sku])),""),ROWS($A$15:A20)+$B$3))),IF($EC$13="",INDEX(bhpc_data[description],SMALL(IF(ISNUMBER(MATCH(bhpc_data[sex],$EC$11,0)),MATCH(ROW(bhpc_data[sku]),ROW(bhpc_data[sku])),""),ROWS($A$15:A20)+$B$3)),INDEX(bhpc_data[description],SMALL(IF(ISNUMBER(MATCH(bhpc_data[sex],$EC$11,0)*MATCH(bhpc_data[size1],$EC$13,0)),MATCH(ROW(bhpc_data[sku]),ROW(bhpc_data[sku])),""),ROWS($A$15:A20)+$B$3)))),IF($EC$11="",IF($EC$13="",INDEX(bhpc_data[description],SMALL(IF(ISNUMBER(MATCH(bhpc_data[category],$EC$9,0)),MATCH(ROW(bhpc_data[sku]),ROW(bhpc_data[sku])),""),ROWS($A$15:A20)+$B$3)),INDEX(bhpc_data[description],SMALL(IF(ISNUMBER(MATCH(bhpc_data[category],$EC$9,0)*MATCH(bhpc_data[size1],$EC$13,0)),MATCH(ROW(bhpc_data[sku]),ROW(bhpc_data[sku])),""),ROWS($A$15:A20)+$B$3))),IF($EC$13="",INDEX(bhpc_data[description],SMALL(IF(ISNUMBER(MATCH(bhpc_data[category],$EC$9,0)*MATCH(bhpc_data[sex],$EC$11,0)),MATCH(ROW(bhpc_data[sku]),ROW(bhpc_data[sku])),""),ROWS($A$15:A20)+$B$3)),INDEX(bhpc_data[description],SMALL(IF(ISNUMBER(MATCH(bhpc_data[category],$EC$9,0)*MATCH(bhpc_data[sex],$EC$11,0)*MATCH(bhpc_data[size1],$EC$13,0)),MATCH(ROW(bhpc_data[sku]),ROW(bhpc_data[sku])),""),ROWS($A$15:A20)+$B$3))))),"")</f>
        <v>BHPC GIFT SET SPORT MEN 9 EDT 50ML + DEO 175ML</v>
      </c>
      <c r="EG15" s="263">
        <f>IFERROR(IF(warehouse[[#This Row],[SKU]]="","",INDEX(inventory[ESISTENZA],MATCH(warehouse[[#This Row],[SKU]],inventory[ARTICOLO],0))),"")</f>
        <v>243</v>
      </c>
      <c r="EH15" s="328"/>
      <c r="EI15" s="328"/>
      <c r="EJ15" s="263"/>
      <c r="EK15" s="113"/>
      <c r="FF15" s="413"/>
      <c r="FG15" s="413"/>
      <c r="FH15" s="413"/>
      <c r="FI15" s="413"/>
      <c r="FJ15" s="413"/>
      <c r="FK15" s="413"/>
      <c r="FL15" s="413"/>
      <c r="FM15" s="413"/>
      <c r="FN15" s="413"/>
      <c r="FO15" s="413"/>
      <c r="FP15" s="413"/>
      <c r="FQ15" s="413"/>
      <c r="FR15" s="413"/>
      <c r="FS15" s="413"/>
      <c r="FT15" s="413"/>
      <c r="FU15" s="413"/>
      <c r="FV15" s="413"/>
      <c r="FW15" s="413"/>
      <c r="FX15" s="413"/>
      <c r="FY15" s="413"/>
      <c r="FZ15" s="413"/>
      <c r="GA15" s="413"/>
      <c r="GB15" s="413"/>
      <c r="GC15" s="413"/>
      <c r="GD15" s="413"/>
      <c r="GE15" s="413"/>
      <c r="GF15" s="413"/>
      <c r="GG15" s="413"/>
      <c r="GH15" s="413"/>
      <c r="GI15" s="413"/>
      <c r="GJ15" s="413"/>
      <c r="GK15" s="413"/>
      <c r="GL15" s="413"/>
      <c r="GM15" s="413"/>
      <c r="GN15" s="413"/>
      <c r="GO15" s="413"/>
      <c r="GP15" s="413"/>
      <c r="GQ15" s="413"/>
      <c r="GR15" s="413"/>
      <c r="GS15" s="413"/>
      <c r="GT15" s="413"/>
      <c r="GU15" s="413"/>
      <c r="GV15" s="413"/>
      <c r="GW15" s="413"/>
      <c r="GX15" s="413"/>
      <c r="GY15" s="413"/>
      <c r="GZ15" s="413"/>
      <c r="HA15" s="413"/>
      <c r="HB15" s="413"/>
      <c r="HC15" s="413"/>
      <c r="HD15" s="413"/>
      <c r="HE15" s="413"/>
      <c r="HF15" s="413"/>
      <c r="HG15" s="413"/>
      <c r="HH15" s="413"/>
      <c r="HI15" s="413"/>
      <c r="HJ15" s="413"/>
      <c r="HK15" s="413"/>
      <c r="HL15" s="413"/>
      <c r="HM15" s="413"/>
      <c r="HN15" s="413"/>
      <c r="HO15" s="413"/>
      <c r="HP15" s="413"/>
      <c r="HQ15" s="413"/>
      <c r="HR15" s="413"/>
      <c r="HS15" s="413"/>
      <c r="HT15" s="413"/>
    </row>
    <row r="16" spans="1:702" ht="15" customHeight="1" thickBot="1" x14ac:dyDescent="0.4">
      <c r="A16" s="156" t="s">
        <v>625</v>
      </c>
      <c r="B16" s="157">
        <v>45478.355856481481</v>
      </c>
      <c r="F16" s="93"/>
      <c r="G16" s="820"/>
      <c r="H16" s="821"/>
      <c r="I16" s="822"/>
      <c r="J16" s="82"/>
      <c r="L16" s="539" t="str">
        <f t="array" ref="L16">IFERROR(IF($D$9="",IF($D$11="",IF($D$13="",IF($D$15="",INDEX(orderHistory[customer],SMALL(MATCH(ROW(orderHistory[customer]),ROW(orderHistory[customer])),ROWS($A$15:A21)+$B$3)),INDEX(orderHistory[customer],SMALL(IF(ISNUMBER(MATCH(YEAR(orderHistory[invoice_date]),$D$15,0)),MATCH(ROW(orderHistory[customer]),ROW(orderHistory[customer])),""),ROWS($A$15:A21)+$B$3))),IF($D$15="",INDEX(orderHistory[customer],SMALL(IF(ISNUMBER(MATCH(orderHistory[order_type],$D$13,0)),MATCH(ROW(orderHistory[customer]),ROW(orderHistory[customer])),""),ROWS($A$15:A21)+$B$3)),INDEX(orderHistory[customer],SMALL(IF(ISNUMBER(MATCH(orderHistory[order_type],$D$13,0)*MATCH(YEAR(orderHistory[invoice_date]),$D$15,0)),MATCH(ROW(orderHistory[customer]),ROW(orderHistory[customer])),""),ROWS($A$15:A21)+$B$3)))),IF($D$13="",IF($D$15="",INDEX(orderHistory[customer],SMALL(IF(ISNUMBER(MATCH(orderHistory[status],$D$11,0)),MATCH(ROW(orderHistory[customer]),ROW(orderHistory[customer])),""),ROWS($A$15:A21)+$B$3)),INDEX(orderHistory[customer],SMALL(IF(ISNUMBER(MATCH(orderHistory[status],$D$11,0)*MATCH(YEAR(orderHistory[invoice_date]),$D$15,0)),MATCH(ROW(orderHistory[customer]),ROW(orderHistory[customer])),""),ROWS($A$15:A21)+$B$3))),IF($D$15="",INDEX(orderHistory[customer],SMALL(IF(ISNUMBER(MATCH(orderHistory[status],$D$11,0)*MATCH(orderHistory[order_type],$D$13,0)),MATCH(ROW(orderHistory[customer]),ROW(orderHistory[customer])),""),ROWS($A$15:A21)+$B$3)),INDEX(orderHistory[customer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customer],SMALL(IF(ISNUMBER(MATCH(orderHistory[customer],$D$9,0)),MATCH(ROW(orderHistory[customer]),ROW(orderHistory[customer])),""),ROWS($A$15:A21)+$B$3)),INDEX(orderHistory[customer],SMALL(IF(ISNUMBER(MATCH(orderHistory[customer],$D$9,0)*MATCH(YEAR(orderHistory[invoice_date]),$D$15,0)),MATCH(ROW(orderHistory[customer]),ROW(orderHistory[customer])),""),ROWS($A$15:A21)+$B$3))),IF($D$15="",INDEX(orderHistory[customer],SMALL(IF(ISNUMBER(MATCH(orderHistory[customer],$D$9,0)*MATCH(orderHistory[order_type],$D$13,0)),MATCH(ROW(orderHistory[customer]),ROW(orderHistory[customer])),""),ROWS($A$15:A21)+$B$3)),INDEX(orderHistory[customer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customer],SMALL(IF(ISNUMBER(MATCH(orderHistory[customer],$D$9,0)*MATCH(orderHistory[status],$D$11,0)),MATCH(ROW(orderHistory[customer]),ROW(orderHistory[customer])),""),ROWS($A$15:A21)+$B$3)),INDEX(orderHistory[customer],SMALL(IF(ISNUMBER(MATCH(orderHistory[customer],$D$9,0)*MATCH(orderHistory[status],$D$11,0)*MATCH(YEAR(orderHistory[invoice_date]),$D$15,0)),MATCH(ROW(orderHistory[customer]),ROW(orderHistory[customer])),""),ROWS($A$15:A21)+$B$3))),IF($D$15="",INDEX(orderHistory[customer],SMALL(IF(ISNUMBER(MATCH(orderHistory[customer],$D$9,0)*MATCH(orderHistory[status],$D$11,0)*MATCH(orderHistory[order_type],$D$13,0)),MATCH(ROW(orderHistory[customer]),ROW(orderHistory[customer])),""),ROWS($A$15:A21)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BEAUTY &amp; LUXURY</v>
      </c>
      <c r="M16" s="540">
        <f t="array" ref="M16">IFERROR(IF($D$9="",IF($D$11="",IF($D$13="",IF($D$15="",INDEX(orderHistory[order_no],SMALL(MATCH(ROW(orderHistory[customer]),ROW(orderHistory[customer])),ROWS($A$15:A21)+$B$3)),INDEX(orderHistory[order_no],SMALL(IF(ISNUMBER(MATCH(YEAR(orderHistory[invoice_date]),$D$15,0)),MATCH(ROW(orderHistory[customer]),ROW(orderHistory[customer])),""),ROWS($A$15:A21)+$B$3))),IF($D$15="",INDEX(orderHistory[order_no],SMALL(IF(ISNUMBER(MATCH(orderHistory[order_type],$D$13,0)),MATCH(ROW(orderHistory[customer]),ROW(orderHistory[customer])),""),ROWS($A$15:A21)+$B$3)),INDEX(orderHistory[order_no],SMALL(IF(ISNUMBER(MATCH(orderHistory[order_type],$D$13,0)*MATCH(YEAR(orderHistory[invoice_date]),$D$15,0)),MATCH(ROW(orderHistory[customer]),ROW(orderHistory[customer])),""),ROWS($A$15:A21)+$B$3)))),IF($D$13="",IF($D$15="",INDEX(orderHistory[order_no],SMALL(IF(ISNUMBER(MATCH(orderHistory[status],$D$11,0)),MATCH(ROW(orderHistory[customer]),ROW(orderHistory[customer])),""),ROWS($A$15:A21)+$B$3)),INDEX(orderHistory[order_no],SMALL(IF(ISNUMBER(MATCH(orderHistory[status],$D$11,0)*MATCH(YEAR(orderHistory[invoice_date]),$D$15,0)),MATCH(ROW(orderHistory[customer]),ROW(orderHistory[customer])),""),ROWS($A$15:A21)+$B$3))),IF($D$15="",INDEX(orderHistory[order_no],SMALL(IF(ISNUMBER(MATCH(orderHistory[status],$D$11,0)*MATCH(orderHistory[order_type],$D$13,0)),MATCH(ROW(orderHistory[customer]),ROW(orderHistory[customer])),""),ROWS($A$15:A21)+$B$3)),INDEX(orderHistory[order_no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no],SMALL(IF(ISNUMBER(MATCH(orderHistory[customer],$D$9,0)),MATCH(ROW(orderHistory[customer]),ROW(orderHistory[customer])),""),ROWS($A$15:A21)+$B$3)),INDEX(orderHistory[order_no],SMALL(IF(ISNUMBER(MATCH(orderHistory[customer],$D$9,0)*MATCH(YEAR(orderHistory[invoice_date]),$D$15,0)),MATCH(ROW(orderHistory[customer]),ROW(orderHistory[customer])),""),ROWS($A$15:A21)+$B$3))),IF($D$15="",INDEX(orderHistory[order_no],SMALL(IF(ISNUMBER(MATCH(orderHistory[customer],$D$9,0)*MATCH(orderHistory[order_type],$D$13,0)),MATCH(ROW(orderHistory[customer]),ROW(orderHistory[customer])),""),ROWS($A$15:A21)+$B$3)),INDEX(orderHistory[order_no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no],SMALL(IF(ISNUMBER(MATCH(orderHistory[customer],$D$9,0)*MATCH(orderHistory[status],$D$11,0)),MATCH(ROW(orderHistory[customer]),ROW(orderHistory[customer])),""),ROWS($A$15:A21)+$B$3)),INDEX(orderHistory[order_no],SMALL(IF(ISNUMBER(MATCH(orderHistory[customer],$D$9,0)*MATCH(orderHistory[status],$D$11,0)*MATCH(YEAR(orderHistory[invoice_date]),$D$15,0)),MATCH(ROW(orderHistory[customer]),ROW(orderHistory[customer])),""),ROWS($A$15:A21)+$B$3))),IF($D$15="",INDEX(orderHistory[order_no],SMALL(IF(ISNUMBER(MATCH(orderHistory[customer],$D$9,0)*MATCH(orderHistory[status],$D$11,0)*MATCH(orderHistory[order_type],$D$13,0)),MATCH(ROW(orderHistory[customer]),ROW(orderHistory[customer])),""),ROWS($A$15:A21)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21</v>
      </c>
      <c r="N16" s="541" t="str">
        <f t="array" ref="N16">IFERROR(IF($D$9="",IF($D$11="",IF($D$13="",IF($D$15="",INDEX(orderHistory[order_type],SMALL(MATCH(ROW(orderHistory[customer]),ROW(orderHistory[customer])),ROWS($A$15:A21)+$B$3)),INDEX(orderHistory[order_type],SMALL(IF(ISNUMBER(MATCH(YEAR(orderHistory[invoice_date]),$D$15,0)),MATCH(ROW(orderHistory[customer]),ROW(orderHistory[customer])),""),ROWS($A$15:A21)+$B$3))),IF($D$15="",INDEX(orderHistory[order_type],SMALL(IF(ISNUMBER(MATCH(orderHistory[order_type],$D$13,0)),MATCH(ROW(orderHistory[customer]),ROW(orderHistory[customer])),""),ROWS($A$15:A21)+$B$3)),INDEX(orderHistory[order_type],SMALL(IF(ISNUMBER(MATCH(orderHistory[order_type],$D$13,0)*MATCH(YEAR(orderHistory[invoice_date]),$D$15,0)),MATCH(ROW(orderHistory[customer]),ROW(orderHistory[customer])),""),ROWS($A$15:A21)+$B$3)))),IF($D$13="",IF($D$15="",INDEX(orderHistory[order_type],SMALL(IF(ISNUMBER(MATCH(orderHistory[status],$D$11,0)),MATCH(ROW(orderHistory[customer]),ROW(orderHistory[customer])),""),ROWS($A$15:A21)+$B$3)),INDEX(orderHistory[order_type],SMALL(IF(ISNUMBER(MATCH(orderHistory[status],$D$11,0)*MATCH(YEAR(orderHistory[invoice_date]),$D$15,0)),MATCH(ROW(orderHistory[customer]),ROW(orderHistory[customer])),""),ROWS($A$15:A21)+$B$3))),IF($D$15="",INDEX(orderHistory[order_type],SMALL(IF(ISNUMBER(MATCH(orderHistory[status],$D$11,0)*MATCH(orderHistory[order_type],$D$13,0)),MATCH(ROW(orderHistory[customer]),ROW(orderHistory[customer])),""),ROWS($A$15:A21)+$B$3)),INDEX(orderHistory[order_typ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type],SMALL(IF(ISNUMBER(MATCH(orderHistory[customer],$D$9,0)),MATCH(ROW(orderHistory[customer]),ROW(orderHistory[customer])),""),ROWS($A$15:A21)+$B$3)),INDEX(orderHistory[order_type],SMALL(IF(ISNUMBER(MATCH(orderHistory[customer],$D$9,0)*MATCH(YEAR(orderHistory[invoice_date]),$D$15,0)),MATCH(ROW(orderHistory[customer]),ROW(orderHistory[customer])),""),ROWS($A$15:A21)+$B$3))),IF($D$15="",INDEX(orderHistory[order_type],SMALL(IF(ISNUMBER(MATCH(orderHistory[customer],$D$9,0)*MATCH(orderHistory[order_type],$D$13,0)),MATCH(ROW(orderHistory[customer]),ROW(orderHistory[customer])),""),ROWS($A$15:A21)+$B$3)),INDEX(orderHistory[order_typ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type],SMALL(IF(ISNUMBER(MATCH(orderHistory[customer],$D$9,0)*MATCH(orderHistory[status],$D$11,0)),MATCH(ROW(orderHistory[customer]),ROW(orderHistory[customer])),""),ROWS($A$15:A21)+$B$3)),INDEX(orderHistory[order_type],SMALL(IF(ISNUMBER(MATCH(orderHistory[customer],$D$9,0)*MATCH(orderHistory[status],$D$11,0)*MATCH(YEAR(orderHistory[invoice_date]),$D$15,0)),MATCH(ROW(orderHistory[customer]),ROW(orderHistory[customer])),""),ROWS($A$15:A21)+$B$3))),IF($D$15="",INDEX(orderHistory[order_type],SMALL(IF(ISNUMBER(MATCH(orderHistory[customer],$D$9,0)*MATCH(orderHistory[status],$D$11,0)*MATCH(orderHistory[order_type],$D$13,0)),MATCH(ROW(orderHistory[customer]),ROW(orderHistory[customer])),""),ROWS($A$15:A21)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SAMPLING</v>
      </c>
      <c r="O16" s="542">
        <f t="array" ref="O16">IFERROR(IF($D$9="",IF($D$11="",IF($D$13="",IF($D$15="",INDEX(orderHistory[order_date],SMALL(MATCH(ROW(orderHistory[customer]),ROW(orderHistory[customer])),ROWS($A$15:A21)+$B$3)),INDEX(orderHistory[order_date],SMALL(IF(ISNUMBER(MATCH(YEAR(orderHistory[invoice_date]),$D$15,0)),MATCH(ROW(orderHistory[customer]),ROW(orderHistory[customer])),""),ROWS($A$15:A21)+$B$3))),IF($D$15="",INDEX(orderHistory[order_date],SMALL(IF(ISNUMBER(MATCH(orderHistory[order_type],$D$13,0)),MATCH(ROW(orderHistory[customer]),ROW(orderHistory[customer])),""),ROWS($A$15:A21)+$B$3)),INDEX(orderHistory[order_date],SMALL(IF(ISNUMBER(MATCH(orderHistory[order_type],$D$13,0)*MATCH(YEAR(orderHistory[invoice_date]),$D$15,0)),MATCH(ROW(orderHistory[customer]),ROW(orderHistory[customer])),""),ROWS($A$15:A21)+$B$3)))),IF($D$13="",IF($D$15="",INDEX(orderHistory[order_date],SMALL(IF(ISNUMBER(MATCH(orderHistory[status],$D$11,0)),MATCH(ROW(orderHistory[customer]),ROW(orderHistory[customer])),""),ROWS($A$15:A21)+$B$3)),INDEX(orderHistory[order_date],SMALL(IF(ISNUMBER(MATCH(orderHistory[status],$D$11,0)*MATCH(YEAR(orderHistory[invoice_date]),$D$15,0)),MATCH(ROW(orderHistory[customer]),ROW(orderHistory[customer])),""),ROWS($A$15:A21)+$B$3))),IF($D$15="",INDEX(orderHistory[order_date],SMALL(IF(ISNUMBER(MATCH(orderHistory[status],$D$11,0)*MATCH(orderHistory[order_type],$D$13,0)),MATCH(ROW(orderHistory[customer]),ROW(orderHistory[customer])),""),ROWS($A$15:A21)+$B$3)),INDEX(orderHistory[order_dat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date],SMALL(IF(ISNUMBER(MATCH(orderHistory[customer],$D$9,0)),MATCH(ROW(orderHistory[customer]),ROW(orderHistory[customer])),""),ROWS($A$15:A21)+$B$3)),INDEX(orderHistory[order_date],SMALL(IF(ISNUMBER(MATCH(orderHistory[customer],$D$9,0)*MATCH(YEAR(orderHistory[invoice_date]),$D$15,0)),MATCH(ROW(orderHistory[customer]),ROW(orderHistory[customer])),""),ROWS($A$15:A21)+$B$3))),IF($D$15="",INDEX(orderHistory[order_date],SMALL(IF(ISNUMBER(MATCH(orderHistory[customer],$D$9,0)*MATCH(orderHistory[order_type],$D$13,0)),MATCH(ROW(orderHistory[customer]),ROW(orderHistory[customer])),""),ROWS($A$15:A21)+$B$3)),INDEX(orderHistory[order_dat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date],SMALL(IF(ISNUMBER(MATCH(orderHistory[customer],$D$9,0)*MATCH(orderHistory[status],$D$11,0)),MATCH(ROW(orderHistory[customer]),ROW(orderHistory[customer])),""),ROWS($A$15:A21)+$B$3)),INDEX(orderHistory[order_date],SMALL(IF(ISNUMBER(MATCH(orderHistory[customer],$D$9,0)*MATCH(orderHistory[status],$D$11,0)*MATCH(YEAR(orderHistory[invoice_date]),$D$15,0)),MATCH(ROW(orderHistory[customer]),ROW(orderHistory[customer])),""),ROWS($A$15:A21)+$B$3))),IF($D$15="",INDEX(orderHistory[order_date],SMALL(IF(ISNUMBER(MATCH(orderHistory[customer],$D$9,0)*MATCH(orderHistory[status],$D$11,0)*MATCH(orderHistory[order_type],$D$13,0)),MATCH(ROW(orderHistory[customer]),ROW(orderHistory[customer])),""),ROWS($A$15:A21)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45369</v>
      </c>
      <c r="P16" s="543">
        <f t="array" ref="P16">IFERROR(IF($D$9="",IF($D$11="",IF($D$13="",IF($D$15="",INDEX(orderHistory[invoice_no],SMALL(MATCH(ROW(orderHistory[customer]),ROW(orderHistory[customer])),ROWS($A$15:A21)+$B$3)),INDEX(orderHistory[invoice_no],SMALL(IF(ISNUMBER(MATCH(YEAR(orderHistory[invoice_date]),$D$15,0)),MATCH(ROW(orderHistory[customer]),ROW(orderHistory[customer])),""),ROWS($A$15:A21)+$B$3))),IF($D$15="",INDEX(orderHistory[invoice_no],SMALL(IF(ISNUMBER(MATCH(orderHistory[order_type],$D$13,0)),MATCH(ROW(orderHistory[customer]),ROW(orderHistory[customer])),""),ROWS($A$15:A21)+$B$3)),INDEX(orderHistory[invoice_no],SMALL(IF(ISNUMBER(MATCH(orderHistory[order_type],$D$13,0)*MATCH(YEAR(orderHistory[invoice_date]),$D$15,0)),MATCH(ROW(orderHistory[customer]),ROW(orderHistory[customer])),""),ROWS($A$15:A21)+$B$3)))),IF($D$13="",IF($D$15="",INDEX(orderHistory[invoice_no],SMALL(IF(ISNUMBER(MATCH(orderHistory[status],$D$11,0)),MATCH(ROW(orderHistory[customer]),ROW(orderHistory[customer])),""),ROWS($A$15:A21)+$B$3)),INDEX(orderHistory[invoice_no],SMALL(IF(ISNUMBER(MATCH(orderHistory[status],$D$11,0)*MATCH(YEAR(orderHistory[invoice_date]),$D$15,0)),MATCH(ROW(orderHistory[customer]),ROW(orderHistory[customer])),""),ROWS($A$15:A21)+$B$3))),IF($D$15="",INDEX(orderHistory[invoice_no],SMALL(IF(ISNUMBER(MATCH(orderHistory[status],$D$11,0)*MATCH(orderHistory[order_type],$D$13,0)),MATCH(ROW(orderHistory[customer]),ROW(orderHistory[customer])),""),ROWS($A$15:A21)+$B$3)),INDEX(orderHistory[invoice_no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oice_no],SMALL(IF(ISNUMBER(MATCH(orderHistory[customer],$D$9,0)),MATCH(ROW(orderHistory[customer]),ROW(orderHistory[customer])),""),ROWS($A$15:A21)+$B$3)),INDEX(orderHistory[invoice_no],SMALL(IF(ISNUMBER(MATCH(orderHistory[customer],$D$9,0)*MATCH(YEAR(orderHistory[invoice_date]),$D$15,0)),MATCH(ROW(orderHistory[customer]),ROW(orderHistory[customer])),""),ROWS($A$15:A21)+$B$3))),IF($D$15="",INDEX(orderHistory[invoice_no],SMALL(IF(ISNUMBER(MATCH(orderHistory[customer],$D$9,0)*MATCH(orderHistory[order_type],$D$13,0)),MATCH(ROW(orderHistory[customer]),ROW(orderHistory[customer])),""),ROWS($A$15:A21)+$B$3)),INDEX(orderHistory[invoice_no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YEAR(orderHistory[invoice_date]),$D$15,0)),MATCH(ROW(orderHistory[customer]),ROW(orderHistory[customer])),""),ROWS($A$15:A21)+$B$3))),IF($D$15="",INDEX(orderHistory[invoice_no],SMALL(IF(ISNUMBER(MATCH(orderHistory[customer],$D$9,0)*MATCH(orderHistory[status],$D$11,0)*MATCH(orderHistory[order_type],$D$13,0)),MATCH(ROW(orderHistory[customer]),ROW(orderHistory[customer])),""),ROWS($A$15:A21)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0</v>
      </c>
      <c r="Q16" s="544">
        <f t="array" ref="Q16">IFERROR(IF($D$9="",IF($D$11="",IF($D$13="",IF($D$15="",INDEX(orderHistory[invoice_date],SMALL(MATCH(ROW(orderHistory[customer]),ROW(orderHistory[customer])),ROWS($A$15:A21)+$B$3)),INDEX(orderHistory[invoice_date],SMALL(IF(ISNUMBER(MATCH(YEAR(orderHistory[invoice_date]),$D$15,0)),MATCH(ROW(orderHistory[customer]),ROW(orderHistory[customer])),""),ROWS($A$15:A21)+$B$3))),IF($D$15="",INDEX(orderHistory[invoice_date],SMALL(IF(ISNUMBER(MATCH(orderHistory[order_type],$D$13,0)),MATCH(ROW(orderHistory[customer]),ROW(orderHistory[customer])),""),ROWS($A$15:A21)+$B$3)),INDEX(orderHistory[invoice_date],SMALL(IF(ISNUMBER(MATCH(orderHistory[order_type],$D$13,0)*MATCH(YEAR(orderHistory[invoice_date]),$D$15,0)),MATCH(ROW(orderHistory[customer]),ROW(orderHistory[customer])),""),ROWS($A$15:A21)+$B$3)))),IF($D$13="",IF($D$15="",INDEX(orderHistory[invoice_date],SMALL(IF(ISNUMBER(MATCH(orderHistory[status],$D$11,0)),MATCH(ROW(orderHistory[customer]),ROW(orderHistory[customer])),""),ROWS($A$15:A21)+$B$3)),INDEX(orderHistory[invoice_date],SMALL(IF(ISNUMBER(MATCH(orderHistory[status],$D$11,0)*MATCH(YEAR(orderHistory[invoice_date]),$D$15,0)),MATCH(ROW(orderHistory[customer]),ROW(orderHistory[customer])),""),ROWS($A$15:A21)+$B$3))),IF($D$15="",INDEX(orderHistory[invoice_date],SMALL(IF(ISNUMBER(MATCH(orderHistory[status],$D$11,0)*MATCH(orderHistory[order_type],$D$13,0)),MATCH(ROW(orderHistory[customer]),ROW(orderHistory[customer])),""),ROWS($A$15:A21)+$B$3)),INDEX(orderHistory[invoice_dat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oice_date],SMALL(IF(ISNUMBER(MATCH(orderHistory[customer],$D$9,0)),MATCH(ROW(orderHistory[customer]),ROW(orderHistory[customer])),""),ROWS($A$15:A21)+$B$3)),INDEX(orderHistory[invoice_date],SMALL(IF(ISNUMBER(MATCH(orderHistory[customer],$D$9,0)*MATCH(YEAR(orderHistory[invoice_date]),$D$15,0)),MATCH(ROW(orderHistory[customer]),ROW(orderHistory[customer])),""),ROWS($A$15:A21)+$B$3))),IF($D$15="",INDEX(orderHistory[invoice_date],SMALL(IF(ISNUMBER(MATCH(orderHistory[customer],$D$9,0)*MATCH(orderHistory[order_type],$D$13,0)),MATCH(ROW(orderHistory[customer]),ROW(orderHistory[customer])),""),ROWS($A$15:A21)+$B$3)),INDEX(orderHistory[invoice_dat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YEAR(orderHistory[invoice_date]),$D$15,0)),MATCH(ROW(orderHistory[customer]),ROW(orderHistory[customer])),""),ROWS($A$15:A21)+$B$3))),IF($D$15="",INDEX(orderHistory[invoice_date],SMALL(IF(ISNUMBER(MATCH(orderHistory[customer],$D$9,0)*MATCH(orderHistory[status],$D$11,0)*MATCH(orderHistory[order_type],$D$13,0)),MATCH(ROW(orderHistory[customer]),ROW(orderHistory[customer])),""),ROWS($A$15:A21)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0</v>
      </c>
      <c r="R16" s="545">
        <f t="array" ref="R16">IFERROR(IF($D$9="",IF($D$11="",IF($D$13="",IF($D$15="",INDEX(orderHistory[inv_amount],SMALL(MATCH(ROW(orderHistory[customer]),ROW(orderHistory[customer])),ROWS($A$15:A21)+$B$3)),INDEX(orderHistory[inv_amount],SMALL(IF(ISNUMBER(MATCH(YEAR(orderHistory[invoice_date]),$D$15,0)),MATCH(ROW(orderHistory[customer]),ROW(orderHistory[customer])),""),ROWS($A$15:A21)+$B$3))),IF($D$15="",INDEX(orderHistory[inv_amount],SMALL(IF(ISNUMBER(MATCH(orderHistory[order_type],$D$13,0)),MATCH(ROW(orderHistory[customer]),ROW(orderHistory[customer])),""),ROWS($A$15:A21)+$B$3)),INDEX(orderHistory[inv_amount],SMALL(IF(ISNUMBER(MATCH(orderHistory[order_type],$D$13,0)*MATCH(YEAR(orderHistory[invoice_date]),$D$15,0)),MATCH(ROW(orderHistory[customer]),ROW(orderHistory[customer])),""),ROWS($A$15:A21)+$B$3)))),IF($D$13="",IF($D$15="",INDEX(orderHistory[inv_amount],SMALL(IF(ISNUMBER(MATCH(orderHistory[status],$D$11,0)),MATCH(ROW(orderHistory[customer]),ROW(orderHistory[customer])),""),ROWS($A$15:A21)+$B$3)),INDEX(orderHistory[inv_amount],SMALL(IF(ISNUMBER(MATCH(orderHistory[status],$D$11,0)*MATCH(YEAR(orderHistory[invoice_date]),$D$15,0)),MATCH(ROW(orderHistory[customer]),ROW(orderHistory[customer])),""),ROWS($A$15:A21)+$B$3))),IF($D$15="",INDEX(orderHistory[inv_amount],SMALL(IF(ISNUMBER(MATCH(orderHistory[status],$D$11,0)*MATCH(orderHistory[order_type],$D$13,0)),MATCH(ROW(orderHistory[customer]),ROW(orderHistory[customer])),""),ROWS($A$15:A21)+$B$3)),INDEX(orderHistory[inv_amount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_amount],SMALL(IF(ISNUMBER(MATCH(orderHistory[customer],$D$9,0)),MATCH(ROW(orderHistory[customer]),ROW(orderHistory[customer])),""),ROWS($A$15:A21)+$B$3)),INDEX(orderHistory[inv_amount],SMALL(IF(ISNUMBER(MATCH(orderHistory[customer],$D$9,0)*MATCH(YEAR(orderHistory[invoice_date]),$D$15,0)),MATCH(ROW(orderHistory[customer]),ROW(orderHistory[customer])),""),ROWS($A$15:A21)+$B$3))),IF($D$15="",INDEX(orderHistory[inv_amount],SMALL(IF(ISNUMBER(MATCH(orderHistory[customer],$D$9,0)*MATCH(orderHistory[order_type],$D$13,0)),MATCH(ROW(orderHistory[customer]),ROW(orderHistory[customer])),""),ROWS($A$15:A21)+$B$3)),INDEX(orderHistory[inv_amount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_amount],SMALL(IF(ISNUMBER(MATCH(orderHistory[customer],$D$9,0)*MATCH(orderHistory[status],$D$11,0)),MATCH(ROW(orderHistory[customer]),ROW(orderHistory[customer])),""),ROWS($A$15:A21)+$B$3)),INDEX(orderHistory[inv_amount],SMALL(IF(ISNUMBER(MATCH(orderHistory[customer],$D$9,0)*MATCH(orderHistory[status],$D$11,0)*MATCH(YEAR(orderHistory[inv_amount]),$D$15,0)),MATCH(ROW(orderHistory[customer]),ROW(orderHistory[customer])),""),ROWS($A$15:A21)+$B$3))),IF($D$15="",INDEX(orderHistory[inv_amount],SMALL(IF(ISNUMBER(MATCH(orderHistory[customer],$D$9,0)*MATCH(orderHistory[status],$D$11,0)*MATCH(orderHistory[order_type],$D$13,0)),MATCH(ROW(orderHistory[customer]),ROW(orderHistory[customer])),""),ROWS($A$15:A21)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0</v>
      </c>
      <c r="S16" s="546">
        <f t="shared" si="2"/>
        <v>0</v>
      </c>
      <c r="T16" s="547" t="b">
        <f t="array" ref="T16">IFERROR(IF($D$9="",IF($D$11="",IF($D$13="",IF($D$15="",INDEX(orderHistory[payed],SMALL(MATCH(ROW(orderHistory[customer]),ROW(orderHistory[customer])),ROWS($A$15:A21)+$B$3)),INDEX(orderHistory[payed],SMALL(IF(ISNUMBER(MATCH(YEAR(orderHistory[invoice_date]),$D$15,0)),MATCH(ROW(orderHistory[customer]),ROW(orderHistory[customer])),""),ROWS($A$15:A21)+$B$3))),IF($D$15="",INDEX(orderHistory[payed],SMALL(IF(ISNUMBER(MATCH(orderHistory[order_type],$D$13,0)),MATCH(ROW(orderHistory[customer]),ROW(orderHistory[customer])),""),ROWS($A$15:A21)+$B$3)),INDEX(orderHistory[payed],SMALL(IF(ISNUMBER(MATCH(orderHistory[order_type],$D$13,0)*MATCH(YEAR(orderHistory[invoice_date]),$D$15,0)),MATCH(ROW(orderHistory[customer]),ROW(orderHistory[customer])),""),ROWS($A$15:A21)+$B$3)))),IF($D$13="",IF($D$15="",INDEX(orderHistory[payed],SMALL(IF(ISNUMBER(MATCH(orderHistory[status],$D$11,0)),MATCH(ROW(orderHistory[customer]),ROW(orderHistory[customer])),""),ROWS($A$15:A21)+$B$3)),INDEX(orderHistory[payed],SMALL(IF(ISNUMBER(MATCH(orderHistory[status],$D$11,0)*MATCH(YEAR(orderHistory[invoice_date]),$D$15,0)),MATCH(ROW(orderHistory[customer]),ROW(orderHistory[customer])),""),ROWS($A$15:A21)+$B$3))),IF($D$15="",INDEX(orderHistory[payed],SMALL(IF(ISNUMBER(MATCH(orderHistory[status],$D$11,0)*MATCH(orderHistory[order_type],$D$13,0)),MATCH(ROW(orderHistory[customer]),ROW(orderHistory[customer])),""),ROWS($A$15:A21)+$B$3)),INDEX(orderHistory[payed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payed],SMALL(IF(ISNUMBER(MATCH(orderHistory[customer],$D$9,0)),MATCH(ROW(orderHistory[customer]),ROW(orderHistory[customer])),""),ROWS($A$15:A21)+$B$3)),INDEX(orderHistory[payed],SMALL(IF(ISNUMBER(MATCH(orderHistory[customer],$D$9,0)*MATCH(YEAR(orderHistory[invoice_date]),$D$15,0)),MATCH(ROW(orderHistory[customer]),ROW(orderHistory[customer])),""),ROWS($A$15:A21)+$B$3))),IF($D$15="",INDEX(orderHistory[payed],SMALL(IF(ISNUMBER(MATCH(orderHistory[customer],$D$9,0)*MATCH(orderHistory[order_type],$D$13,0)),MATCH(ROW(orderHistory[customer]),ROW(orderHistory[customer])),""),ROWS($A$15:A21)+$B$3)),INDEX(orderHistory[payed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payed],SMALL(IF(ISNUMBER(MATCH(orderHistory[customer],$D$9,0)*MATCH(orderHistory[status],$D$11,0)),MATCH(ROW(orderHistory[customer]),ROW(orderHistory[customer])),""),ROWS($A$15:A21)+$B$3)),INDEX(orderHistory[payed],SMALL(IF(ISNUMBER(MATCH(orderHistory[customer],$D$9,0)*MATCH(orderHistory[status],$D$11,0)*MATCH(YEAR(orderHistory[payed]),$D$15,0)),MATCH(ROW(orderHistory[customer]),ROW(orderHistory[customer])),""),ROWS($A$15:A21)+$B$3))),IF($D$15="",INDEX(orderHistory[payed],SMALL(IF(ISNUMBER(MATCH(orderHistory[customer],$D$9,0)*MATCH(orderHistory[status],$D$11,0)*MATCH(orderHistory[order_type],$D$13,0)),MATCH(ROW(orderHistory[customer]),ROW(orderHistory[customer])),""),ROWS($A$15:A21)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1</v>
      </c>
      <c r="U16" s="541" t="str">
        <f t="array" ref="U16">IFERROR(IF($D$9="",IF($D$11="",IF($D$13="",IF($D$15="",INDEX(orderHistory[shipping_method],SMALL(MATCH(ROW(orderHistory[customer]),ROW(orderHistory[customer])),ROWS($A$15:A21)+$B$3)),INDEX(orderHistory[shipping_method],SMALL(IF(ISNUMBER(MATCH(YEAR(orderHistory[invoice_date]),$D$15,0)),MATCH(ROW(orderHistory[customer]),ROW(orderHistory[customer])),""),ROWS($A$15:A21)+$B$3))),IF($D$15="",INDEX(orderHistory[shipping_method],SMALL(IF(ISNUMBER(MATCH(orderHistory[order_type],$D$13,0)),MATCH(ROW(orderHistory[customer]),ROW(orderHistory[customer])),""),ROWS($A$15:A21)+$B$3)),INDEX(orderHistory[shipping_method],SMALL(IF(ISNUMBER(MATCH(orderHistory[order_type],$D$13,0)*MATCH(YEAR(orderHistory[invoice_date]),$D$15,0)),MATCH(ROW(orderHistory[customer]),ROW(orderHistory[customer])),""),ROWS($A$15:A21)+$B$3)))),IF($D$13="",IF($D$15="",INDEX(orderHistory[shipping_method],SMALL(IF(ISNUMBER(MATCH(orderHistory[status],$D$11,0)),MATCH(ROW(orderHistory[customer]),ROW(orderHistory[customer])),""),ROWS($A$15:A21)+$B$3)),INDEX(orderHistory[shipping_method],SMALL(IF(ISNUMBER(MATCH(orderHistory[status],$D$11,0)*MATCH(YEAR(orderHistory[invoice_date]),$D$15,0)),MATCH(ROW(orderHistory[customer]),ROW(orderHistory[customer])),""),ROWS($A$15:A21)+$B$3))),IF($D$15="",INDEX(orderHistory[shipping_method],SMALL(IF(ISNUMBER(MATCH(orderHistory[status],$D$11,0)*MATCH(orderHistory[order_type],$D$13,0)),MATCH(ROW(orderHistory[customer]),ROW(orderHistory[customer])),""),ROWS($A$15:A21)+$B$3)),INDEX(orderHistory[shipping_method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shipping_method],SMALL(IF(ISNUMBER(MATCH(orderHistory[customer],$D$9,0)),MATCH(ROW(orderHistory[customer]),ROW(orderHistory[customer])),""),ROWS($A$15:A21)+$B$3)),INDEX(orderHistory[shipping_method],SMALL(IF(ISNUMBER(MATCH(orderHistory[customer],$D$9,0)*MATCH(YEAR(orderHistory[invoice_date]),$D$15,0)),MATCH(ROW(orderHistory[customer]),ROW(orderHistory[customer])),""),ROWS($A$15:A21)+$B$3))),IF($D$15="",INDEX(orderHistory[shipping_method],SMALL(IF(ISNUMBER(MATCH(orderHistory[customer],$D$9,0)*MATCH(orderHistory[order_type],$D$13,0)),MATCH(ROW(orderHistory[customer]),ROW(orderHistory[customer])),""),ROWS($A$15:A21)+$B$3)),INDEX(orderHistory[shipping_method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shipping_method],SMALL(IF(ISNUMBER(MATCH(orderHistory[customer],$D$9,0)*MATCH(orderHistory[status],$D$11,0)),MATCH(ROW(orderHistory[customer]),ROW(orderHistory[customer])),""),ROWS($A$15:A21)+$B$3)),INDEX(orderHistory[shipping_method],SMALL(IF(ISNUMBER(MATCH(orderHistory[customer],$D$9,0)*MATCH(orderHistory[status],$D$11,0)*MATCH(YEAR(orderHistory[shipping_method]),$D$15,0)),MATCH(ROW(orderHistory[customer]),ROW(orderHistory[customer])),""),ROWS($A$15:A21)+$B$3))),IF($D$15="",INDEX(orderHistory[shipping_method],SMALL(IF(ISNUMBER(MATCH(orderHistory[customer],$D$9,0)*MATCH(orderHistory[status],$D$11,0)*MATCH(orderHistory[order_type],$D$13,0)),MATCH(ROW(orderHistory[customer]),ROW(orderHistory[customer])),""),ROWS($A$15:A21)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BY ROAD</v>
      </c>
      <c r="V16" s="548" t="str">
        <f t="array" ref="V16">IFERROR(IF($D$9="",IF($D$11="",IF($D$13="",IF($D$15="",INDEX(orderHistory[status],SMALL(MATCH(ROW(orderHistory[customer]),ROW(orderHistory[customer])),ROWS($A$15:A21)+$B$3)),INDEX(orderHistory[status],SMALL(IF(ISNUMBER(MATCH(YEAR(orderHistory[invoice_date]),$D$15,0)),MATCH(ROW(orderHistory[customer]),ROW(orderHistory[customer])),""),ROWS($A$15:A21)+$B$3))),IF($D$15="",INDEX(orderHistory[status],SMALL(IF(ISNUMBER(MATCH(orderHistory[order_type],$D$13,0)),MATCH(ROW(orderHistory[customer]),ROW(orderHistory[customer])),""),ROWS($A$15:A21)+$B$3)),INDEX(orderHistory[status],SMALL(IF(ISNUMBER(MATCH(orderHistory[order_type],$D$13,0)*MATCH(YEAR(orderHistory[invoice_date]),$D$15,0)),MATCH(ROW(orderHistory[customer]),ROW(orderHistory[customer])),""),ROWS($A$15:A21)+$B$3)))),IF($D$13="",IF($D$15="",INDEX(orderHistory[status],SMALL(IF(ISNUMBER(MATCH(orderHistory[status],$D$11,0)),MATCH(ROW(orderHistory[customer]),ROW(orderHistory[customer])),""),ROWS($A$15:A21)+$B$3)),INDEX(orderHistory[status],SMALL(IF(ISNUMBER(MATCH(orderHistory[status],$D$11,0)*MATCH(YEAR(orderHistory[invoice_date]),$D$15,0)),MATCH(ROW(orderHistory[customer]),ROW(orderHistory[customer])),""),ROWS($A$15:A21)+$B$3))),IF($D$15="",INDEX(orderHistory[status],SMALL(IF(ISNUMBER(MATCH(orderHistory[status],$D$11,0)*MATCH(orderHistory[order_type],$D$13,0)),MATCH(ROW(orderHistory[customer]),ROW(orderHistory[customer])),""),ROWS($A$15:A21)+$B$3)),INDEX(orderHistory[status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status],SMALL(IF(ISNUMBER(MATCH(orderHistory[customer],$D$9,0)),MATCH(ROW(orderHistory[customer]),ROW(orderHistory[customer])),""),ROWS($A$15:A21)+$B$3)),INDEX(orderHistory[status],SMALL(IF(ISNUMBER(MATCH(orderHistory[customer],$D$9,0)*MATCH(YEAR(orderHistory[invoice_date]),$D$15,0)),MATCH(ROW(orderHistory[customer]),ROW(orderHistory[customer])),""),ROWS($A$15:A21)+$B$3))),IF($D$15="",INDEX(orderHistory[status],SMALL(IF(ISNUMBER(MATCH(orderHistory[customer],$D$9,0)*MATCH(orderHistory[order_type],$D$13,0)),MATCH(ROW(orderHistory[customer]),ROW(orderHistory[customer])),""),ROWS($A$15:A21)+$B$3)),INDEX(orderHistory[status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status],SMALL(IF(ISNUMBER(MATCH(orderHistory[customer],$D$9,0)*MATCH(orderHistory[status],$D$11,0)),MATCH(ROW(orderHistory[customer]),ROW(orderHistory[customer])),""),ROWS($A$15:A21)+$B$3)),INDEX(orderHistory[status],SMALL(IF(ISNUMBER(MATCH(orderHistory[customer],$D$9,0)*MATCH(orderHistory[status],$D$11,0)*MATCH(YEAR(orderHistory[status]),$D$15,0)),MATCH(ROW(orderHistory[customer]),ROW(orderHistory[customer])),""),ROWS($A$15:A21)+$B$3))),IF($D$15="",INDEX(orderHistory[status],SMALL(IF(ISNUMBER(MATCH(orderHistory[customer],$D$9,0)*MATCH(orderHistory[status],$D$11,0)*MATCH(orderHistory[order_type],$D$13,0)),MATCH(ROW(orderHistory[customer]),ROW(orderHistory[customer])),""),ROWS($A$15:A21)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SHIPPED</v>
      </c>
      <c r="W16" s="407"/>
      <c r="AO16" s="423"/>
      <c r="AQ16" s="416"/>
      <c r="AR16" s="445"/>
      <c r="AS16" s="445"/>
      <c r="AT16" s="445"/>
      <c r="AW16" s="462"/>
      <c r="AX16" s="423"/>
      <c r="AZ16" s="430"/>
      <c r="BD16" s="460"/>
      <c r="BE16" s="482"/>
      <c r="BF16" s="428"/>
      <c r="BG16" s="483"/>
      <c r="BH16" s="428"/>
      <c r="BI16" s="428"/>
      <c r="BJ16" s="429"/>
      <c r="BK16" s="475"/>
      <c r="BL16" s="451"/>
      <c r="BM16" s="452"/>
      <c r="BN16" s="451"/>
      <c r="BO16" s="452"/>
      <c r="BZ16" s="158"/>
      <c r="CA16" s="154" t="str">
        <f>IF(BZ16="","",INDEX(bhpc_data[description],MATCH(BZ16,bhpc_data[sku],0)))</f>
        <v/>
      </c>
      <c r="CB16" s="159"/>
      <c r="CC16" s="357"/>
      <c r="CD16" s="260"/>
      <c r="CE16" s="360"/>
      <c r="CF16" s="161"/>
      <c r="CG16" s="164" t="str">
        <f>IFERROR(ROUNDUP(CB16/INDEX(bhpc_data[units_per_carton],MATCH(BZ16,bhpc_data[sku],0)),0),"")</f>
        <v/>
      </c>
      <c r="CH16" s="165" t="str">
        <f>IFERROR(ROUNDUP(CD16/INDEX(bhpc_data[units_per_carton],MATCH(BZ16,bhpc_data[sku],0)),0),"")</f>
        <v/>
      </c>
      <c r="CI16" s="165" t="str">
        <f>IFERROR(ROUNDUP(CF16/INDEX(bhpc_data[units_per_carton],MATCH(BZ16,bhpc_data[sku])),0),"")</f>
        <v/>
      </c>
      <c r="CJ16" s="165" t="str">
        <f>IFERROR(((CB16+CD16+CF16)/INDEX(bhpc_data[units_per_carton],MATCH(BZ16,bhpc_data[sku],0)))*INDEX(bhpc_data[net_weight],MATCH(BZ16,bhpc_data[sku],0)),"")</f>
        <v/>
      </c>
      <c r="CK16" s="165" t="str">
        <f>IFERROR(((CB16+CD16+CF16)/INDEX(bhpc_data[units_per_carton],MATCH(BZ16,bhpc_data[sku],0)))*INDEX(bhpc_data[gross_weight],MATCH(BZ16,bhpc_data[sku],0)),"")</f>
        <v/>
      </c>
      <c r="CL16" s="180" t="str">
        <f>IFERROR((CB16+CD16+CF16)/INDEX(bhpc_data[units_per_carton],MATCH(BZ16,bhpc_data[sku],0))*INDEX(bhpc_data[lenght],MATCH(BZ16,bhpc_data[sku],0))*INDEX(bhpc_data[width],MATCH(BZ16,bhpc_data[sku],0))*INDEX(bhpc_data[height],MATCH(BZ16,bhpc_data[sku],0))/1000000000,"")</f>
        <v/>
      </c>
      <c r="CM16" s="189" t="str">
        <f>IFERROR(INDEX(bhpc_data[category],MATCH(BZ16,bhpc_data[sku],0)),"")</f>
        <v/>
      </c>
      <c r="CN16" s="189" t="str">
        <f>IFERROR(INDEX(bhpc_data[size1],MATCH(BZ16,bhpc_data[sku],0)),"")</f>
        <v/>
      </c>
      <c r="CO16" s="388" t="str">
        <f>IFERROR(INDEX(bhpc_data[hs_code],MATCH(BZ16,bhpc_data[sku],0)),"")</f>
        <v/>
      </c>
      <c r="CP16" s="377" t="str">
        <f>IFERROR(INDEX(inventory[ESISTENZA],MATCH(BZ16,inventory[ARTICOLO],0)),"")</f>
        <v/>
      </c>
      <c r="CQ16" s="364" t="str">
        <f>IFERROR(IF(BZ16="","",IF($BX$15="SALE",INDEX(inventory[COSTO UNITARIO],MATCH(BZ16,inventory[ARTICOLO],0)),IF($BX$15="SAMPLING",INDEX(inventory[COSTO UNITARIO],MATCH(BZ16,inventory[ARTICOLO],0)),""))),"")</f>
        <v/>
      </c>
      <c r="CR16" s="365" t="str">
        <f t="shared" si="0"/>
        <v/>
      </c>
      <c r="CS16" s="264" t="str">
        <f t="shared" si="1"/>
        <v/>
      </c>
      <c r="CU16" s="85"/>
      <c r="CV16" s="89" t="s">
        <v>606</v>
      </c>
      <c r="CW16" s="281">
        <f>SUM(CF10:CF110)</f>
        <v>48</v>
      </c>
      <c r="CX16" s="89"/>
      <c r="CY16" s="81"/>
      <c r="CZ16" s="82"/>
      <c r="DA16" s="432" t="str">
        <f>IFERROR(VLOOKUP(BZ16,bhpc_data[],22,FALSE),"")</f>
        <v/>
      </c>
      <c r="DH16" s="296"/>
      <c r="EE16" s="202" t="str" cm="1">
        <f t="array" ref="EE16">IFERROR(IF($EC$9="",IF($EC$11="",IF($EC$13="",INDEX(bhpc_data[sku],SMALL(MATCH(ROW(bhpc_data[sku]),ROW(bhpc_data[sku])),ROWS($A$15:A21)+$B$3)),INDEX(bhpc_data[sku],SMALL(IF(ISNUMBER(MATCH(bhpc_data[size1],$EC$13,0)),MATCH(ROW(bhpc_data[sku]),ROW(bhpc_data[sku])),""),ROWS($A$15:A21)+$B$3))),IF($EC$13="",INDEX(bhpc_data[sku],SMALL(IF(ISNUMBER(MATCH(bhpc_data[sex],$EC$11,0)),MATCH(ROW(bhpc_data[sku]),ROW(bhpc_data[sku])),""),ROWS($A$15:A21)+$B$3)),INDEX(bhpc_data[sku],SMALL(IF(ISNUMBER(MATCH(bhpc_data[sex],$EC$11,0)*MATCH(bhpc_data[size1],$EC$13,0)),MATCH(ROW(bhpc_data[sku]),ROW(bhpc_data[sku])),""),ROWS($A$15:A21)+$B$3)))),IF($EC$11="",IF($EC$13="",INDEX(bhpc_data[sku],SMALL(IF(ISNUMBER(MATCH(bhpc_data[category],$EC$9,0)),MATCH(ROW(bhpc_data[sku]),ROW(bhpc_data[sku])),""),ROWS($A$15:A21)+$B$3)),INDEX(bhpc_data[sku],SMALL(IF(ISNUMBER(MATCH(bhpc_data[category],$EC$9,0)*MATCH(bhpc_data[size1],$EC$13,0)),MATCH(ROW(bhpc_data[sku]),ROW(bhpc_data[sku])),""),ROWS($A$15:A21)+$B$3))),IF($EC$13="",INDEX(bhpc_data[sku],SMALL(IF(ISNUMBER(MATCH(bhpc_data[category],$EC$9,0)*MATCH(bhpc_data[sex],$EC$11,0)),MATCH(ROW(bhpc_data[sku]),ROW(bhpc_data[sku])),""),ROWS($A$15:A21)+$B$3)),INDEX(bhpc_data[sku],SMALL(IF(ISNUMBER(MATCH(bhpc_data[category],$EC$9,0)*MATCH(bhpc_data[sex],$EC$11,0)*MATCH(bhpc_data[size1],$EC$13,0)),MATCH(ROW(bhpc_data[sku]),ROW(bhpc_data[sku])),""),ROWS($A$15:A21)+$B$3))))),"")</f>
        <v>GS5010</v>
      </c>
      <c r="EF16" s="198" t="str" cm="1">
        <f t="array" ref="EF16">IFERROR(IF($EC$9="",IF($EC$11="",IF($EC$13="",INDEX(bhpc_data[description],SMALL(MATCH(ROW(bhpc_data[sku]),ROW(bhpc_data[sku])),ROWS($A$15:A21)+$B$3)),INDEX(bhpc_data[description],SMALL(IF(ISNUMBER(MATCH(bhpc_data[size1],$EC$13,0)),MATCH(ROW(bhpc_data[sku]),ROW(bhpc_data[sku])),""),ROWS($A$15:A21)+$B$3))),IF($EC$13="",INDEX(bhpc_data[description],SMALL(IF(ISNUMBER(MATCH(bhpc_data[sex],$EC$11,0)),MATCH(ROW(bhpc_data[sku]),ROW(bhpc_data[sku])),""),ROWS($A$15:A21)+$B$3)),INDEX(bhpc_data[description],SMALL(IF(ISNUMBER(MATCH(bhpc_data[sex],$EC$11,0)*MATCH(bhpc_data[size1],$EC$13,0)),MATCH(ROW(bhpc_data[sku]),ROW(bhpc_data[sku])),""),ROWS($A$15:A21)+$B$3)))),IF($EC$11="",IF($EC$13="",INDEX(bhpc_data[description],SMALL(IF(ISNUMBER(MATCH(bhpc_data[category],$EC$9,0)),MATCH(ROW(bhpc_data[sku]),ROW(bhpc_data[sku])),""),ROWS($A$15:A21)+$B$3)),INDEX(bhpc_data[description],SMALL(IF(ISNUMBER(MATCH(bhpc_data[category],$EC$9,0)*MATCH(bhpc_data[size1],$EC$13,0)),MATCH(ROW(bhpc_data[sku]),ROW(bhpc_data[sku])),""),ROWS($A$15:A21)+$B$3))),IF($EC$13="",INDEX(bhpc_data[description],SMALL(IF(ISNUMBER(MATCH(bhpc_data[category],$EC$9,0)*MATCH(bhpc_data[sex],$EC$11,0)),MATCH(ROW(bhpc_data[sku]),ROW(bhpc_data[sku])),""),ROWS($A$15:A21)+$B$3)),INDEX(bhpc_data[description],SMALL(IF(ISNUMBER(MATCH(bhpc_data[category],$EC$9,0)*MATCH(bhpc_data[sex],$EC$11,0)*MATCH(bhpc_data[size1],$EC$13,0)),MATCH(ROW(bhpc_data[sku]),ROW(bhpc_data[sku])),""),ROWS($A$15:A21)+$B$3))))),"")</f>
        <v>BHPC GIFT SET SPORT MEN 8 EDT 50ML + DEO 175ML</v>
      </c>
      <c r="EG16" s="263">
        <f>IFERROR(IF(warehouse[[#This Row],[SKU]]="","",INDEX(inventory[ESISTENZA],MATCH(warehouse[[#This Row],[SKU]],inventory[ARTICOLO],0))),"")</f>
        <v>437</v>
      </c>
      <c r="EH16" s="328"/>
      <c r="EI16" s="328"/>
      <c r="EJ16" s="263"/>
      <c r="EK16" s="113"/>
      <c r="FF16" s="413"/>
      <c r="FG16" s="413"/>
      <c r="FH16" s="413"/>
      <c r="FI16" s="413"/>
      <c r="FJ16" s="413"/>
      <c r="FK16" s="413"/>
      <c r="FL16" s="413"/>
      <c r="FM16" s="413"/>
      <c r="FN16" s="413"/>
      <c r="FO16" s="413"/>
      <c r="FP16" s="413"/>
      <c r="FQ16" s="413"/>
      <c r="FR16" s="413"/>
      <c r="FS16" s="413"/>
      <c r="FT16" s="413"/>
      <c r="FU16" s="413"/>
      <c r="FV16" s="413"/>
      <c r="FW16" s="413"/>
      <c r="FX16" s="413"/>
      <c r="FY16" s="413"/>
      <c r="FZ16" s="413"/>
      <c r="GA16" s="413"/>
      <c r="GB16" s="413"/>
      <c r="GC16" s="413"/>
      <c r="GD16" s="413"/>
      <c r="GE16" s="413"/>
      <c r="GF16" s="413"/>
      <c r="GG16" s="413"/>
      <c r="GH16" s="413"/>
      <c r="GI16" s="413"/>
      <c r="GJ16" s="413"/>
      <c r="GK16" s="413"/>
      <c r="GL16" s="413"/>
      <c r="GM16" s="413"/>
      <c r="GN16" s="413"/>
      <c r="GO16" s="413"/>
      <c r="GP16" s="413"/>
      <c r="GQ16" s="413"/>
      <c r="GR16" s="413"/>
      <c r="GS16" s="413"/>
      <c r="GT16" s="413"/>
      <c r="GU16" s="413"/>
      <c r="GV16" s="413"/>
      <c r="GW16" s="413"/>
      <c r="GX16" s="413"/>
      <c r="GY16" s="413"/>
      <c r="GZ16" s="413"/>
      <c r="HA16" s="413"/>
      <c r="HB16" s="413"/>
      <c r="HC16" s="413"/>
      <c r="HD16" s="413"/>
      <c r="HE16" s="413"/>
      <c r="HF16" s="413"/>
      <c r="HG16" s="413"/>
      <c r="HH16" s="413"/>
      <c r="HI16" s="413"/>
      <c r="HJ16" s="413"/>
      <c r="HK16" s="413"/>
      <c r="HL16" s="413"/>
      <c r="HM16" s="413"/>
      <c r="HN16" s="413"/>
      <c r="HO16" s="413"/>
      <c r="HP16" s="413"/>
      <c r="HQ16" s="413"/>
      <c r="HR16" s="413"/>
      <c r="HS16" s="413"/>
      <c r="HT16" s="413"/>
    </row>
    <row r="17" spans="1:228" ht="15" customHeight="1" thickBot="1" x14ac:dyDescent="0.4">
      <c r="A17" s="156" t="s">
        <v>627</v>
      </c>
      <c r="B17" s="157">
        <v>45349.332673611112</v>
      </c>
      <c r="D17" s="424" t="s">
        <v>1027</v>
      </c>
      <c r="F17" s="91"/>
      <c r="G17" s="99" t="s">
        <v>608</v>
      </c>
      <c r="H17" s="81"/>
      <c r="I17" s="81"/>
      <c r="J17" s="82"/>
      <c r="L17" s="539" t="str">
        <f t="array" ref="L17">IFERROR(IF($D$9="",IF($D$11="",IF($D$13="",IF($D$15="",INDEX(orderHistory[customer],SMALL(MATCH(ROW(orderHistory[customer]),ROW(orderHistory[customer])),ROWS($A$15:A22)+$B$3)),INDEX(orderHistory[customer],SMALL(IF(ISNUMBER(MATCH(YEAR(orderHistory[invoice_date]),$D$15,0)),MATCH(ROW(orderHistory[customer]),ROW(orderHistory[customer])),""),ROWS($A$15:A22)+$B$3))),IF($D$15="",INDEX(orderHistory[customer],SMALL(IF(ISNUMBER(MATCH(orderHistory[order_type],$D$13,0)),MATCH(ROW(orderHistory[customer]),ROW(orderHistory[customer])),""),ROWS($A$15:A22)+$B$3)),INDEX(orderHistory[customer],SMALL(IF(ISNUMBER(MATCH(orderHistory[order_type],$D$13,0)*MATCH(YEAR(orderHistory[invoice_date]),$D$15,0)),MATCH(ROW(orderHistory[customer]),ROW(orderHistory[customer])),""),ROWS($A$15:A22)+$B$3)))),IF($D$13="",IF($D$15="",INDEX(orderHistory[customer],SMALL(IF(ISNUMBER(MATCH(orderHistory[status],$D$11,0)),MATCH(ROW(orderHistory[customer]),ROW(orderHistory[customer])),""),ROWS($A$15:A22)+$B$3)),INDEX(orderHistory[customer],SMALL(IF(ISNUMBER(MATCH(orderHistory[status],$D$11,0)*MATCH(YEAR(orderHistory[invoice_date]),$D$15,0)),MATCH(ROW(orderHistory[customer]),ROW(orderHistory[customer])),""),ROWS($A$15:A22)+$B$3))),IF($D$15="",INDEX(orderHistory[customer],SMALL(IF(ISNUMBER(MATCH(orderHistory[status],$D$11,0)*MATCH(orderHistory[order_type],$D$13,0)),MATCH(ROW(orderHistory[customer]),ROW(orderHistory[customer])),""),ROWS($A$15:A22)+$B$3)),INDEX(orderHistory[customer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customer],SMALL(IF(ISNUMBER(MATCH(orderHistory[customer],$D$9,0)),MATCH(ROW(orderHistory[customer]),ROW(orderHistory[customer])),""),ROWS($A$15:A22)+$B$3)),INDEX(orderHistory[customer],SMALL(IF(ISNUMBER(MATCH(orderHistory[customer],$D$9,0)*MATCH(YEAR(orderHistory[invoice_date]),$D$15,0)),MATCH(ROW(orderHistory[customer]),ROW(orderHistory[customer])),""),ROWS($A$15:A22)+$B$3))),IF($D$15="",INDEX(orderHistory[customer],SMALL(IF(ISNUMBER(MATCH(orderHistory[customer],$D$9,0)*MATCH(orderHistory[order_type],$D$13,0)),MATCH(ROW(orderHistory[customer]),ROW(orderHistory[customer])),""),ROWS($A$15:A22)+$B$3)),INDEX(orderHistory[customer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customer],SMALL(IF(ISNUMBER(MATCH(orderHistory[customer],$D$9,0)*MATCH(orderHistory[status],$D$11,0)),MATCH(ROW(orderHistory[customer]),ROW(orderHistory[customer])),""),ROWS($A$15:A22)+$B$3)),INDEX(orderHistory[customer],SMALL(IF(ISNUMBER(MATCH(orderHistory[customer],$D$9,0)*MATCH(orderHistory[status],$D$11,0)*MATCH(YEAR(orderHistory[invoice_date]),$D$15,0)),MATCH(ROW(orderHistory[customer]),ROW(orderHistory[customer])),""),ROWS($A$15:A22)+$B$3))),IF($D$15="",INDEX(orderHistory[customer],SMALL(IF(ISNUMBER(MATCH(orderHistory[customer],$D$9,0)*MATCH(orderHistory[status],$D$11,0)*MATCH(orderHistory[order_type],$D$13,0)),MATCH(ROW(orderHistory[customer]),ROW(orderHistory[customer])),""),ROWS($A$15:A22)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NOOS</v>
      </c>
      <c r="M17" s="540">
        <f t="array" ref="M17">IFERROR(IF($D$9="",IF($D$11="",IF($D$13="",IF($D$15="",INDEX(orderHistory[order_no],SMALL(MATCH(ROW(orderHistory[customer]),ROW(orderHistory[customer])),ROWS($A$15:A22)+$B$3)),INDEX(orderHistory[order_no],SMALL(IF(ISNUMBER(MATCH(YEAR(orderHistory[invoice_date]),$D$15,0)),MATCH(ROW(orderHistory[customer]),ROW(orderHistory[customer])),""),ROWS($A$15:A22)+$B$3))),IF($D$15="",INDEX(orderHistory[order_no],SMALL(IF(ISNUMBER(MATCH(orderHistory[order_type],$D$13,0)),MATCH(ROW(orderHistory[customer]),ROW(orderHistory[customer])),""),ROWS($A$15:A22)+$B$3)),INDEX(orderHistory[order_no],SMALL(IF(ISNUMBER(MATCH(orderHistory[order_type],$D$13,0)*MATCH(YEAR(orderHistory[invoice_date]),$D$15,0)),MATCH(ROW(orderHistory[customer]),ROW(orderHistory[customer])),""),ROWS($A$15:A22)+$B$3)))),IF($D$13="",IF($D$15="",INDEX(orderHistory[order_no],SMALL(IF(ISNUMBER(MATCH(orderHistory[status],$D$11,0)),MATCH(ROW(orderHistory[customer]),ROW(orderHistory[customer])),""),ROWS($A$15:A22)+$B$3)),INDEX(orderHistory[order_no],SMALL(IF(ISNUMBER(MATCH(orderHistory[status],$D$11,0)*MATCH(YEAR(orderHistory[invoice_date]),$D$15,0)),MATCH(ROW(orderHistory[customer]),ROW(orderHistory[customer])),""),ROWS($A$15:A22)+$B$3))),IF($D$15="",INDEX(orderHistory[order_no],SMALL(IF(ISNUMBER(MATCH(orderHistory[status],$D$11,0)*MATCH(orderHistory[order_type],$D$13,0)),MATCH(ROW(orderHistory[customer]),ROW(orderHistory[customer])),""),ROWS($A$15:A22)+$B$3)),INDEX(orderHistory[order_no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no],SMALL(IF(ISNUMBER(MATCH(orderHistory[customer],$D$9,0)),MATCH(ROW(orderHistory[customer]),ROW(orderHistory[customer])),""),ROWS($A$15:A22)+$B$3)),INDEX(orderHistory[order_no],SMALL(IF(ISNUMBER(MATCH(orderHistory[customer],$D$9,0)*MATCH(YEAR(orderHistory[invoice_date]),$D$15,0)),MATCH(ROW(orderHistory[customer]),ROW(orderHistory[customer])),""),ROWS($A$15:A22)+$B$3))),IF($D$15="",INDEX(orderHistory[order_no],SMALL(IF(ISNUMBER(MATCH(orderHistory[customer],$D$9,0)*MATCH(orderHistory[order_type],$D$13,0)),MATCH(ROW(orderHistory[customer]),ROW(orderHistory[customer])),""),ROWS($A$15:A22)+$B$3)),INDEX(orderHistory[order_no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no],SMALL(IF(ISNUMBER(MATCH(orderHistory[customer],$D$9,0)*MATCH(orderHistory[status],$D$11,0)),MATCH(ROW(orderHistory[customer]),ROW(orderHistory[customer])),""),ROWS($A$15:A22)+$B$3)),INDEX(orderHistory[order_no],SMALL(IF(ISNUMBER(MATCH(orderHistory[customer],$D$9,0)*MATCH(orderHistory[status],$D$11,0)*MATCH(YEAR(orderHistory[invoice_date]),$D$15,0)),MATCH(ROW(orderHistory[customer]),ROW(orderHistory[customer])),""),ROWS($A$15:A22)+$B$3))),IF($D$15="",INDEX(orderHistory[order_no],SMALL(IF(ISNUMBER(MATCH(orderHistory[customer],$D$9,0)*MATCH(orderHistory[status],$D$11,0)*MATCH(orderHistory[order_type],$D$13,0)),MATCH(ROW(orderHistory[customer]),ROW(orderHistory[customer])),""),ROWS($A$15:A22)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20</v>
      </c>
      <c r="N17" s="541" t="str">
        <f t="array" ref="N17">IFERROR(IF($D$9="",IF($D$11="",IF($D$13="",IF($D$15="",INDEX(orderHistory[order_type],SMALL(MATCH(ROW(orderHistory[customer]),ROW(orderHistory[customer])),ROWS($A$15:A22)+$B$3)),INDEX(orderHistory[order_type],SMALL(IF(ISNUMBER(MATCH(YEAR(orderHistory[invoice_date]),$D$15,0)),MATCH(ROW(orderHistory[customer]),ROW(orderHistory[customer])),""),ROWS($A$15:A22)+$B$3))),IF($D$15="",INDEX(orderHistory[order_type],SMALL(IF(ISNUMBER(MATCH(orderHistory[order_type],$D$13,0)),MATCH(ROW(orderHistory[customer]),ROW(orderHistory[customer])),""),ROWS($A$15:A22)+$B$3)),INDEX(orderHistory[order_type],SMALL(IF(ISNUMBER(MATCH(orderHistory[order_type],$D$13,0)*MATCH(YEAR(orderHistory[invoice_date]),$D$15,0)),MATCH(ROW(orderHistory[customer]),ROW(orderHistory[customer])),""),ROWS($A$15:A22)+$B$3)))),IF($D$13="",IF($D$15="",INDEX(orderHistory[order_type],SMALL(IF(ISNUMBER(MATCH(orderHistory[status],$D$11,0)),MATCH(ROW(orderHistory[customer]),ROW(orderHistory[customer])),""),ROWS($A$15:A22)+$B$3)),INDEX(orderHistory[order_type],SMALL(IF(ISNUMBER(MATCH(orderHistory[status],$D$11,0)*MATCH(YEAR(orderHistory[invoice_date]),$D$15,0)),MATCH(ROW(orderHistory[customer]),ROW(orderHistory[customer])),""),ROWS($A$15:A22)+$B$3))),IF($D$15="",INDEX(orderHistory[order_type],SMALL(IF(ISNUMBER(MATCH(orderHistory[status],$D$11,0)*MATCH(orderHistory[order_type],$D$13,0)),MATCH(ROW(orderHistory[customer]),ROW(orderHistory[customer])),""),ROWS($A$15:A22)+$B$3)),INDEX(orderHistory[order_typ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type],SMALL(IF(ISNUMBER(MATCH(orderHistory[customer],$D$9,0)),MATCH(ROW(orderHistory[customer]),ROW(orderHistory[customer])),""),ROWS($A$15:A22)+$B$3)),INDEX(orderHistory[order_type],SMALL(IF(ISNUMBER(MATCH(orderHistory[customer],$D$9,0)*MATCH(YEAR(orderHistory[invoice_date]),$D$15,0)),MATCH(ROW(orderHistory[customer]),ROW(orderHistory[customer])),""),ROWS($A$15:A22)+$B$3))),IF($D$15="",INDEX(orderHistory[order_type],SMALL(IF(ISNUMBER(MATCH(orderHistory[customer],$D$9,0)*MATCH(orderHistory[order_type],$D$13,0)),MATCH(ROW(orderHistory[customer]),ROW(orderHistory[customer])),""),ROWS($A$15:A22)+$B$3)),INDEX(orderHistory[order_typ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type],SMALL(IF(ISNUMBER(MATCH(orderHistory[customer],$D$9,0)*MATCH(orderHistory[status],$D$11,0)),MATCH(ROW(orderHistory[customer]),ROW(orderHistory[customer])),""),ROWS($A$15:A22)+$B$3)),INDEX(orderHistory[order_type],SMALL(IF(ISNUMBER(MATCH(orderHistory[customer],$D$9,0)*MATCH(orderHistory[status],$D$11,0)*MATCH(YEAR(orderHistory[invoice_date]),$D$15,0)),MATCH(ROW(orderHistory[customer]),ROW(orderHistory[customer])),""),ROWS($A$15:A22)+$B$3))),IF($D$15="",INDEX(orderHistory[order_type],SMALL(IF(ISNUMBER(MATCH(orderHistory[customer],$D$9,0)*MATCH(orderHistory[status],$D$11,0)*MATCH(orderHistory[order_type],$D$13,0)),MATCH(ROW(orderHistory[customer]),ROW(orderHistory[customer])),""),ROWS($A$15:A22)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SAMPLING</v>
      </c>
      <c r="O17" s="542">
        <f t="array" ref="O17">IFERROR(IF($D$9="",IF($D$11="",IF($D$13="",IF($D$15="",INDEX(orderHistory[order_date],SMALL(MATCH(ROW(orderHistory[customer]),ROW(orderHistory[customer])),ROWS($A$15:A22)+$B$3)),INDEX(orderHistory[order_date],SMALL(IF(ISNUMBER(MATCH(YEAR(orderHistory[invoice_date]),$D$15,0)),MATCH(ROW(orderHistory[customer]),ROW(orderHistory[customer])),""),ROWS($A$15:A22)+$B$3))),IF($D$15="",INDEX(orderHistory[order_date],SMALL(IF(ISNUMBER(MATCH(orderHistory[order_type],$D$13,0)),MATCH(ROW(orderHistory[customer]),ROW(orderHistory[customer])),""),ROWS($A$15:A22)+$B$3)),INDEX(orderHistory[order_date],SMALL(IF(ISNUMBER(MATCH(orderHistory[order_type],$D$13,0)*MATCH(YEAR(orderHistory[invoice_date]),$D$15,0)),MATCH(ROW(orderHistory[customer]),ROW(orderHistory[customer])),""),ROWS($A$15:A22)+$B$3)))),IF($D$13="",IF($D$15="",INDEX(orderHistory[order_date],SMALL(IF(ISNUMBER(MATCH(orderHistory[status],$D$11,0)),MATCH(ROW(orderHistory[customer]),ROW(orderHistory[customer])),""),ROWS($A$15:A22)+$B$3)),INDEX(orderHistory[order_date],SMALL(IF(ISNUMBER(MATCH(orderHistory[status],$D$11,0)*MATCH(YEAR(orderHistory[invoice_date]),$D$15,0)),MATCH(ROW(orderHistory[customer]),ROW(orderHistory[customer])),""),ROWS($A$15:A22)+$B$3))),IF($D$15="",INDEX(orderHistory[order_date],SMALL(IF(ISNUMBER(MATCH(orderHistory[status],$D$11,0)*MATCH(orderHistory[order_type],$D$13,0)),MATCH(ROW(orderHistory[customer]),ROW(orderHistory[customer])),""),ROWS($A$15:A22)+$B$3)),INDEX(orderHistory[order_dat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date],SMALL(IF(ISNUMBER(MATCH(orderHistory[customer],$D$9,0)),MATCH(ROW(orderHistory[customer]),ROW(orderHistory[customer])),""),ROWS($A$15:A22)+$B$3)),INDEX(orderHistory[order_date],SMALL(IF(ISNUMBER(MATCH(orderHistory[customer],$D$9,0)*MATCH(YEAR(orderHistory[invoice_date]),$D$15,0)),MATCH(ROW(orderHistory[customer]),ROW(orderHistory[customer])),""),ROWS($A$15:A22)+$B$3))),IF($D$15="",INDEX(orderHistory[order_date],SMALL(IF(ISNUMBER(MATCH(orderHistory[customer],$D$9,0)*MATCH(orderHistory[order_type],$D$13,0)),MATCH(ROW(orderHistory[customer]),ROW(orderHistory[customer])),""),ROWS($A$15:A22)+$B$3)),INDEX(orderHistory[order_dat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date],SMALL(IF(ISNUMBER(MATCH(orderHistory[customer],$D$9,0)*MATCH(orderHistory[status],$D$11,0)),MATCH(ROW(orderHistory[customer]),ROW(orderHistory[customer])),""),ROWS($A$15:A22)+$B$3)),INDEX(orderHistory[order_date],SMALL(IF(ISNUMBER(MATCH(orderHistory[customer],$D$9,0)*MATCH(orderHistory[status],$D$11,0)*MATCH(YEAR(orderHistory[invoice_date]),$D$15,0)),MATCH(ROW(orderHistory[customer]),ROW(orderHistory[customer])),""),ROWS($A$15:A22)+$B$3))),IF($D$15="",INDEX(orderHistory[order_date],SMALL(IF(ISNUMBER(MATCH(orderHistory[customer],$D$9,0)*MATCH(orderHistory[status],$D$11,0)*MATCH(orderHistory[order_type],$D$13,0)),MATCH(ROW(orderHistory[customer]),ROW(orderHistory[customer])),""),ROWS($A$15:A22)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45352</v>
      </c>
      <c r="P17" s="543">
        <f t="array" ref="P17">IFERROR(IF($D$9="",IF($D$11="",IF($D$13="",IF($D$15="",INDEX(orderHistory[invoice_no],SMALL(MATCH(ROW(orderHistory[customer]),ROW(orderHistory[customer])),ROWS($A$15:A22)+$B$3)),INDEX(orderHistory[invoice_no],SMALL(IF(ISNUMBER(MATCH(YEAR(orderHistory[invoice_date]),$D$15,0)),MATCH(ROW(orderHistory[customer]),ROW(orderHistory[customer])),""),ROWS($A$15:A22)+$B$3))),IF($D$15="",INDEX(orderHistory[invoice_no],SMALL(IF(ISNUMBER(MATCH(orderHistory[order_type],$D$13,0)),MATCH(ROW(orderHistory[customer]),ROW(orderHistory[customer])),""),ROWS($A$15:A22)+$B$3)),INDEX(orderHistory[invoice_no],SMALL(IF(ISNUMBER(MATCH(orderHistory[order_type],$D$13,0)*MATCH(YEAR(orderHistory[invoice_date]),$D$15,0)),MATCH(ROW(orderHistory[customer]),ROW(orderHistory[customer])),""),ROWS($A$15:A22)+$B$3)))),IF($D$13="",IF($D$15="",INDEX(orderHistory[invoice_no],SMALL(IF(ISNUMBER(MATCH(orderHistory[status],$D$11,0)),MATCH(ROW(orderHistory[customer]),ROW(orderHistory[customer])),""),ROWS($A$15:A22)+$B$3)),INDEX(orderHistory[invoice_no],SMALL(IF(ISNUMBER(MATCH(orderHistory[status],$D$11,0)*MATCH(YEAR(orderHistory[invoice_date]),$D$15,0)),MATCH(ROW(orderHistory[customer]),ROW(orderHistory[customer])),""),ROWS($A$15:A22)+$B$3))),IF($D$15="",INDEX(orderHistory[invoice_no],SMALL(IF(ISNUMBER(MATCH(orderHistory[status],$D$11,0)*MATCH(orderHistory[order_type],$D$13,0)),MATCH(ROW(orderHistory[customer]),ROW(orderHistory[customer])),""),ROWS($A$15:A22)+$B$3)),INDEX(orderHistory[invoice_no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oice_no],SMALL(IF(ISNUMBER(MATCH(orderHistory[customer],$D$9,0)),MATCH(ROW(orderHistory[customer]),ROW(orderHistory[customer])),""),ROWS($A$15:A22)+$B$3)),INDEX(orderHistory[invoice_no],SMALL(IF(ISNUMBER(MATCH(orderHistory[customer],$D$9,0)*MATCH(YEAR(orderHistory[invoice_date]),$D$15,0)),MATCH(ROW(orderHistory[customer]),ROW(orderHistory[customer])),""),ROWS($A$15:A22)+$B$3))),IF($D$15="",INDEX(orderHistory[invoice_no],SMALL(IF(ISNUMBER(MATCH(orderHistory[customer],$D$9,0)*MATCH(orderHistory[order_type],$D$13,0)),MATCH(ROW(orderHistory[customer]),ROW(orderHistory[customer])),""),ROWS($A$15:A22)+$B$3)),INDEX(orderHistory[invoice_no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YEAR(orderHistory[invoice_date]),$D$15,0)),MATCH(ROW(orderHistory[customer]),ROW(orderHistory[customer])),""),ROWS($A$15:A22)+$B$3))),IF($D$15="",INDEX(orderHistory[invoice_no],SMALL(IF(ISNUMBER(MATCH(orderHistory[customer],$D$9,0)*MATCH(orderHistory[status],$D$11,0)*MATCH(orderHistory[order_type],$D$13,0)),MATCH(ROW(orderHistory[customer]),ROW(orderHistory[customer])),""),ROWS($A$15:A22)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0</v>
      </c>
      <c r="Q17" s="544">
        <f t="array" ref="Q17">IFERROR(IF($D$9="",IF($D$11="",IF($D$13="",IF($D$15="",INDEX(orderHistory[invoice_date],SMALL(MATCH(ROW(orderHistory[customer]),ROW(orderHistory[customer])),ROWS($A$15:A22)+$B$3)),INDEX(orderHistory[invoice_date],SMALL(IF(ISNUMBER(MATCH(YEAR(orderHistory[invoice_date]),$D$15,0)),MATCH(ROW(orderHistory[customer]),ROW(orderHistory[customer])),""),ROWS($A$15:A22)+$B$3))),IF($D$15="",INDEX(orderHistory[invoice_date],SMALL(IF(ISNUMBER(MATCH(orderHistory[order_type],$D$13,0)),MATCH(ROW(orderHistory[customer]),ROW(orderHistory[customer])),""),ROWS($A$15:A22)+$B$3)),INDEX(orderHistory[invoice_date],SMALL(IF(ISNUMBER(MATCH(orderHistory[order_type],$D$13,0)*MATCH(YEAR(orderHistory[invoice_date]),$D$15,0)),MATCH(ROW(orderHistory[customer]),ROW(orderHistory[customer])),""),ROWS($A$15:A22)+$B$3)))),IF($D$13="",IF($D$15="",INDEX(orderHistory[invoice_date],SMALL(IF(ISNUMBER(MATCH(orderHistory[status],$D$11,0)),MATCH(ROW(orderHistory[customer]),ROW(orderHistory[customer])),""),ROWS($A$15:A22)+$B$3)),INDEX(orderHistory[invoice_date],SMALL(IF(ISNUMBER(MATCH(orderHistory[status],$D$11,0)*MATCH(YEAR(orderHistory[invoice_date]),$D$15,0)),MATCH(ROW(orderHistory[customer]),ROW(orderHistory[customer])),""),ROWS($A$15:A22)+$B$3))),IF($D$15="",INDEX(orderHistory[invoice_date],SMALL(IF(ISNUMBER(MATCH(orderHistory[status],$D$11,0)*MATCH(orderHistory[order_type],$D$13,0)),MATCH(ROW(orderHistory[customer]),ROW(orderHistory[customer])),""),ROWS($A$15:A22)+$B$3)),INDEX(orderHistory[invoice_dat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oice_date],SMALL(IF(ISNUMBER(MATCH(orderHistory[customer],$D$9,0)),MATCH(ROW(orderHistory[customer]),ROW(orderHistory[customer])),""),ROWS($A$15:A22)+$B$3)),INDEX(orderHistory[invoice_date],SMALL(IF(ISNUMBER(MATCH(orderHistory[customer],$D$9,0)*MATCH(YEAR(orderHistory[invoice_date]),$D$15,0)),MATCH(ROW(orderHistory[customer]),ROW(orderHistory[customer])),""),ROWS($A$15:A22)+$B$3))),IF($D$15="",INDEX(orderHistory[invoice_date],SMALL(IF(ISNUMBER(MATCH(orderHistory[customer],$D$9,0)*MATCH(orderHistory[order_type],$D$13,0)),MATCH(ROW(orderHistory[customer]),ROW(orderHistory[customer])),""),ROWS($A$15:A22)+$B$3)),INDEX(orderHistory[invoice_dat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YEAR(orderHistory[invoice_date]),$D$15,0)),MATCH(ROW(orderHistory[customer]),ROW(orderHistory[customer])),""),ROWS($A$15:A22)+$B$3))),IF($D$15="",INDEX(orderHistory[invoice_date],SMALL(IF(ISNUMBER(MATCH(orderHistory[customer],$D$9,0)*MATCH(orderHistory[status],$D$11,0)*MATCH(orderHistory[order_type],$D$13,0)),MATCH(ROW(orderHistory[customer]),ROW(orderHistory[customer])),""),ROWS($A$15:A22)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0</v>
      </c>
      <c r="R17" s="545">
        <f t="array" ref="R17">IFERROR(IF($D$9="",IF($D$11="",IF($D$13="",IF($D$15="",INDEX(orderHistory[inv_amount],SMALL(MATCH(ROW(orderHistory[customer]),ROW(orderHistory[customer])),ROWS($A$15:A22)+$B$3)),INDEX(orderHistory[inv_amount],SMALL(IF(ISNUMBER(MATCH(YEAR(orderHistory[invoice_date]),$D$15,0)),MATCH(ROW(orderHistory[customer]),ROW(orderHistory[customer])),""),ROWS($A$15:A22)+$B$3))),IF($D$15="",INDEX(orderHistory[inv_amount],SMALL(IF(ISNUMBER(MATCH(orderHistory[order_type],$D$13,0)),MATCH(ROW(orderHistory[customer]),ROW(orderHistory[customer])),""),ROWS($A$15:A22)+$B$3)),INDEX(orderHistory[inv_amount],SMALL(IF(ISNUMBER(MATCH(orderHistory[order_type],$D$13,0)*MATCH(YEAR(orderHistory[invoice_date]),$D$15,0)),MATCH(ROW(orderHistory[customer]),ROW(orderHistory[customer])),""),ROWS($A$15:A22)+$B$3)))),IF($D$13="",IF($D$15="",INDEX(orderHistory[inv_amount],SMALL(IF(ISNUMBER(MATCH(orderHistory[status],$D$11,0)),MATCH(ROW(orderHistory[customer]),ROW(orderHistory[customer])),""),ROWS($A$15:A22)+$B$3)),INDEX(orderHistory[inv_amount],SMALL(IF(ISNUMBER(MATCH(orderHistory[status],$D$11,0)*MATCH(YEAR(orderHistory[invoice_date]),$D$15,0)),MATCH(ROW(orderHistory[customer]),ROW(orderHistory[customer])),""),ROWS($A$15:A22)+$B$3))),IF($D$15="",INDEX(orderHistory[inv_amount],SMALL(IF(ISNUMBER(MATCH(orderHistory[status],$D$11,0)*MATCH(orderHistory[order_type],$D$13,0)),MATCH(ROW(orderHistory[customer]),ROW(orderHistory[customer])),""),ROWS($A$15:A22)+$B$3)),INDEX(orderHistory[inv_amount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_amount],SMALL(IF(ISNUMBER(MATCH(orderHistory[customer],$D$9,0)),MATCH(ROW(orderHistory[customer]),ROW(orderHistory[customer])),""),ROWS($A$15:A22)+$B$3)),INDEX(orderHistory[inv_amount],SMALL(IF(ISNUMBER(MATCH(orderHistory[customer],$D$9,0)*MATCH(YEAR(orderHistory[invoice_date]),$D$15,0)),MATCH(ROW(orderHistory[customer]),ROW(orderHistory[customer])),""),ROWS($A$15:A22)+$B$3))),IF($D$15="",INDEX(orderHistory[inv_amount],SMALL(IF(ISNUMBER(MATCH(orderHistory[customer],$D$9,0)*MATCH(orderHistory[order_type],$D$13,0)),MATCH(ROW(orderHistory[customer]),ROW(orderHistory[customer])),""),ROWS($A$15:A22)+$B$3)),INDEX(orderHistory[inv_amount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_amount],SMALL(IF(ISNUMBER(MATCH(orderHistory[customer],$D$9,0)*MATCH(orderHistory[status],$D$11,0)),MATCH(ROW(orderHistory[customer]),ROW(orderHistory[customer])),""),ROWS($A$15:A22)+$B$3)),INDEX(orderHistory[inv_amount],SMALL(IF(ISNUMBER(MATCH(orderHistory[customer],$D$9,0)*MATCH(orderHistory[status],$D$11,0)*MATCH(YEAR(orderHistory[inv_amount]),$D$15,0)),MATCH(ROW(orderHistory[customer]),ROW(orderHistory[customer])),""),ROWS($A$15:A22)+$B$3))),IF($D$15="",INDEX(orderHistory[inv_amount],SMALL(IF(ISNUMBER(MATCH(orderHistory[customer],$D$9,0)*MATCH(orderHistory[status],$D$11,0)*MATCH(orderHistory[order_type],$D$13,0)),MATCH(ROW(orderHistory[customer]),ROW(orderHistory[customer])),""),ROWS($A$15:A22)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0</v>
      </c>
      <c r="S17" s="546">
        <f t="shared" si="2"/>
        <v>0</v>
      </c>
      <c r="T17" s="547" t="b">
        <f t="array" ref="T17">IFERROR(IF($D$9="",IF($D$11="",IF($D$13="",IF($D$15="",INDEX(orderHistory[payed],SMALL(MATCH(ROW(orderHistory[customer]),ROW(orderHistory[customer])),ROWS($A$15:A22)+$B$3)),INDEX(orderHistory[payed],SMALL(IF(ISNUMBER(MATCH(YEAR(orderHistory[invoice_date]),$D$15,0)),MATCH(ROW(orderHistory[customer]),ROW(orderHistory[customer])),""),ROWS($A$15:A22)+$B$3))),IF($D$15="",INDEX(orderHistory[payed],SMALL(IF(ISNUMBER(MATCH(orderHistory[order_type],$D$13,0)),MATCH(ROW(orderHistory[customer]),ROW(orderHistory[customer])),""),ROWS($A$15:A22)+$B$3)),INDEX(orderHistory[payed],SMALL(IF(ISNUMBER(MATCH(orderHistory[order_type],$D$13,0)*MATCH(YEAR(orderHistory[invoice_date]),$D$15,0)),MATCH(ROW(orderHistory[customer]),ROW(orderHistory[customer])),""),ROWS($A$15:A22)+$B$3)))),IF($D$13="",IF($D$15="",INDEX(orderHistory[payed],SMALL(IF(ISNUMBER(MATCH(orderHistory[status],$D$11,0)),MATCH(ROW(orderHistory[customer]),ROW(orderHistory[customer])),""),ROWS($A$15:A22)+$B$3)),INDEX(orderHistory[payed],SMALL(IF(ISNUMBER(MATCH(orderHistory[status],$D$11,0)*MATCH(YEAR(orderHistory[invoice_date]),$D$15,0)),MATCH(ROW(orderHistory[customer]),ROW(orderHistory[customer])),""),ROWS($A$15:A22)+$B$3))),IF($D$15="",INDEX(orderHistory[payed],SMALL(IF(ISNUMBER(MATCH(orderHistory[status],$D$11,0)*MATCH(orderHistory[order_type],$D$13,0)),MATCH(ROW(orderHistory[customer]),ROW(orderHistory[customer])),""),ROWS($A$15:A22)+$B$3)),INDEX(orderHistory[payed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payed],SMALL(IF(ISNUMBER(MATCH(orderHistory[customer],$D$9,0)),MATCH(ROW(orderHistory[customer]),ROW(orderHistory[customer])),""),ROWS($A$15:A22)+$B$3)),INDEX(orderHistory[payed],SMALL(IF(ISNUMBER(MATCH(orderHistory[customer],$D$9,0)*MATCH(YEAR(orderHistory[invoice_date]),$D$15,0)),MATCH(ROW(orderHistory[customer]),ROW(orderHistory[customer])),""),ROWS($A$15:A22)+$B$3))),IF($D$15="",INDEX(orderHistory[payed],SMALL(IF(ISNUMBER(MATCH(orderHistory[customer],$D$9,0)*MATCH(orderHistory[order_type],$D$13,0)),MATCH(ROW(orderHistory[customer]),ROW(orderHistory[customer])),""),ROWS($A$15:A22)+$B$3)),INDEX(orderHistory[payed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payed],SMALL(IF(ISNUMBER(MATCH(orderHistory[customer],$D$9,0)*MATCH(orderHistory[status],$D$11,0)),MATCH(ROW(orderHistory[customer]),ROW(orderHistory[customer])),""),ROWS($A$15:A22)+$B$3)),INDEX(orderHistory[payed],SMALL(IF(ISNUMBER(MATCH(orderHistory[customer],$D$9,0)*MATCH(orderHistory[status],$D$11,0)*MATCH(YEAR(orderHistory[payed]),$D$15,0)),MATCH(ROW(orderHistory[customer]),ROW(orderHistory[customer])),""),ROWS($A$15:A22)+$B$3))),IF($D$15="",INDEX(orderHistory[payed],SMALL(IF(ISNUMBER(MATCH(orderHistory[customer],$D$9,0)*MATCH(orderHistory[status],$D$11,0)*MATCH(orderHistory[order_type],$D$13,0)),MATCH(ROW(orderHistory[customer]),ROW(orderHistory[customer])),""),ROWS($A$15:A22)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1</v>
      </c>
      <c r="U17" s="541" t="str">
        <f t="array" ref="U17">IFERROR(IF($D$9="",IF($D$11="",IF($D$13="",IF($D$15="",INDEX(orderHistory[shipping_method],SMALL(MATCH(ROW(orderHistory[customer]),ROW(orderHistory[customer])),ROWS($A$15:A22)+$B$3)),INDEX(orderHistory[shipping_method],SMALL(IF(ISNUMBER(MATCH(YEAR(orderHistory[invoice_date]),$D$15,0)),MATCH(ROW(orderHistory[customer]),ROW(orderHistory[customer])),""),ROWS($A$15:A22)+$B$3))),IF($D$15="",INDEX(orderHistory[shipping_method],SMALL(IF(ISNUMBER(MATCH(orderHistory[order_type],$D$13,0)),MATCH(ROW(orderHistory[customer]),ROW(orderHistory[customer])),""),ROWS($A$15:A22)+$B$3)),INDEX(orderHistory[shipping_method],SMALL(IF(ISNUMBER(MATCH(orderHistory[order_type],$D$13,0)*MATCH(YEAR(orderHistory[invoice_date]),$D$15,0)),MATCH(ROW(orderHistory[customer]),ROW(orderHistory[customer])),""),ROWS($A$15:A22)+$B$3)))),IF($D$13="",IF($D$15="",INDEX(orderHistory[shipping_method],SMALL(IF(ISNUMBER(MATCH(orderHistory[status],$D$11,0)),MATCH(ROW(orderHistory[customer]),ROW(orderHistory[customer])),""),ROWS($A$15:A22)+$B$3)),INDEX(orderHistory[shipping_method],SMALL(IF(ISNUMBER(MATCH(orderHistory[status],$D$11,0)*MATCH(YEAR(orderHistory[invoice_date]),$D$15,0)),MATCH(ROW(orderHistory[customer]),ROW(orderHistory[customer])),""),ROWS($A$15:A22)+$B$3))),IF($D$15="",INDEX(orderHistory[shipping_method],SMALL(IF(ISNUMBER(MATCH(orderHistory[status],$D$11,0)*MATCH(orderHistory[order_type],$D$13,0)),MATCH(ROW(orderHistory[customer]),ROW(orderHistory[customer])),""),ROWS($A$15:A22)+$B$3)),INDEX(orderHistory[shipping_method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shipping_method],SMALL(IF(ISNUMBER(MATCH(orderHistory[customer],$D$9,0)),MATCH(ROW(orderHistory[customer]),ROW(orderHistory[customer])),""),ROWS($A$15:A22)+$B$3)),INDEX(orderHistory[shipping_method],SMALL(IF(ISNUMBER(MATCH(orderHistory[customer],$D$9,0)*MATCH(YEAR(orderHistory[invoice_date]),$D$15,0)),MATCH(ROW(orderHistory[customer]),ROW(orderHistory[customer])),""),ROWS($A$15:A22)+$B$3))),IF($D$15="",INDEX(orderHistory[shipping_method],SMALL(IF(ISNUMBER(MATCH(orderHistory[customer],$D$9,0)*MATCH(orderHistory[order_type],$D$13,0)),MATCH(ROW(orderHistory[customer]),ROW(orderHistory[customer])),""),ROWS($A$15:A22)+$B$3)),INDEX(orderHistory[shipping_method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shipping_method],SMALL(IF(ISNUMBER(MATCH(orderHistory[customer],$D$9,0)*MATCH(orderHistory[status],$D$11,0)),MATCH(ROW(orderHistory[customer]),ROW(orderHistory[customer])),""),ROWS($A$15:A22)+$B$3)),INDEX(orderHistory[shipping_method],SMALL(IF(ISNUMBER(MATCH(orderHistory[customer],$D$9,0)*MATCH(orderHistory[status],$D$11,0)*MATCH(YEAR(orderHistory[shipping_method]),$D$15,0)),MATCH(ROW(orderHistory[customer]),ROW(orderHistory[customer])),""),ROWS($A$15:A22)+$B$3))),IF($D$15="",INDEX(orderHistory[shipping_method],SMALL(IF(ISNUMBER(MATCH(orderHistory[customer],$D$9,0)*MATCH(orderHistory[status],$D$11,0)*MATCH(orderHistory[order_type],$D$13,0)),MATCH(ROW(orderHistory[customer]),ROW(orderHistory[customer])),""),ROWS($A$15:A22)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BY ROAD</v>
      </c>
      <c r="V17" s="548" t="str">
        <f t="array" ref="V17">IFERROR(IF($D$9="",IF($D$11="",IF($D$13="",IF($D$15="",INDEX(orderHistory[status],SMALL(MATCH(ROW(orderHistory[customer]),ROW(orderHistory[customer])),ROWS($A$15:A22)+$B$3)),INDEX(orderHistory[status],SMALL(IF(ISNUMBER(MATCH(YEAR(orderHistory[invoice_date]),$D$15,0)),MATCH(ROW(orderHistory[customer]),ROW(orderHistory[customer])),""),ROWS($A$15:A22)+$B$3))),IF($D$15="",INDEX(orderHistory[status],SMALL(IF(ISNUMBER(MATCH(orderHistory[order_type],$D$13,0)),MATCH(ROW(orderHistory[customer]),ROW(orderHistory[customer])),""),ROWS($A$15:A22)+$B$3)),INDEX(orderHistory[status],SMALL(IF(ISNUMBER(MATCH(orderHistory[order_type],$D$13,0)*MATCH(YEAR(orderHistory[invoice_date]),$D$15,0)),MATCH(ROW(orderHistory[customer]),ROW(orderHistory[customer])),""),ROWS($A$15:A22)+$B$3)))),IF($D$13="",IF($D$15="",INDEX(orderHistory[status],SMALL(IF(ISNUMBER(MATCH(orderHistory[status],$D$11,0)),MATCH(ROW(orderHistory[customer]),ROW(orderHistory[customer])),""),ROWS($A$15:A22)+$B$3)),INDEX(orderHistory[status],SMALL(IF(ISNUMBER(MATCH(orderHistory[status],$D$11,0)*MATCH(YEAR(orderHistory[invoice_date]),$D$15,0)),MATCH(ROW(orderHistory[customer]),ROW(orderHistory[customer])),""),ROWS($A$15:A22)+$B$3))),IF($D$15="",INDEX(orderHistory[status],SMALL(IF(ISNUMBER(MATCH(orderHistory[status],$D$11,0)*MATCH(orderHistory[order_type],$D$13,0)),MATCH(ROW(orderHistory[customer]),ROW(orderHistory[customer])),""),ROWS($A$15:A22)+$B$3)),INDEX(orderHistory[status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status],SMALL(IF(ISNUMBER(MATCH(orderHistory[customer],$D$9,0)),MATCH(ROW(orderHistory[customer]),ROW(orderHistory[customer])),""),ROWS($A$15:A22)+$B$3)),INDEX(orderHistory[status],SMALL(IF(ISNUMBER(MATCH(orderHistory[customer],$D$9,0)*MATCH(YEAR(orderHistory[invoice_date]),$D$15,0)),MATCH(ROW(orderHistory[customer]),ROW(orderHistory[customer])),""),ROWS($A$15:A22)+$B$3))),IF($D$15="",INDEX(orderHistory[status],SMALL(IF(ISNUMBER(MATCH(orderHistory[customer],$D$9,0)*MATCH(orderHistory[order_type],$D$13,0)),MATCH(ROW(orderHistory[customer]),ROW(orderHistory[customer])),""),ROWS($A$15:A22)+$B$3)),INDEX(orderHistory[status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status],SMALL(IF(ISNUMBER(MATCH(orderHistory[customer],$D$9,0)*MATCH(orderHistory[status],$D$11,0)),MATCH(ROW(orderHistory[customer]),ROW(orderHistory[customer])),""),ROWS($A$15:A22)+$B$3)),INDEX(orderHistory[status],SMALL(IF(ISNUMBER(MATCH(orderHistory[customer],$D$9,0)*MATCH(orderHistory[status],$D$11,0)*MATCH(YEAR(orderHistory[status]),$D$15,0)),MATCH(ROW(orderHistory[customer]),ROW(orderHistory[customer])),""),ROWS($A$15:A22)+$B$3))),IF($D$15="",INDEX(orderHistory[status],SMALL(IF(ISNUMBER(MATCH(orderHistory[customer],$D$9,0)*MATCH(orderHistory[status],$D$11,0)*MATCH(orderHistory[order_type],$D$13,0)),MATCH(ROW(orderHistory[customer]),ROW(orderHistory[customer])),""),ROWS($A$15:A22)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SHIPPED</v>
      </c>
      <c r="W17" s="107"/>
      <c r="AO17" s="423"/>
      <c r="AQ17" s="457"/>
      <c r="AR17" s="458"/>
      <c r="AS17" s="458"/>
      <c r="AT17" s="458"/>
      <c r="AU17" s="420"/>
      <c r="AW17" s="462"/>
      <c r="AX17" s="472"/>
      <c r="AZ17" s="484"/>
      <c r="BD17" s="482"/>
      <c r="BE17" s="428"/>
      <c r="BF17" s="428"/>
      <c r="BG17" s="483"/>
      <c r="BH17" s="428"/>
      <c r="BJ17" s="428"/>
      <c r="BK17" s="450"/>
      <c r="BL17" s="451"/>
      <c r="BM17" s="452"/>
      <c r="BN17" s="451"/>
      <c r="BO17" s="452"/>
      <c r="BX17" s="424"/>
      <c r="BZ17" s="158"/>
      <c r="CA17" s="154" t="str">
        <f>IF(BZ17="","",INDEX(bhpc_data[description],MATCH(BZ17,bhpc_data[sku],0)))</f>
        <v/>
      </c>
      <c r="CB17" s="159"/>
      <c r="CC17" s="357"/>
      <c r="CD17" s="260"/>
      <c r="CE17" s="360"/>
      <c r="CF17" s="161"/>
      <c r="CG17" s="164" t="str">
        <f>IFERROR(ROUNDUP(CB17/INDEX(bhpc_data[units_per_carton],MATCH(BZ17,bhpc_data[sku],0)),0),"")</f>
        <v/>
      </c>
      <c r="CH17" s="165" t="str">
        <f>IFERROR(ROUNDUP(CD17/INDEX(bhpc_data[units_per_carton],MATCH(BZ17,bhpc_data[sku],0)),0),"")</f>
        <v/>
      </c>
      <c r="CI17" s="165" t="str">
        <f>IFERROR(ROUNDUP(CF17/INDEX(bhpc_data[units_per_carton],MATCH(BZ17,bhpc_data[sku])),0),"")</f>
        <v/>
      </c>
      <c r="CJ17" s="165" t="str">
        <f>IFERROR(((CB17+CD17+CF17)/INDEX(bhpc_data[units_per_carton],MATCH(BZ17,bhpc_data[sku],0)))*INDEX(bhpc_data[net_weight],MATCH(BZ17,bhpc_data[sku],0)),"")</f>
        <v/>
      </c>
      <c r="CK17" s="165" t="str">
        <f>IFERROR(((CB17+CD17+CF17)/INDEX(bhpc_data[units_per_carton],MATCH(BZ17,bhpc_data[sku],0)))*INDEX(bhpc_data[gross_weight],MATCH(BZ17,bhpc_data[sku],0)),"")</f>
        <v/>
      </c>
      <c r="CL17" s="180" t="str">
        <f>IFERROR((CB17+CD17+CF17)/INDEX(bhpc_data[units_per_carton],MATCH(BZ17,bhpc_data[sku],0))*INDEX(bhpc_data[lenght],MATCH(BZ17,bhpc_data[sku],0))*INDEX(bhpc_data[width],MATCH(BZ17,bhpc_data[sku],0))*INDEX(bhpc_data[height],MATCH(BZ17,bhpc_data[sku],0))/1000000000,"")</f>
        <v/>
      </c>
      <c r="CM17" s="189" t="str">
        <f>IFERROR(INDEX(bhpc_data[category],MATCH(BZ17,bhpc_data[sku],0)),"")</f>
        <v/>
      </c>
      <c r="CN17" s="189" t="str">
        <f>IFERROR(INDEX(bhpc_data[size1],MATCH(BZ17,bhpc_data[sku],0)),"")</f>
        <v/>
      </c>
      <c r="CO17" s="388" t="str">
        <f>IFERROR(INDEX(bhpc_data[hs_code],MATCH(BZ17,bhpc_data[sku],0)),"")</f>
        <v/>
      </c>
      <c r="CP17" s="377" t="str">
        <f>IFERROR(INDEX(inventory[ESISTENZA],MATCH(BZ17,inventory[ARTICOLO],0)),"")</f>
        <v/>
      </c>
      <c r="CQ17" s="364" t="str">
        <f>IFERROR(IF(BZ17="","",IF($BX$15="SALE",INDEX(inventory[COSTO UNITARIO],MATCH(BZ17,inventory[ARTICOLO],0)),IF($BX$15="SAMPLING",INDEX(inventory[COSTO UNITARIO],MATCH(BZ17,inventory[ARTICOLO],0)),""))),"")</f>
        <v/>
      </c>
      <c r="CR17" s="365" t="str">
        <f t="shared" si="0"/>
        <v/>
      </c>
      <c r="CS17" s="264" t="str">
        <f t="shared" si="1"/>
        <v/>
      </c>
      <c r="CU17" s="85"/>
      <c r="CV17" s="89" t="s">
        <v>607</v>
      </c>
      <c r="CW17" s="282">
        <f>IFERROR(CONCATENATE(ROUND(1/($CW$16/SUMIF($CF$10:$CF$110,"&lt;&gt;""",$CB$10:$CB$110)),1),":1"),0)</f>
        <v>0</v>
      </c>
      <c r="CX17" s="89"/>
      <c r="CY17" s="81"/>
      <c r="CZ17" s="82"/>
      <c r="DA17" s="432" t="str">
        <f>IFERROR(VLOOKUP(BZ17,bhpc_data[],22,FALSE),"")</f>
        <v/>
      </c>
      <c r="DH17" s="296"/>
      <c r="EE17" s="202" t="str" cm="1">
        <f t="array" ref="EE17">IFERROR(IF($EC$9="",IF($EC$11="",IF($EC$13="",INDEX(bhpc_data[sku],SMALL(MATCH(ROW(bhpc_data[sku]),ROW(bhpc_data[sku])),ROWS($A$15:A22)+$B$3)),INDEX(bhpc_data[sku],SMALL(IF(ISNUMBER(MATCH(bhpc_data[size1],$EC$13,0)),MATCH(ROW(bhpc_data[sku]),ROW(bhpc_data[sku])),""),ROWS($A$15:A22)+$B$3))),IF($EC$13="",INDEX(bhpc_data[sku],SMALL(IF(ISNUMBER(MATCH(bhpc_data[sex],$EC$11,0)),MATCH(ROW(bhpc_data[sku]),ROW(bhpc_data[sku])),""),ROWS($A$15:A22)+$B$3)),INDEX(bhpc_data[sku],SMALL(IF(ISNUMBER(MATCH(bhpc_data[sex],$EC$11,0)*MATCH(bhpc_data[size1],$EC$13,0)),MATCH(ROW(bhpc_data[sku]),ROW(bhpc_data[sku])),""),ROWS($A$15:A22)+$B$3)))),IF($EC$11="",IF($EC$13="",INDEX(bhpc_data[sku],SMALL(IF(ISNUMBER(MATCH(bhpc_data[category],$EC$9,0)),MATCH(ROW(bhpc_data[sku]),ROW(bhpc_data[sku])),""),ROWS($A$15:A22)+$B$3)),INDEX(bhpc_data[sku],SMALL(IF(ISNUMBER(MATCH(bhpc_data[category],$EC$9,0)*MATCH(bhpc_data[size1],$EC$13,0)),MATCH(ROW(bhpc_data[sku]),ROW(bhpc_data[sku])),""),ROWS($A$15:A22)+$B$3))),IF($EC$13="",INDEX(bhpc_data[sku],SMALL(IF(ISNUMBER(MATCH(bhpc_data[category],$EC$9,0)*MATCH(bhpc_data[sex],$EC$11,0)),MATCH(ROW(bhpc_data[sku]),ROW(bhpc_data[sku])),""),ROWS($A$15:A22)+$B$3)),INDEX(bhpc_data[sku],SMALL(IF(ISNUMBER(MATCH(bhpc_data[category],$EC$9,0)*MATCH(bhpc_data[sex],$EC$11,0)*MATCH(bhpc_data[size1],$EC$13,0)),MATCH(ROW(bhpc_data[sku]),ROW(bhpc_data[sku])),""),ROWS($A$15:A22)+$B$3))))),"")</f>
        <v>GS5011</v>
      </c>
      <c r="EF17" s="198" t="str" cm="1">
        <f t="array" ref="EF17">IFERROR(IF($EC$9="",IF($EC$11="",IF($EC$13="",INDEX(bhpc_data[description],SMALL(MATCH(ROW(bhpc_data[sku]),ROW(bhpc_data[sku])),ROWS($A$15:A22)+$B$3)),INDEX(bhpc_data[description],SMALL(IF(ISNUMBER(MATCH(bhpc_data[size1],$EC$13,0)),MATCH(ROW(bhpc_data[sku]),ROW(bhpc_data[sku])),""),ROWS($A$15:A22)+$B$3))),IF($EC$13="",INDEX(bhpc_data[description],SMALL(IF(ISNUMBER(MATCH(bhpc_data[sex],$EC$11,0)),MATCH(ROW(bhpc_data[sku]),ROW(bhpc_data[sku])),""),ROWS($A$15:A22)+$B$3)),INDEX(bhpc_data[description],SMALL(IF(ISNUMBER(MATCH(bhpc_data[sex],$EC$11,0)*MATCH(bhpc_data[size1],$EC$13,0)),MATCH(ROW(bhpc_data[sku]),ROW(bhpc_data[sku])),""),ROWS($A$15:A22)+$B$3)))),IF($EC$11="",IF($EC$13="",INDEX(bhpc_data[description],SMALL(IF(ISNUMBER(MATCH(bhpc_data[category],$EC$9,0)),MATCH(ROW(bhpc_data[sku]),ROW(bhpc_data[sku])),""),ROWS($A$15:A22)+$B$3)),INDEX(bhpc_data[description],SMALL(IF(ISNUMBER(MATCH(bhpc_data[category],$EC$9,0)*MATCH(bhpc_data[size1],$EC$13,0)),MATCH(ROW(bhpc_data[sku]),ROW(bhpc_data[sku])),""),ROWS($A$15:A22)+$B$3))),IF($EC$13="",INDEX(bhpc_data[description],SMALL(IF(ISNUMBER(MATCH(bhpc_data[category],$EC$9,0)*MATCH(bhpc_data[sex],$EC$11,0)),MATCH(ROW(bhpc_data[sku]),ROW(bhpc_data[sku])),""),ROWS($A$15:A22)+$B$3)),INDEX(bhpc_data[description],SMALL(IF(ISNUMBER(MATCH(bhpc_data[category],$EC$9,0)*MATCH(bhpc_data[sex],$EC$11,0)*MATCH(bhpc_data[size1],$EC$13,0)),MATCH(ROW(bhpc_data[sku]),ROW(bhpc_data[sku])),""),ROWS($A$15:A22)+$B$3))))),"")</f>
        <v>BHPC GIFT SET SPORT MEN 2 EDT 50ML + DEO 175ML</v>
      </c>
      <c r="EG17" s="263">
        <f>IFERROR(IF(warehouse[[#This Row],[SKU]]="","",INDEX(inventory[ESISTENZA],MATCH(warehouse[[#This Row],[SKU]],inventory[ARTICOLO],0))),"")</f>
        <v>437</v>
      </c>
      <c r="EH17" s="328"/>
      <c r="EI17" s="328"/>
      <c r="EJ17" s="263"/>
      <c r="EK17" s="113"/>
      <c r="FF17" s="413"/>
      <c r="FG17" s="413"/>
      <c r="FH17" s="413"/>
      <c r="FI17" s="413"/>
      <c r="FJ17" s="413"/>
      <c r="FK17" s="413"/>
      <c r="FL17" s="413"/>
      <c r="FM17" s="413"/>
      <c r="FN17" s="413"/>
      <c r="FO17" s="413"/>
      <c r="FP17" s="413"/>
      <c r="FQ17" s="413"/>
      <c r="FR17" s="413"/>
      <c r="FS17" s="413"/>
      <c r="FT17" s="413"/>
      <c r="FU17" s="413"/>
      <c r="FV17" s="413"/>
      <c r="FW17" s="413"/>
      <c r="FX17" s="413"/>
      <c r="FY17" s="413"/>
      <c r="FZ17" s="413"/>
      <c r="GA17" s="413"/>
      <c r="GB17" s="413"/>
      <c r="GC17" s="413"/>
      <c r="GD17" s="413"/>
      <c r="GE17" s="413"/>
      <c r="GF17" s="413"/>
      <c r="GG17" s="413"/>
      <c r="GH17" s="413"/>
      <c r="GI17" s="413"/>
      <c r="GJ17" s="413"/>
      <c r="GK17" s="413"/>
      <c r="GL17" s="413"/>
      <c r="GM17" s="413"/>
      <c r="GN17" s="413"/>
      <c r="GO17" s="413"/>
      <c r="GP17" s="413"/>
      <c r="GQ17" s="413"/>
      <c r="GR17" s="413"/>
      <c r="GS17" s="413"/>
      <c r="GT17" s="413"/>
      <c r="GU17" s="413"/>
      <c r="GV17" s="413"/>
      <c r="GW17" s="413"/>
      <c r="GX17" s="413"/>
      <c r="GY17" s="413"/>
      <c r="GZ17" s="413"/>
      <c r="HA17" s="413"/>
      <c r="HB17" s="413"/>
      <c r="HC17" s="413"/>
      <c r="HD17" s="413"/>
      <c r="HE17" s="413"/>
      <c r="HF17" s="413"/>
      <c r="HG17" s="413"/>
      <c r="HH17" s="413"/>
      <c r="HI17" s="413"/>
      <c r="HJ17" s="413"/>
      <c r="HK17" s="413"/>
      <c r="HL17" s="413"/>
      <c r="HM17" s="413"/>
      <c r="HN17" s="413"/>
      <c r="HO17" s="413"/>
      <c r="HP17" s="413"/>
      <c r="HQ17" s="413"/>
      <c r="HR17" s="413"/>
      <c r="HS17" s="413"/>
      <c r="HT17" s="413"/>
    </row>
    <row r="18" spans="1:228" ht="15" customHeight="1" x14ac:dyDescent="0.35">
      <c r="A18" s="156" t="s">
        <v>628</v>
      </c>
      <c r="B18" s="157"/>
      <c r="D18" s="295" t="s">
        <v>1057</v>
      </c>
      <c r="F18" s="94"/>
      <c r="G18" s="797" t="str">
        <f>IFERROR(INDEX(clientData[payment_method],MATCH($B$6,clientData[cod_cliente],0)),"")</f>
        <v>120 DAYS DATE OF INVOICE</v>
      </c>
      <c r="H18" s="798"/>
      <c r="I18" s="799"/>
      <c r="J18" s="82"/>
      <c r="L18" s="539" t="str">
        <f t="array" ref="L18">IFERROR(IF($D$9="",IF($D$11="",IF($D$13="",IF($D$15="",INDEX(orderHistory[customer],SMALL(MATCH(ROW(orderHistory[customer]),ROW(orderHistory[customer])),ROWS($A$15:A23)+$B$3)),INDEX(orderHistory[customer],SMALL(IF(ISNUMBER(MATCH(YEAR(orderHistory[invoice_date]),$D$15,0)),MATCH(ROW(orderHistory[customer]),ROW(orderHistory[customer])),""),ROWS($A$15:A23)+$B$3))),IF($D$15="",INDEX(orderHistory[customer],SMALL(IF(ISNUMBER(MATCH(orderHistory[order_type],$D$13,0)),MATCH(ROW(orderHistory[customer]),ROW(orderHistory[customer])),""),ROWS($A$15:A23)+$B$3)),INDEX(orderHistory[customer],SMALL(IF(ISNUMBER(MATCH(orderHistory[order_type],$D$13,0)*MATCH(YEAR(orderHistory[invoice_date]),$D$15,0)),MATCH(ROW(orderHistory[customer]),ROW(orderHistory[customer])),""),ROWS($A$15:A23)+$B$3)))),IF($D$13="",IF($D$15="",INDEX(orderHistory[customer],SMALL(IF(ISNUMBER(MATCH(orderHistory[status],$D$11,0)),MATCH(ROW(orderHistory[customer]),ROW(orderHistory[customer])),""),ROWS($A$15:A23)+$B$3)),INDEX(orderHistory[customer],SMALL(IF(ISNUMBER(MATCH(orderHistory[status],$D$11,0)*MATCH(YEAR(orderHistory[invoice_date]),$D$15,0)),MATCH(ROW(orderHistory[customer]),ROW(orderHistory[customer])),""),ROWS($A$15:A23)+$B$3))),IF($D$15="",INDEX(orderHistory[customer],SMALL(IF(ISNUMBER(MATCH(orderHistory[status],$D$11,0)*MATCH(orderHistory[order_type],$D$13,0)),MATCH(ROW(orderHistory[customer]),ROW(orderHistory[customer])),""),ROWS($A$15:A23)+$B$3)),INDEX(orderHistory[customer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customer],SMALL(IF(ISNUMBER(MATCH(orderHistory[customer],$D$9,0)),MATCH(ROW(orderHistory[customer]),ROW(orderHistory[customer])),""),ROWS($A$15:A23)+$B$3)),INDEX(orderHistory[customer],SMALL(IF(ISNUMBER(MATCH(orderHistory[customer],$D$9,0)*MATCH(YEAR(orderHistory[invoice_date]),$D$15,0)),MATCH(ROW(orderHistory[customer]),ROW(orderHistory[customer])),""),ROWS($A$15:A23)+$B$3))),IF($D$15="",INDEX(orderHistory[customer],SMALL(IF(ISNUMBER(MATCH(orderHistory[customer],$D$9,0)*MATCH(orderHistory[order_type],$D$13,0)),MATCH(ROW(orderHistory[customer]),ROW(orderHistory[customer])),""),ROWS($A$15:A23)+$B$3)),INDEX(orderHistory[customer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customer],SMALL(IF(ISNUMBER(MATCH(orderHistory[customer],$D$9,0)*MATCH(orderHistory[status],$D$11,0)),MATCH(ROW(orderHistory[customer]),ROW(orderHistory[customer])),""),ROWS($A$15:A23)+$B$3)),INDEX(orderHistory[customer],SMALL(IF(ISNUMBER(MATCH(orderHistory[customer],$D$9,0)*MATCH(orderHistory[status],$D$11,0)*MATCH(YEAR(orderHistory[invoice_date]),$D$15,0)),MATCH(ROW(orderHistory[customer]),ROW(orderHistory[customer])),""),ROWS($A$15:A23)+$B$3))),IF($D$15="",INDEX(orderHistory[customer],SMALL(IF(ISNUMBER(MATCH(orderHistory[customer],$D$9,0)*MATCH(orderHistory[status],$D$11,0)*MATCH(orderHistory[order_type],$D$13,0)),MATCH(ROW(orderHistory[customer]),ROW(orderHistory[customer])),""),ROWS($A$15:A23)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M18" s="540" t="str">
        <f t="array" ref="M18">IFERROR(IF($D$9="",IF($D$11="",IF($D$13="",IF($D$15="",INDEX(orderHistory[order_no],SMALL(MATCH(ROW(orderHistory[customer]),ROW(orderHistory[customer])),ROWS($A$15:A23)+$B$3)),INDEX(orderHistory[order_no],SMALL(IF(ISNUMBER(MATCH(YEAR(orderHistory[invoice_date]),$D$15,0)),MATCH(ROW(orderHistory[customer]),ROW(orderHistory[customer])),""),ROWS($A$15:A23)+$B$3))),IF($D$15="",INDEX(orderHistory[order_no],SMALL(IF(ISNUMBER(MATCH(orderHistory[order_type],$D$13,0)),MATCH(ROW(orderHistory[customer]),ROW(orderHistory[customer])),""),ROWS($A$15:A23)+$B$3)),INDEX(orderHistory[order_no],SMALL(IF(ISNUMBER(MATCH(orderHistory[order_type],$D$13,0)*MATCH(YEAR(orderHistory[invoice_date]),$D$15,0)),MATCH(ROW(orderHistory[customer]),ROW(orderHistory[customer])),""),ROWS($A$15:A23)+$B$3)))),IF($D$13="",IF($D$15="",INDEX(orderHistory[order_no],SMALL(IF(ISNUMBER(MATCH(orderHistory[status],$D$11,0)),MATCH(ROW(orderHistory[customer]),ROW(orderHistory[customer])),""),ROWS($A$15:A23)+$B$3)),INDEX(orderHistory[order_no],SMALL(IF(ISNUMBER(MATCH(orderHistory[status],$D$11,0)*MATCH(YEAR(orderHistory[invoice_date]),$D$15,0)),MATCH(ROW(orderHistory[customer]),ROW(orderHistory[customer])),""),ROWS($A$15:A23)+$B$3))),IF($D$15="",INDEX(orderHistory[order_no],SMALL(IF(ISNUMBER(MATCH(orderHistory[status],$D$11,0)*MATCH(orderHistory[order_type],$D$13,0)),MATCH(ROW(orderHistory[customer]),ROW(orderHistory[customer])),""),ROWS($A$15:A23)+$B$3)),INDEX(orderHistory[order_no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no],SMALL(IF(ISNUMBER(MATCH(orderHistory[customer],$D$9,0)),MATCH(ROW(orderHistory[customer]),ROW(orderHistory[customer])),""),ROWS($A$15:A23)+$B$3)),INDEX(orderHistory[order_no],SMALL(IF(ISNUMBER(MATCH(orderHistory[customer],$D$9,0)*MATCH(YEAR(orderHistory[invoice_date]),$D$15,0)),MATCH(ROW(orderHistory[customer]),ROW(orderHistory[customer])),""),ROWS($A$15:A23)+$B$3))),IF($D$15="",INDEX(orderHistory[order_no],SMALL(IF(ISNUMBER(MATCH(orderHistory[customer],$D$9,0)*MATCH(orderHistory[order_type],$D$13,0)),MATCH(ROW(orderHistory[customer]),ROW(orderHistory[customer])),""),ROWS($A$15:A23)+$B$3)),INDEX(orderHistory[order_no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no],SMALL(IF(ISNUMBER(MATCH(orderHistory[customer],$D$9,0)*MATCH(orderHistory[status],$D$11,0)),MATCH(ROW(orderHistory[customer]),ROW(orderHistory[customer])),""),ROWS($A$15:A23)+$B$3)),INDEX(orderHistory[order_no],SMALL(IF(ISNUMBER(MATCH(orderHistory[customer],$D$9,0)*MATCH(orderHistory[status],$D$11,0)*MATCH(YEAR(orderHistory[invoice_date]),$D$15,0)),MATCH(ROW(orderHistory[customer]),ROW(orderHistory[customer])),""),ROWS($A$15:A23)+$B$3))),IF($D$15="",INDEX(orderHistory[order_no],SMALL(IF(ISNUMBER(MATCH(orderHistory[customer],$D$9,0)*MATCH(orderHistory[status],$D$11,0)*MATCH(orderHistory[order_type],$D$13,0)),MATCH(ROW(orderHistory[customer]),ROW(orderHistory[customer])),""),ROWS($A$15:A23)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N18" s="541" t="str">
        <f t="array" ref="N18">IFERROR(IF($D$9="",IF($D$11="",IF($D$13="",IF($D$15="",INDEX(orderHistory[order_type],SMALL(MATCH(ROW(orderHistory[customer]),ROW(orderHistory[customer])),ROWS($A$15:A23)+$B$3)),INDEX(orderHistory[order_type],SMALL(IF(ISNUMBER(MATCH(YEAR(orderHistory[invoice_date]),$D$15,0)),MATCH(ROW(orderHistory[customer]),ROW(orderHistory[customer])),""),ROWS($A$15:A23)+$B$3))),IF($D$15="",INDEX(orderHistory[order_type],SMALL(IF(ISNUMBER(MATCH(orderHistory[order_type],$D$13,0)),MATCH(ROW(orderHistory[customer]),ROW(orderHistory[customer])),""),ROWS($A$15:A23)+$B$3)),INDEX(orderHistory[order_type],SMALL(IF(ISNUMBER(MATCH(orderHistory[order_type],$D$13,0)*MATCH(YEAR(orderHistory[invoice_date]),$D$15,0)),MATCH(ROW(orderHistory[customer]),ROW(orderHistory[customer])),""),ROWS($A$15:A23)+$B$3)))),IF($D$13="",IF($D$15="",INDEX(orderHistory[order_type],SMALL(IF(ISNUMBER(MATCH(orderHistory[status],$D$11,0)),MATCH(ROW(orderHistory[customer]),ROW(orderHistory[customer])),""),ROWS($A$15:A23)+$B$3)),INDEX(orderHistory[order_type],SMALL(IF(ISNUMBER(MATCH(orderHistory[status],$D$11,0)*MATCH(YEAR(orderHistory[invoice_date]),$D$15,0)),MATCH(ROW(orderHistory[customer]),ROW(orderHistory[customer])),""),ROWS($A$15:A23)+$B$3))),IF($D$15="",INDEX(orderHistory[order_type],SMALL(IF(ISNUMBER(MATCH(orderHistory[status],$D$11,0)*MATCH(orderHistory[order_type],$D$13,0)),MATCH(ROW(orderHistory[customer]),ROW(orderHistory[customer])),""),ROWS($A$15:A23)+$B$3)),INDEX(orderHistory[order_typ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type],SMALL(IF(ISNUMBER(MATCH(orderHistory[customer],$D$9,0)),MATCH(ROW(orderHistory[customer]),ROW(orderHistory[customer])),""),ROWS($A$15:A23)+$B$3)),INDEX(orderHistory[order_type],SMALL(IF(ISNUMBER(MATCH(orderHistory[customer],$D$9,0)*MATCH(YEAR(orderHistory[invoice_date]),$D$15,0)),MATCH(ROW(orderHistory[customer]),ROW(orderHistory[customer])),""),ROWS($A$15:A23)+$B$3))),IF($D$15="",INDEX(orderHistory[order_type],SMALL(IF(ISNUMBER(MATCH(orderHistory[customer],$D$9,0)*MATCH(orderHistory[order_type],$D$13,0)),MATCH(ROW(orderHistory[customer]),ROW(orderHistory[customer])),""),ROWS($A$15:A23)+$B$3)),INDEX(orderHistory[order_typ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type],SMALL(IF(ISNUMBER(MATCH(orderHistory[customer],$D$9,0)*MATCH(orderHistory[status],$D$11,0)),MATCH(ROW(orderHistory[customer]),ROW(orderHistory[customer])),""),ROWS($A$15:A23)+$B$3)),INDEX(orderHistory[order_type],SMALL(IF(ISNUMBER(MATCH(orderHistory[customer],$D$9,0)*MATCH(orderHistory[status],$D$11,0)*MATCH(YEAR(orderHistory[invoice_date]),$D$15,0)),MATCH(ROW(orderHistory[customer]),ROW(orderHistory[customer])),""),ROWS($A$15:A23)+$B$3))),IF($D$15="",INDEX(orderHistory[order_type],SMALL(IF(ISNUMBER(MATCH(orderHistory[customer],$D$9,0)*MATCH(orderHistory[status],$D$11,0)*MATCH(orderHistory[order_type],$D$13,0)),MATCH(ROW(orderHistory[customer]),ROW(orderHistory[customer])),""),ROWS($A$15:A23)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O18" s="542" t="str">
        <f t="array" ref="O18">IFERROR(IF($D$9="",IF($D$11="",IF($D$13="",IF($D$15="",INDEX(orderHistory[order_date],SMALL(MATCH(ROW(orderHistory[customer]),ROW(orderHistory[customer])),ROWS($A$15:A23)+$B$3)),INDEX(orderHistory[order_date],SMALL(IF(ISNUMBER(MATCH(YEAR(orderHistory[invoice_date]),$D$15,0)),MATCH(ROW(orderHistory[customer]),ROW(orderHistory[customer])),""),ROWS($A$15:A23)+$B$3))),IF($D$15="",INDEX(orderHistory[order_date],SMALL(IF(ISNUMBER(MATCH(orderHistory[order_type],$D$13,0)),MATCH(ROW(orderHistory[customer]),ROW(orderHistory[customer])),""),ROWS($A$15:A23)+$B$3)),INDEX(orderHistory[order_date],SMALL(IF(ISNUMBER(MATCH(orderHistory[order_type],$D$13,0)*MATCH(YEAR(orderHistory[invoice_date]),$D$15,0)),MATCH(ROW(orderHistory[customer]),ROW(orderHistory[customer])),""),ROWS($A$15:A23)+$B$3)))),IF($D$13="",IF($D$15="",INDEX(orderHistory[order_date],SMALL(IF(ISNUMBER(MATCH(orderHistory[status],$D$11,0)),MATCH(ROW(orderHistory[customer]),ROW(orderHistory[customer])),""),ROWS($A$15:A23)+$B$3)),INDEX(orderHistory[order_date],SMALL(IF(ISNUMBER(MATCH(orderHistory[status],$D$11,0)*MATCH(YEAR(orderHistory[invoice_date]),$D$15,0)),MATCH(ROW(orderHistory[customer]),ROW(orderHistory[customer])),""),ROWS($A$15:A23)+$B$3))),IF($D$15="",INDEX(orderHistory[order_date],SMALL(IF(ISNUMBER(MATCH(orderHistory[status],$D$11,0)*MATCH(orderHistory[order_type],$D$13,0)),MATCH(ROW(orderHistory[customer]),ROW(orderHistory[customer])),""),ROWS($A$15:A23)+$B$3)),INDEX(orderHistory[order_dat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date],SMALL(IF(ISNUMBER(MATCH(orderHistory[customer],$D$9,0)),MATCH(ROW(orderHistory[customer]),ROW(orderHistory[customer])),""),ROWS($A$15:A23)+$B$3)),INDEX(orderHistory[order_date],SMALL(IF(ISNUMBER(MATCH(orderHistory[customer],$D$9,0)*MATCH(YEAR(orderHistory[invoice_date]),$D$15,0)),MATCH(ROW(orderHistory[customer]),ROW(orderHistory[customer])),""),ROWS($A$15:A23)+$B$3))),IF($D$15="",INDEX(orderHistory[order_date],SMALL(IF(ISNUMBER(MATCH(orderHistory[customer],$D$9,0)*MATCH(orderHistory[order_type],$D$13,0)),MATCH(ROW(orderHistory[customer]),ROW(orderHistory[customer])),""),ROWS($A$15:A23)+$B$3)),INDEX(orderHistory[order_dat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date],SMALL(IF(ISNUMBER(MATCH(orderHistory[customer],$D$9,0)*MATCH(orderHistory[status],$D$11,0)),MATCH(ROW(orderHistory[customer]),ROW(orderHistory[customer])),""),ROWS($A$15:A23)+$B$3)),INDEX(orderHistory[order_date],SMALL(IF(ISNUMBER(MATCH(orderHistory[customer],$D$9,0)*MATCH(orderHistory[status],$D$11,0)*MATCH(YEAR(orderHistory[invoice_date]),$D$15,0)),MATCH(ROW(orderHistory[customer]),ROW(orderHistory[customer])),""),ROWS($A$15:A23)+$B$3))),IF($D$15="",INDEX(orderHistory[order_date],SMALL(IF(ISNUMBER(MATCH(orderHistory[customer],$D$9,0)*MATCH(orderHistory[status],$D$11,0)*MATCH(orderHistory[order_type],$D$13,0)),MATCH(ROW(orderHistory[customer]),ROW(orderHistory[customer])),""),ROWS($A$15:A23)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P18" s="543" t="str">
        <f t="array" ref="P18">IFERROR(IF($D$9="",IF($D$11="",IF($D$13="",IF($D$15="",INDEX(orderHistory[invoice_no],SMALL(MATCH(ROW(orderHistory[customer]),ROW(orderHistory[customer])),ROWS($A$15:A23)+$B$3)),INDEX(orderHistory[invoice_no],SMALL(IF(ISNUMBER(MATCH(YEAR(orderHistory[invoice_date]),$D$15,0)),MATCH(ROW(orderHistory[customer]),ROW(orderHistory[customer])),""),ROWS($A$15:A23)+$B$3))),IF($D$15="",INDEX(orderHistory[invoice_no],SMALL(IF(ISNUMBER(MATCH(orderHistory[order_type],$D$13,0)),MATCH(ROW(orderHistory[customer]),ROW(orderHistory[customer])),""),ROWS($A$15:A23)+$B$3)),INDEX(orderHistory[invoice_no],SMALL(IF(ISNUMBER(MATCH(orderHistory[order_type],$D$13,0)*MATCH(YEAR(orderHistory[invoice_date]),$D$15,0)),MATCH(ROW(orderHistory[customer]),ROW(orderHistory[customer])),""),ROWS($A$15:A23)+$B$3)))),IF($D$13="",IF($D$15="",INDEX(orderHistory[invoice_no],SMALL(IF(ISNUMBER(MATCH(orderHistory[status],$D$11,0)),MATCH(ROW(orderHistory[customer]),ROW(orderHistory[customer])),""),ROWS($A$15:A23)+$B$3)),INDEX(orderHistory[invoice_no],SMALL(IF(ISNUMBER(MATCH(orderHistory[status],$D$11,0)*MATCH(YEAR(orderHistory[invoice_date]),$D$15,0)),MATCH(ROW(orderHistory[customer]),ROW(orderHistory[customer])),""),ROWS($A$15:A23)+$B$3))),IF($D$15="",INDEX(orderHistory[invoice_no],SMALL(IF(ISNUMBER(MATCH(orderHistory[status],$D$11,0)*MATCH(orderHistory[order_type],$D$13,0)),MATCH(ROW(orderHistory[customer]),ROW(orderHistory[customer])),""),ROWS($A$15:A23)+$B$3)),INDEX(orderHistory[invoice_no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oice_no],SMALL(IF(ISNUMBER(MATCH(orderHistory[customer],$D$9,0)),MATCH(ROW(orderHistory[customer]),ROW(orderHistory[customer])),""),ROWS($A$15:A23)+$B$3)),INDEX(orderHistory[invoice_no],SMALL(IF(ISNUMBER(MATCH(orderHistory[customer],$D$9,0)*MATCH(YEAR(orderHistory[invoice_date]),$D$15,0)),MATCH(ROW(orderHistory[customer]),ROW(orderHistory[customer])),""),ROWS($A$15:A23)+$B$3))),IF($D$15="",INDEX(orderHistory[invoice_no],SMALL(IF(ISNUMBER(MATCH(orderHistory[customer],$D$9,0)*MATCH(orderHistory[order_type],$D$13,0)),MATCH(ROW(orderHistory[customer]),ROW(orderHistory[customer])),""),ROWS($A$15:A23)+$B$3)),INDEX(orderHistory[invoice_no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YEAR(orderHistory[invoice_date]),$D$15,0)),MATCH(ROW(orderHistory[customer]),ROW(orderHistory[customer])),""),ROWS($A$15:A23)+$B$3))),IF($D$15="",INDEX(orderHistory[invoice_no],SMALL(IF(ISNUMBER(MATCH(orderHistory[customer],$D$9,0)*MATCH(orderHistory[status],$D$11,0)*MATCH(orderHistory[order_type],$D$13,0)),MATCH(ROW(orderHistory[customer]),ROW(orderHistory[customer])),""),ROWS($A$15:A23)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Q18" s="544" t="str">
        <f t="array" ref="Q18">IFERROR(IF($D$9="",IF($D$11="",IF($D$13="",IF($D$15="",INDEX(orderHistory[invoice_date],SMALL(MATCH(ROW(orderHistory[customer]),ROW(orderHistory[customer])),ROWS($A$15:A23)+$B$3)),INDEX(orderHistory[invoice_date],SMALL(IF(ISNUMBER(MATCH(YEAR(orderHistory[invoice_date]),$D$15,0)),MATCH(ROW(orderHistory[customer]),ROW(orderHistory[customer])),""),ROWS($A$15:A23)+$B$3))),IF($D$15="",INDEX(orderHistory[invoice_date],SMALL(IF(ISNUMBER(MATCH(orderHistory[order_type],$D$13,0)),MATCH(ROW(orderHistory[customer]),ROW(orderHistory[customer])),""),ROWS($A$15:A23)+$B$3)),INDEX(orderHistory[invoice_date],SMALL(IF(ISNUMBER(MATCH(orderHistory[order_type],$D$13,0)*MATCH(YEAR(orderHistory[invoice_date]),$D$15,0)),MATCH(ROW(orderHistory[customer]),ROW(orderHistory[customer])),""),ROWS($A$15:A23)+$B$3)))),IF($D$13="",IF($D$15="",INDEX(orderHistory[invoice_date],SMALL(IF(ISNUMBER(MATCH(orderHistory[status],$D$11,0)),MATCH(ROW(orderHistory[customer]),ROW(orderHistory[customer])),""),ROWS($A$15:A23)+$B$3)),INDEX(orderHistory[invoice_date],SMALL(IF(ISNUMBER(MATCH(orderHistory[status],$D$11,0)*MATCH(YEAR(orderHistory[invoice_date]),$D$15,0)),MATCH(ROW(orderHistory[customer]),ROW(orderHistory[customer])),""),ROWS($A$15:A23)+$B$3))),IF($D$15="",INDEX(orderHistory[invoice_date],SMALL(IF(ISNUMBER(MATCH(orderHistory[status],$D$11,0)*MATCH(orderHistory[order_type],$D$13,0)),MATCH(ROW(orderHistory[customer]),ROW(orderHistory[customer])),""),ROWS($A$15:A23)+$B$3)),INDEX(orderHistory[invoice_dat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oice_date],SMALL(IF(ISNUMBER(MATCH(orderHistory[customer],$D$9,0)),MATCH(ROW(orderHistory[customer]),ROW(orderHistory[customer])),""),ROWS($A$15:A23)+$B$3)),INDEX(orderHistory[invoice_date],SMALL(IF(ISNUMBER(MATCH(orderHistory[customer],$D$9,0)*MATCH(YEAR(orderHistory[invoice_date]),$D$15,0)),MATCH(ROW(orderHistory[customer]),ROW(orderHistory[customer])),""),ROWS($A$15:A23)+$B$3))),IF($D$15="",INDEX(orderHistory[invoice_date],SMALL(IF(ISNUMBER(MATCH(orderHistory[customer],$D$9,0)*MATCH(orderHistory[order_type],$D$13,0)),MATCH(ROW(orderHistory[customer]),ROW(orderHistory[customer])),""),ROWS($A$15:A23)+$B$3)),INDEX(orderHistory[invoice_dat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YEAR(orderHistory[invoice_date]),$D$15,0)),MATCH(ROW(orderHistory[customer]),ROW(orderHistory[customer])),""),ROWS($A$15:A23)+$B$3))),IF($D$15="",INDEX(orderHistory[invoice_date],SMALL(IF(ISNUMBER(MATCH(orderHistory[customer],$D$9,0)*MATCH(orderHistory[status],$D$11,0)*MATCH(orderHistory[order_type],$D$13,0)),MATCH(ROW(orderHistory[customer]),ROW(orderHistory[customer])),""),ROWS($A$15:A23)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R18" s="545" t="str">
        <f t="array" ref="R18">IFERROR(IF($D$9="",IF($D$11="",IF($D$13="",IF($D$15="",INDEX(orderHistory[inv_amount],SMALL(MATCH(ROW(orderHistory[customer]),ROW(orderHistory[customer])),ROWS($A$15:A23)+$B$3)),INDEX(orderHistory[inv_amount],SMALL(IF(ISNUMBER(MATCH(YEAR(orderHistory[invoice_date]),$D$15,0)),MATCH(ROW(orderHistory[customer]),ROW(orderHistory[customer])),""),ROWS($A$15:A23)+$B$3))),IF($D$15="",INDEX(orderHistory[inv_amount],SMALL(IF(ISNUMBER(MATCH(orderHistory[order_type],$D$13,0)),MATCH(ROW(orderHistory[customer]),ROW(orderHistory[customer])),""),ROWS($A$15:A23)+$B$3)),INDEX(orderHistory[inv_amount],SMALL(IF(ISNUMBER(MATCH(orderHistory[order_type],$D$13,0)*MATCH(YEAR(orderHistory[invoice_date]),$D$15,0)),MATCH(ROW(orderHistory[customer]),ROW(orderHistory[customer])),""),ROWS($A$15:A23)+$B$3)))),IF($D$13="",IF($D$15="",INDEX(orderHistory[inv_amount],SMALL(IF(ISNUMBER(MATCH(orderHistory[status],$D$11,0)),MATCH(ROW(orderHistory[customer]),ROW(orderHistory[customer])),""),ROWS($A$15:A23)+$B$3)),INDEX(orderHistory[inv_amount],SMALL(IF(ISNUMBER(MATCH(orderHistory[status],$D$11,0)*MATCH(YEAR(orderHistory[invoice_date]),$D$15,0)),MATCH(ROW(orderHistory[customer]),ROW(orderHistory[customer])),""),ROWS($A$15:A23)+$B$3))),IF($D$15="",INDEX(orderHistory[inv_amount],SMALL(IF(ISNUMBER(MATCH(orderHistory[status],$D$11,0)*MATCH(orderHistory[order_type],$D$13,0)),MATCH(ROW(orderHistory[customer]),ROW(orderHistory[customer])),""),ROWS($A$15:A23)+$B$3)),INDEX(orderHistory[inv_amount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_amount],SMALL(IF(ISNUMBER(MATCH(orderHistory[customer],$D$9,0)),MATCH(ROW(orderHistory[customer]),ROW(orderHistory[customer])),""),ROWS($A$15:A23)+$B$3)),INDEX(orderHistory[inv_amount],SMALL(IF(ISNUMBER(MATCH(orderHistory[customer],$D$9,0)*MATCH(YEAR(orderHistory[invoice_date]),$D$15,0)),MATCH(ROW(orderHistory[customer]),ROW(orderHistory[customer])),""),ROWS($A$15:A23)+$B$3))),IF($D$15="",INDEX(orderHistory[inv_amount],SMALL(IF(ISNUMBER(MATCH(orderHistory[customer],$D$9,0)*MATCH(orderHistory[order_type],$D$13,0)),MATCH(ROW(orderHistory[customer]),ROW(orderHistory[customer])),""),ROWS($A$15:A23)+$B$3)),INDEX(orderHistory[inv_amount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_amount],SMALL(IF(ISNUMBER(MATCH(orderHistory[customer],$D$9,0)*MATCH(orderHistory[status],$D$11,0)),MATCH(ROW(orderHistory[customer]),ROW(orderHistory[customer])),""),ROWS($A$15:A23)+$B$3)),INDEX(orderHistory[inv_amount],SMALL(IF(ISNUMBER(MATCH(orderHistory[customer],$D$9,0)*MATCH(orderHistory[status],$D$11,0)*MATCH(YEAR(orderHistory[inv_amount]),$D$15,0)),MATCH(ROW(orderHistory[customer]),ROW(orderHistory[customer])),""),ROWS($A$15:A23)+$B$3))),IF($D$15="",INDEX(orderHistory[inv_amount],SMALL(IF(ISNUMBER(MATCH(orderHistory[customer],$D$9,0)*MATCH(orderHistory[status],$D$11,0)*MATCH(orderHistory[order_type],$D$13,0)),MATCH(ROW(orderHistory[customer]),ROW(orderHistory[customer])),""),ROWS($A$15:A23)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S18" s="546" t="str">
        <f t="shared" si="2"/>
        <v/>
      </c>
      <c r="T18" s="547" t="str">
        <f t="array" ref="T18">IFERROR(IF($D$9="",IF($D$11="",IF($D$13="",IF($D$15="",INDEX(orderHistory[payed],SMALL(MATCH(ROW(orderHistory[customer]),ROW(orderHistory[customer])),ROWS($A$15:A23)+$B$3)),INDEX(orderHistory[payed],SMALL(IF(ISNUMBER(MATCH(YEAR(orderHistory[invoice_date]),$D$15,0)),MATCH(ROW(orderHistory[customer]),ROW(orderHistory[customer])),""),ROWS($A$15:A23)+$B$3))),IF($D$15="",INDEX(orderHistory[payed],SMALL(IF(ISNUMBER(MATCH(orderHistory[order_type],$D$13,0)),MATCH(ROW(orderHistory[customer]),ROW(orderHistory[customer])),""),ROWS($A$15:A23)+$B$3)),INDEX(orderHistory[payed],SMALL(IF(ISNUMBER(MATCH(orderHistory[order_type],$D$13,0)*MATCH(YEAR(orderHistory[invoice_date]),$D$15,0)),MATCH(ROW(orderHistory[customer]),ROW(orderHistory[customer])),""),ROWS($A$15:A23)+$B$3)))),IF($D$13="",IF($D$15="",INDEX(orderHistory[payed],SMALL(IF(ISNUMBER(MATCH(orderHistory[status],$D$11,0)),MATCH(ROW(orderHistory[customer]),ROW(orderHistory[customer])),""),ROWS($A$15:A23)+$B$3)),INDEX(orderHistory[payed],SMALL(IF(ISNUMBER(MATCH(orderHistory[status],$D$11,0)*MATCH(YEAR(orderHistory[invoice_date]),$D$15,0)),MATCH(ROW(orderHistory[customer]),ROW(orderHistory[customer])),""),ROWS($A$15:A23)+$B$3))),IF($D$15="",INDEX(orderHistory[payed],SMALL(IF(ISNUMBER(MATCH(orderHistory[status],$D$11,0)*MATCH(orderHistory[order_type],$D$13,0)),MATCH(ROW(orderHistory[customer]),ROW(orderHistory[customer])),""),ROWS($A$15:A23)+$B$3)),INDEX(orderHistory[payed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payed],SMALL(IF(ISNUMBER(MATCH(orderHistory[customer],$D$9,0)),MATCH(ROW(orderHistory[customer]),ROW(orderHistory[customer])),""),ROWS($A$15:A23)+$B$3)),INDEX(orderHistory[payed],SMALL(IF(ISNUMBER(MATCH(orderHistory[customer],$D$9,0)*MATCH(YEAR(orderHistory[invoice_date]),$D$15,0)),MATCH(ROW(orderHistory[customer]),ROW(orderHistory[customer])),""),ROWS($A$15:A23)+$B$3))),IF($D$15="",INDEX(orderHistory[payed],SMALL(IF(ISNUMBER(MATCH(orderHistory[customer],$D$9,0)*MATCH(orderHistory[order_type],$D$13,0)),MATCH(ROW(orderHistory[customer]),ROW(orderHistory[customer])),""),ROWS($A$15:A23)+$B$3)),INDEX(orderHistory[payed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payed],SMALL(IF(ISNUMBER(MATCH(orderHistory[customer],$D$9,0)*MATCH(orderHistory[status],$D$11,0)),MATCH(ROW(orderHistory[customer]),ROW(orderHistory[customer])),""),ROWS($A$15:A23)+$B$3)),INDEX(orderHistory[payed],SMALL(IF(ISNUMBER(MATCH(orderHistory[customer],$D$9,0)*MATCH(orderHistory[status],$D$11,0)*MATCH(YEAR(orderHistory[payed]),$D$15,0)),MATCH(ROW(orderHistory[customer]),ROW(orderHistory[customer])),""),ROWS($A$15:A23)+$B$3))),IF($D$15="",INDEX(orderHistory[payed],SMALL(IF(ISNUMBER(MATCH(orderHistory[customer],$D$9,0)*MATCH(orderHistory[status],$D$11,0)*MATCH(orderHistory[order_type],$D$13,0)),MATCH(ROW(orderHistory[customer]),ROW(orderHistory[customer])),""),ROWS($A$15:A23)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U18" s="541" t="str">
        <f t="array" ref="U18">IFERROR(IF($D$9="",IF($D$11="",IF($D$13="",IF($D$15="",INDEX(orderHistory[shipping_method],SMALL(MATCH(ROW(orderHistory[customer]),ROW(orderHistory[customer])),ROWS($A$15:A23)+$B$3)),INDEX(orderHistory[shipping_method],SMALL(IF(ISNUMBER(MATCH(YEAR(orderHistory[invoice_date]),$D$15,0)),MATCH(ROW(orderHistory[customer]),ROW(orderHistory[customer])),""),ROWS($A$15:A23)+$B$3))),IF($D$15="",INDEX(orderHistory[shipping_method],SMALL(IF(ISNUMBER(MATCH(orderHistory[order_type],$D$13,0)),MATCH(ROW(orderHistory[customer]),ROW(orderHistory[customer])),""),ROWS($A$15:A23)+$B$3)),INDEX(orderHistory[shipping_method],SMALL(IF(ISNUMBER(MATCH(orderHistory[order_type],$D$13,0)*MATCH(YEAR(orderHistory[invoice_date]),$D$15,0)),MATCH(ROW(orderHistory[customer]),ROW(orderHistory[customer])),""),ROWS($A$15:A23)+$B$3)))),IF($D$13="",IF($D$15="",INDEX(orderHistory[shipping_method],SMALL(IF(ISNUMBER(MATCH(orderHistory[status],$D$11,0)),MATCH(ROW(orderHistory[customer]),ROW(orderHistory[customer])),""),ROWS($A$15:A23)+$B$3)),INDEX(orderHistory[shipping_method],SMALL(IF(ISNUMBER(MATCH(orderHistory[status],$D$11,0)*MATCH(YEAR(orderHistory[invoice_date]),$D$15,0)),MATCH(ROW(orderHistory[customer]),ROW(orderHistory[customer])),""),ROWS($A$15:A23)+$B$3))),IF($D$15="",INDEX(orderHistory[shipping_method],SMALL(IF(ISNUMBER(MATCH(orderHistory[status],$D$11,0)*MATCH(orderHistory[order_type],$D$13,0)),MATCH(ROW(orderHistory[customer]),ROW(orderHistory[customer])),""),ROWS($A$15:A23)+$B$3)),INDEX(orderHistory[shipping_method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shipping_method],SMALL(IF(ISNUMBER(MATCH(orderHistory[customer],$D$9,0)),MATCH(ROW(orderHistory[customer]),ROW(orderHistory[customer])),""),ROWS($A$15:A23)+$B$3)),INDEX(orderHistory[shipping_method],SMALL(IF(ISNUMBER(MATCH(orderHistory[customer],$D$9,0)*MATCH(YEAR(orderHistory[invoice_date]),$D$15,0)),MATCH(ROW(orderHistory[customer]),ROW(orderHistory[customer])),""),ROWS($A$15:A23)+$B$3))),IF($D$15="",INDEX(orderHistory[shipping_method],SMALL(IF(ISNUMBER(MATCH(orderHistory[customer],$D$9,0)*MATCH(orderHistory[order_type],$D$13,0)),MATCH(ROW(orderHistory[customer]),ROW(orderHistory[customer])),""),ROWS($A$15:A23)+$B$3)),INDEX(orderHistory[shipping_method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shipping_method],SMALL(IF(ISNUMBER(MATCH(orderHistory[customer],$D$9,0)*MATCH(orderHistory[status],$D$11,0)),MATCH(ROW(orderHistory[customer]),ROW(orderHistory[customer])),""),ROWS($A$15:A23)+$B$3)),INDEX(orderHistory[shipping_method],SMALL(IF(ISNUMBER(MATCH(orderHistory[customer],$D$9,0)*MATCH(orderHistory[status],$D$11,0)*MATCH(YEAR(orderHistory[shipping_method]),$D$15,0)),MATCH(ROW(orderHistory[customer]),ROW(orderHistory[customer])),""),ROWS($A$15:A23)+$B$3))),IF($D$15="",INDEX(orderHistory[shipping_method],SMALL(IF(ISNUMBER(MATCH(orderHistory[customer],$D$9,0)*MATCH(orderHistory[status],$D$11,0)*MATCH(orderHistory[order_type],$D$13,0)),MATCH(ROW(orderHistory[customer]),ROW(orderHistory[customer])),""),ROWS($A$15:A23)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V18" s="548" t="str">
        <f t="array" ref="V18">IFERROR(IF($D$9="",IF($D$11="",IF($D$13="",IF($D$15="",INDEX(orderHistory[status],SMALL(MATCH(ROW(orderHistory[customer]),ROW(orderHistory[customer])),ROWS($A$15:A23)+$B$3)),INDEX(orderHistory[status],SMALL(IF(ISNUMBER(MATCH(YEAR(orderHistory[invoice_date]),$D$15,0)),MATCH(ROW(orderHistory[customer]),ROW(orderHistory[customer])),""),ROWS($A$15:A23)+$B$3))),IF($D$15="",INDEX(orderHistory[status],SMALL(IF(ISNUMBER(MATCH(orderHistory[order_type],$D$13,0)),MATCH(ROW(orderHistory[customer]),ROW(orderHistory[customer])),""),ROWS($A$15:A23)+$B$3)),INDEX(orderHistory[status],SMALL(IF(ISNUMBER(MATCH(orderHistory[order_type],$D$13,0)*MATCH(YEAR(orderHistory[invoice_date]),$D$15,0)),MATCH(ROW(orderHistory[customer]),ROW(orderHistory[customer])),""),ROWS($A$15:A23)+$B$3)))),IF($D$13="",IF($D$15="",INDEX(orderHistory[status],SMALL(IF(ISNUMBER(MATCH(orderHistory[status],$D$11,0)),MATCH(ROW(orderHistory[customer]),ROW(orderHistory[customer])),""),ROWS($A$15:A23)+$B$3)),INDEX(orderHistory[status],SMALL(IF(ISNUMBER(MATCH(orderHistory[status],$D$11,0)*MATCH(YEAR(orderHistory[invoice_date]),$D$15,0)),MATCH(ROW(orderHistory[customer]),ROW(orderHistory[customer])),""),ROWS($A$15:A23)+$B$3))),IF($D$15="",INDEX(orderHistory[status],SMALL(IF(ISNUMBER(MATCH(orderHistory[status],$D$11,0)*MATCH(orderHistory[order_type],$D$13,0)),MATCH(ROW(orderHistory[customer]),ROW(orderHistory[customer])),""),ROWS($A$15:A23)+$B$3)),INDEX(orderHistory[status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status],SMALL(IF(ISNUMBER(MATCH(orderHistory[customer],$D$9,0)),MATCH(ROW(orderHistory[customer]),ROW(orderHistory[customer])),""),ROWS($A$15:A23)+$B$3)),INDEX(orderHistory[status],SMALL(IF(ISNUMBER(MATCH(orderHistory[customer],$D$9,0)*MATCH(YEAR(orderHistory[invoice_date]),$D$15,0)),MATCH(ROW(orderHistory[customer]),ROW(orderHistory[customer])),""),ROWS($A$15:A23)+$B$3))),IF($D$15="",INDEX(orderHistory[status],SMALL(IF(ISNUMBER(MATCH(orderHistory[customer],$D$9,0)*MATCH(orderHistory[order_type],$D$13,0)),MATCH(ROW(orderHistory[customer]),ROW(orderHistory[customer])),""),ROWS($A$15:A23)+$B$3)),INDEX(orderHistory[status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status],SMALL(IF(ISNUMBER(MATCH(orderHistory[customer],$D$9,0)*MATCH(orderHistory[status],$D$11,0)),MATCH(ROW(orderHistory[customer]),ROW(orderHistory[customer])),""),ROWS($A$15:A23)+$B$3)),INDEX(orderHistory[status],SMALL(IF(ISNUMBER(MATCH(orderHistory[customer],$D$9,0)*MATCH(orderHistory[status],$D$11,0)*MATCH(YEAR(orderHistory[status]),$D$15,0)),MATCH(ROW(orderHistory[customer]),ROW(orderHistory[customer])),""),ROWS($A$15:A23)+$B$3))),IF($D$15="",INDEX(orderHistory[status],SMALL(IF(ISNUMBER(MATCH(orderHistory[customer],$D$9,0)*MATCH(orderHistory[status],$D$11,0)*MATCH(orderHistory[order_type],$D$13,0)),MATCH(ROW(orderHistory[customer]),ROW(orderHistory[customer])),""),ROWS($A$15:A23)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W18" s="107"/>
      <c r="AO18" s="423"/>
      <c r="AQ18" s="462"/>
      <c r="AR18" s="485"/>
      <c r="AS18" s="486"/>
      <c r="AT18" s="487"/>
      <c r="AU18" s="421"/>
      <c r="AW18" s="462"/>
      <c r="AX18" s="488"/>
      <c r="AZ18" s="430"/>
      <c r="BB18" s="430"/>
      <c r="BD18" s="423"/>
      <c r="BI18" s="419"/>
      <c r="BJ18" s="421"/>
      <c r="BK18" s="450"/>
      <c r="BL18" s="451"/>
      <c r="BM18" s="452"/>
      <c r="BN18" s="451"/>
      <c r="BO18" s="452"/>
      <c r="BX18" s="841"/>
      <c r="BZ18" s="158"/>
      <c r="CA18" s="154" t="str">
        <f>IF(BZ18="","",INDEX(bhpc_data[description],MATCH(BZ18,bhpc_data[sku],0)))</f>
        <v/>
      </c>
      <c r="CB18" s="159"/>
      <c r="CC18" s="357"/>
      <c r="CD18" s="260"/>
      <c r="CE18" s="360"/>
      <c r="CF18" s="161"/>
      <c r="CG18" s="164" t="str">
        <f>IFERROR(ROUNDUP(CB18/INDEX(bhpc_data[units_per_carton],MATCH(BZ18,bhpc_data[sku],0)),0),"")</f>
        <v/>
      </c>
      <c r="CH18" s="165" t="str">
        <f>IFERROR(ROUNDUP(CD18/INDEX(bhpc_data[units_per_carton],MATCH(BZ18,bhpc_data[sku],0)),0),"")</f>
        <v/>
      </c>
      <c r="CI18" s="165" t="str">
        <f>IFERROR(ROUNDUP(CF18/INDEX(bhpc_data[units_per_carton],MATCH(BZ18,bhpc_data[sku])),0),"")</f>
        <v/>
      </c>
      <c r="CJ18" s="165" t="str">
        <f>IFERROR(((CB18+CD18+CF18)/INDEX(bhpc_data[units_per_carton],MATCH(BZ18,bhpc_data[sku],0)))*INDEX(bhpc_data[net_weight],MATCH(BZ18,bhpc_data[sku],0)),"")</f>
        <v/>
      </c>
      <c r="CK18" s="165" t="str">
        <f>IFERROR(((CB18+CD18+CF18)/INDEX(bhpc_data[units_per_carton],MATCH(BZ18,bhpc_data[sku],0)))*INDEX(bhpc_data[gross_weight],MATCH(BZ18,bhpc_data[sku],0)),"")</f>
        <v/>
      </c>
      <c r="CL18" s="180" t="str">
        <f>IFERROR((CB18+CD18+CF18)/INDEX(bhpc_data[units_per_carton],MATCH(BZ18,bhpc_data[sku],0))*INDEX(bhpc_data[lenght],MATCH(BZ18,bhpc_data[sku],0))*INDEX(bhpc_data[width],MATCH(BZ18,bhpc_data[sku],0))*INDEX(bhpc_data[height],MATCH(BZ18,bhpc_data[sku],0))/1000000000,"")</f>
        <v/>
      </c>
      <c r="CM18" s="189" t="str">
        <f>IFERROR(INDEX(bhpc_data[category],MATCH(BZ18,bhpc_data[sku],0)),"")</f>
        <v/>
      </c>
      <c r="CN18" s="189" t="str">
        <f>IFERROR(INDEX(bhpc_data[size1],MATCH(BZ18,bhpc_data[sku],0)),"")</f>
        <v/>
      </c>
      <c r="CO18" s="388" t="str">
        <f>IFERROR(INDEX(bhpc_data[hs_code],MATCH(BZ18,bhpc_data[sku],0)),"")</f>
        <v/>
      </c>
      <c r="CP18" s="377" t="str">
        <f>IFERROR(INDEX(inventory[ESISTENZA],MATCH(BZ18,inventory[ARTICOLO],0)),"")</f>
        <v/>
      </c>
      <c r="CQ18" s="364" t="str">
        <f>IFERROR(IF(BZ18="","",IF($BX$15="SALE",INDEX(inventory[COSTO UNITARIO],MATCH(BZ18,inventory[ARTICOLO],0)),IF($BX$15="SAMPLING",INDEX(inventory[COSTO UNITARIO],MATCH(BZ18,inventory[ARTICOLO],0)),""))),"")</f>
        <v/>
      </c>
      <c r="CR18" s="365" t="str">
        <f t="shared" si="0"/>
        <v/>
      </c>
      <c r="CS18" s="264" t="str">
        <f t="shared" si="1"/>
        <v/>
      </c>
      <c r="CU18" s="85"/>
      <c r="CV18" s="372" t="s">
        <v>609</v>
      </c>
      <c r="CW18" s="283">
        <f>SUMPRODUCT(CF10:CF110,CQ10:CQ110)</f>
        <v>560.64</v>
      </c>
      <c r="CX18" s="119" t="s">
        <v>610</v>
      </c>
      <c r="CY18" s="285">
        <f>IFERROR(CW18/CY12,"")</f>
        <v>1</v>
      </c>
      <c r="CZ18" s="82"/>
      <c r="DA18" s="432" t="str">
        <f>IFERROR(VLOOKUP(BZ18,bhpc_data[],22,FALSE),"")</f>
        <v/>
      </c>
      <c r="DH18" s="296"/>
      <c r="EE18" s="202" t="str" cm="1">
        <f t="array" ref="EE18">IFERROR(IF($EC$9="",IF($EC$11="",IF($EC$13="",INDEX(bhpc_data[sku],SMALL(MATCH(ROW(bhpc_data[sku]),ROW(bhpc_data[sku])),ROWS($A$15:A23)+$B$3)),INDEX(bhpc_data[sku],SMALL(IF(ISNUMBER(MATCH(bhpc_data[size1],$EC$13,0)),MATCH(ROW(bhpc_data[sku]),ROW(bhpc_data[sku])),""),ROWS($A$15:A23)+$B$3))),IF($EC$13="",INDEX(bhpc_data[sku],SMALL(IF(ISNUMBER(MATCH(bhpc_data[sex],$EC$11,0)),MATCH(ROW(bhpc_data[sku]),ROW(bhpc_data[sku])),""),ROWS($A$15:A23)+$B$3)),INDEX(bhpc_data[sku],SMALL(IF(ISNUMBER(MATCH(bhpc_data[sex],$EC$11,0)*MATCH(bhpc_data[size1],$EC$13,0)),MATCH(ROW(bhpc_data[sku]),ROW(bhpc_data[sku])),""),ROWS($A$15:A23)+$B$3)))),IF($EC$11="",IF($EC$13="",INDEX(bhpc_data[sku],SMALL(IF(ISNUMBER(MATCH(bhpc_data[category],$EC$9,0)),MATCH(ROW(bhpc_data[sku]),ROW(bhpc_data[sku])),""),ROWS($A$15:A23)+$B$3)),INDEX(bhpc_data[sku],SMALL(IF(ISNUMBER(MATCH(bhpc_data[category],$EC$9,0)*MATCH(bhpc_data[size1],$EC$13,0)),MATCH(ROW(bhpc_data[sku]),ROW(bhpc_data[sku])),""),ROWS($A$15:A23)+$B$3))),IF($EC$13="",INDEX(bhpc_data[sku],SMALL(IF(ISNUMBER(MATCH(bhpc_data[category],$EC$9,0)*MATCH(bhpc_data[sex],$EC$11,0)),MATCH(ROW(bhpc_data[sku]),ROW(bhpc_data[sku])),""),ROWS($A$15:A23)+$B$3)),INDEX(bhpc_data[sku],SMALL(IF(ISNUMBER(MATCH(bhpc_data[category],$EC$9,0)*MATCH(bhpc_data[sex],$EC$11,0)*MATCH(bhpc_data[size1],$EC$13,0)),MATCH(ROW(bhpc_data[sku]),ROW(bhpc_data[sku])),""),ROWS($A$15:A23)+$B$3))))),"")</f>
        <v>GS5028</v>
      </c>
      <c r="EF18" s="198" t="str" cm="1">
        <f t="array" ref="EF18">IFERROR(IF($EC$9="",IF($EC$11="",IF($EC$13="",INDEX(bhpc_data[description],SMALL(MATCH(ROW(bhpc_data[sku]),ROW(bhpc_data[sku])),ROWS($A$15:A23)+$B$3)),INDEX(bhpc_data[description],SMALL(IF(ISNUMBER(MATCH(bhpc_data[size1],$EC$13,0)),MATCH(ROW(bhpc_data[sku]),ROW(bhpc_data[sku])),""),ROWS($A$15:A23)+$B$3))),IF($EC$13="",INDEX(bhpc_data[description],SMALL(IF(ISNUMBER(MATCH(bhpc_data[sex],$EC$11,0)),MATCH(ROW(bhpc_data[sku]),ROW(bhpc_data[sku])),""),ROWS($A$15:A23)+$B$3)),INDEX(bhpc_data[description],SMALL(IF(ISNUMBER(MATCH(bhpc_data[sex],$EC$11,0)*MATCH(bhpc_data[size1],$EC$13,0)),MATCH(ROW(bhpc_data[sku]),ROW(bhpc_data[sku])),""),ROWS($A$15:A23)+$B$3)))),IF($EC$11="",IF($EC$13="",INDEX(bhpc_data[description],SMALL(IF(ISNUMBER(MATCH(bhpc_data[category],$EC$9,0)),MATCH(ROW(bhpc_data[sku]),ROW(bhpc_data[sku])),""),ROWS($A$15:A23)+$B$3)),INDEX(bhpc_data[description],SMALL(IF(ISNUMBER(MATCH(bhpc_data[category],$EC$9,0)*MATCH(bhpc_data[size1],$EC$13,0)),MATCH(ROW(bhpc_data[sku]),ROW(bhpc_data[sku])),""),ROWS($A$15:A23)+$B$3))),IF($EC$13="",INDEX(bhpc_data[description],SMALL(IF(ISNUMBER(MATCH(bhpc_data[category],$EC$9,0)*MATCH(bhpc_data[sex],$EC$11,0)),MATCH(ROW(bhpc_data[sku]),ROW(bhpc_data[sku])),""),ROWS($A$15:A23)+$B$3)),INDEX(bhpc_data[description],SMALL(IF(ISNUMBER(MATCH(bhpc_data[category],$EC$9,0)*MATCH(bhpc_data[sex],$EC$11,0)*MATCH(bhpc_data[size1],$EC$13,0)),MATCH(ROW(bhpc_data[sku]),ROW(bhpc_data[sku])),""),ROWS($A$15:A23)+$B$3))))),"")</f>
        <v>BHPC GIFT SET WOMEN 1 EDP 50ML + DEO 150ML</v>
      </c>
      <c r="EG18" s="263">
        <f>IFERROR(IF(warehouse[[#This Row],[SKU]]="","",INDEX(inventory[ESISTENZA],MATCH(warehouse[[#This Row],[SKU]],inventory[ARTICOLO],0))),"")</f>
        <v>471</v>
      </c>
      <c r="EH18" s="328"/>
      <c r="EI18" s="328"/>
      <c r="EJ18" s="263"/>
      <c r="EK18" s="113"/>
      <c r="FF18" s="413"/>
      <c r="FG18" s="413"/>
      <c r="FH18" s="413"/>
      <c r="FI18" s="413"/>
      <c r="FJ18" s="413"/>
      <c r="FK18" s="413"/>
      <c r="FL18" s="413"/>
      <c r="FM18" s="413"/>
      <c r="FN18" s="413"/>
      <c r="FO18" s="413"/>
      <c r="FP18" s="413"/>
      <c r="FQ18" s="413"/>
      <c r="FR18" s="413"/>
      <c r="FS18" s="413"/>
      <c r="FT18" s="413"/>
      <c r="FU18" s="413"/>
      <c r="FV18" s="413"/>
      <c r="FW18" s="413"/>
      <c r="FX18" s="413"/>
      <c r="FY18" s="413"/>
      <c r="FZ18" s="413"/>
      <c r="GA18" s="413"/>
      <c r="GB18" s="413"/>
      <c r="GC18" s="413"/>
      <c r="GD18" s="413"/>
      <c r="GE18" s="413"/>
      <c r="GF18" s="413"/>
      <c r="GG18" s="413"/>
      <c r="GH18" s="413"/>
      <c r="GI18" s="413"/>
      <c r="GJ18" s="413"/>
      <c r="GK18" s="413"/>
      <c r="GL18" s="413"/>
      <c r="GM18" s="413"/>
      <c r="GN18" s="413"/>
      <c r="GO18" s="413"/>
      <c r="GP18" s="413"/>
      <c r="GQ18" s="413"/>
      <c r="GR18" s="413"/>
      <c r="GS18" s="413"/>
      <c r="GT18" s="413"/>
      <c r="GU18" s="413"/>
      <c r="GV18" s="413"/>
      <c r="GW18" s="413"/>
      <c r="GX18" s="413"/>
      <c r="GY18" s="413"/>
      <c r="GZ18" s="413"/>
      <c r="HA18" s="413"/>
      <c r="HB18" s="413"/>
      <c r="HC18" s="413"/>
      <c r="HD18" s="413"/>
      <c r="HE18" s="413"/>
      <c r="HF18" s="413"/>
      <c r="HG18" s="413"/>
      <c r="HH18" s="413"/>
      <c r="HI18" s="413"/>
      <c r="HJ18" s="413"/>
      <c r="HK18" s="413"/>
      <c r="HL18" s="413"/>
      <c r="HM18" s="413"/>
      <c r="HN18" s="413"/>
      <c r="HO18" s="413"/>
      <c r="HP18" s="413"/>
      <c r="HQ18" s="413"/>
      <c r="HR18" s="413"/>
      <c r="HS18" s="413"/>
      <c r="HT18" s="413"/>
    </row>
    <row r="19" spans="1:228" ht="15" customHeight="1" thickBot="1" x14ac:dyDescent="0.4">
      <c r="D19" s="425" t="str">
        <f>IFERROR(IF(VLOOKUP($B$4,orderHistory[],18,FALSE)="PREPARING",VLOOKUP($B$4,orderHistory[],42,FALSE),""),"")</f>
        <v/>
      </c>
      <c r="F19" s="95"/>
      <c r="G19" s="99" t="s">
        <v>612</v>
      </c>
      <c r="H19" s="81"/>
      <c r="I19" s="81"/>
      <c r="J19" s="82"/>
      <c r="L19" s="539" t="str">
        <f t="array" ref="L19">IFERROR(IF($D$9="",IF($D$11="",IF($D$13="",IF($D$15="",INDEX(orderHistory[customer],SMALL(MATCH(ROW(orderHistory[customer]),ROW(orderHistory[customer])),ROWS($A$15:A24)+$B$3)),INDEX(orderHistory[customer],SMALL(IF(ISNUMBER(MATCH(YEAR(orderHistory[invoice_date]),$D$15,0)),MATCH(ROW(orderHistory[customer]),ROW(orderHistory[customer])),""),ROWS($A$15:A24)+$B$3))),IF($D$15="",INDEX(orderHistory[customer],SMALL(IF(ISNUMBER(MATCH(orderHistory[order_type],$D$13,0)),MATCH(ROW(orderHistory[customer]),ROW(orderHistory[customer])),""),ROWS($A$15:A24)+$B$3)),INDEX(orderHistory[customer],SMALL(IF(ISNUMBER(MATCH(orderHistory[order_type],$D$13,0)*MATCH(YEAR(orderHistory[invoice_date]),$D$15,0)),MATCH(ROW(orderHistory[customer]),ROW(orderHistory[customer])),""),ROWS($A$15:A24)+$B$3)))),IF($D$13="",IF($D$15="",INDEX(orderHistory[customer],SMALL(IF(ISNUMBER(MATCH(orderHistory[status],$D$11,0)),MATCH(ROW(orderHistory[customer]),ROW(orderHistory[customer])),""),ROWS($A$15:A24)+$B$3)),INDEX(orderHistory[customer],SMALL(IF(ISNUMBER(MATCH(orderHistory[status],$D$11,0)*MATCH(YEAR(orderHistory[invoice_date]),$D$15,0)),MATCH(ROW(orderHistory[customer]),ROW(orderHistory[customer])),""),ROWS($A$15:A24)+$B$3))),IF($D$15="",INDEX(orderHistory[customer],SMALL(IF(ISNUMBER(MATCH(orderHistory[status],$D$11,0)*MATCH(orderHistory[order_type],$D$13,0)),MATCH(ROW(orderHistory[customer]),ROW(orderHistory[customer])),""),ROWS($A$15:A24)+$B$3)),INDEX(orderHistory[customer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customer],SMALL(IF(ISNUMBER(MATCH(orderHistory[customer],$D$9,0)),MATCH(ROW(orderHistory[customer]),ROW(orderHistory[customer])),""),ROWS($A$15:A24)+$B$3)),INDEX(orderHistory[customer],SMALL(IF(ISNUMBER(MATCH(orderHistory[customer],$D$9,0)*MATCH(YEAR(orderHistory[invoice_date]),$D$15,0)),MATCH(ROW(orderHistory[customer]),ROW(orderHistory[customer])),""),ROWS($A$15:A24)+$B$3))),IF($D$15="",INDEX(orderHistory[customer],SMALL(IF(ISNUMBER(MATCH(orderHistory[customer],$D$9,0)*MATCH(orderHistory[order_type],$D$13,0)),MATCH(ROW(orderHistory[customer]),ROW(orderHistory[customer])),""),ROWS($A$15:A24)+$B$3)),INDEX(orderHistory[customer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customer],SMALL(IF(ISNUMBER(MATCH(orderHistory[customer],$D$9,0)*MATCH(orderHistory[status],$D$11,0)),MATCH(ROW(orderHistory[customer]),ROW(orderHistory[customer])),""),ROWS($A$15:A24)+$B$3)),INDEX(orderHistory[customer],SMALL(IF(ISNUMBER(MATCH(orderHistory[customer],$D$9,0)*MATCH(orderHistory[status],$D$11,0)*MATCH(YEAR(orderHistory[invoice_date]),$D$15,0)),MATCH(ROW(orderHistory[customer]),ROW(orderHistory[customer])),""),ROWS($A$15:A24)+$B$3))),IF($D$15="",INDEX(orderHistory[customer],SMALL(IF(ISNUMBER(MATCH(orderHistory[customer],$D$9,0)*MATCH(orderHistory[status],$D$11,0)*MATCH(orderHistory[order_type],$D$13,0)),MATCH(ROW(orderHistory[customer]),ROW(orderHistory[customer])),""),ROWS($A$15:A24)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M19" s="540" t="str">
        <f t="array" ref="M19">IFERROR(IF($D$9="",IF($D$11="",IF($D$13="",IF($D$15="",INDEX(orderHistory[order_no],SMALL(MATCH(ROW(orderHistory[customer]),ROW(orderHistory[customer])),ROWS($A$15:A24)+$B$3)),INDEX(orderHistory[order_no],SMALL(IF(ISNUMBER(MATCH(YEAR(orderHistory[invoice_date]),$D$15,0)),MATCH(ROW(orderHistory[customer]),ROW(orderHistory[customer])),""),ROWS($A$15:A24)+$B$3))),IF($D$15="",INDEX(orderHistory[order_no],SMALL(IF(ISNUMBER(MATCH(orderHistory[order_type],$D$13,0)),MATCH(ROW(orderHistory[customer]),ROW(orderHistory[customer])),""),ROWS($A$15:A24)+$B$3)),INDEX(orderHistory[order_no],SMALL(IF(ISNUMBER(MATCH(orderHistory[order_type],$D$13,0)*MATCH(YEAR(orderHistory[invoice_date]),$D$15,0)),MATCH(ROW(orderHistory[customer]),ROW(orderHistory[customer])),""),ROWS($A$15:A24)+$B$3)))),IF($D$13="",IF($D$15="",INDEX(orderHistory[order_no],SMALL(IF(ISNUMBER(MATCH(orderHistory[status],$D$11,0)),MATCH(ROW(orderHistory[customer]),ROW(orderHistory[customer])),""),ROWS($A$15:A24)+$B$3)),INDEX(orderHistory[order_no],SMALL(IF(ISNUMBER(MATCH(orderHistory[status],$D$11,0)*MATCH(YEAR(orderHistory[invoice_date]),$D$15,0)),MATCH(ROW(orderHistory[customer]),ROW(orderHistory[customer])),""),ROWS($A$15:A24)+$B$3))),IF($D$15="",INDEX(orderHistory[order_no],SMALL(IF(ISNUMBER(MATCH(orderHistory[status],$D$11,0)*MATCH(orderHistory[order_type],$D$13,0)),MATCH(ROW(orderHistory[customer]),ROW(orderHistory[customer])),""),ROWS($A$15:A24)+$B$3)),INDEX(orderHistory[order_no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no],SMALL(IF(ISNUMBER(MATCH(orderHistory[customer],$D$9,0)),MATCH(ROW(orderHistory[customer]),ROW(orderHistory[customer])),""),ROWS($A$15:A24)+$B$3)),INDEX(orderHistory[order_no],SMALL(IF(ISNUMBER(MATCH(orderHistory[customer],$D$9,0)*MATCH(YEAR(orderHistory[invoice_date]),$D$15,0)),MATCH(ROW(orderHistory[customer]),ROW(orderHistory[customer])),""),ROWS($A$15:A24)+$B$3))),IF($D$15="",INDEX(orderHistory[order_no],SMALL(IF(ISNUMBER(MATCH(orderHistory[customer],$D$9,0)*MATCH(orderHistory[order_type],$D$13,0)),MATCH(ROW(orderHistory[customer]),ROW(orderHistory[customer])),""),ROWS($A$15:A24)+$B$3)),INDEX(orderHistory[order_no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no],SMALL(IF(ISNUMBER(MATCH(orderHistory[customer],$D$9,0)*MATCH(orderHistory[status],$D$11,0)),MATCH(ROW(orderHistory[customer]),ROW(orderHistory[customer])),""),ROWS($A$15:A24)+$B$3)),INDEX(orderHistory[order_no],SMALL(IF(ISNUMBER(MATCH(orderHistory[customer],$D$9,0)*MATCH(orderHistory[status],$D$11,0)*MATCH(YEAR(orderHistory[invoice_date]),$D$15,0)),MATCH(ROW(orderHistory[customer]),ROW(orderHistory[customer])),""),ROWS($A$15:A24)+$B$3))),IF($D$15="",INDEX(orderHistory[order_no],SMALL(IF(ISNUMBER(MATCH(orderHistory[customer],$D$9,0)*MATCH(orderHistory[status],$D$11,0)*MATCH(orderHistory[order_type],$D$13,0)),MATCH(ROW(orderHistory[customer]),ROW(orderHistory[customer])),""),ROWS($A$15:A24)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N19" s="541" t="str">
        <f t="array" ref="N19">IFERROR(IF($D$9="",IF($D$11="",IF($D$13="",IF($D$15="",INDEX(orderHistory[order_type],SMALL(MATCH(ROW(orderHistory[customer]),ROW(orderHistory[customer])),ROWS($A$15:A24)+$B$3)),INDEX(orderHistory[order_type],SMALL(IF(ISNUMBER(MATCH(YEAR(orderHistory[invoice_date]),$D$15,0)),MATCH(ROW(orderHistory[customer]),ROW(orderHistory[customer])),""),ROWS($A$15:A24)+$B$3))),IF($D$15="",INDEX(orderHistory[order_type],SMALL(IF(ISNUMBER(MATCH(orderHistory[order_type],$D$13,0)),MATCH(ROW(orderHistory[customer]),ROW(orderHistory[customer])),""),ROWS($A$15:A24)+$B$3)),INDEX(orderHistory[order_type],SMALL(IF(ISNUMBER(MATCH(orderHistory[order_type],$D$13,0)*MATCH(YEAR(orderHistory[invoice_date]),$D$15,0)),MATCH(ROW(orderHistory[customer]),ROW(orderHistory[customer])),""),ROWS($A$15:A24)+$B$3)))),IF($D$13="",IF($D$15="",INDEX(orderHistory[order_type],SMALL(IF(ISNUMBER(MATCH(orderHistory[status],$D$11,0)),MATCH(ROW(orderHistory[customer]),ROW(orderHistory[customer])),""),ROWS($A$15:A24)+$B$3)),INDEX(orderHistory[order_type],SMALL(IF(ISNUMBER(MATCH(orderHistory[status],$D$11,0)*MATCH(YEAR(orderHistory[invoice_date]),$D$15,0)),MATCH(ROW(orderHistory[customer]),ROW(orderHistory[customer])),""),ROWS($A$15:A24)+$B$3))),IF($D$15="",INDEX(orderHistory[order_type],SMALL(IF(ISNUMBER(MATCH(orderHistory[status],$D$11,0)*MATCH(orderHistory[order_type],$D$13,0)),MATCH(ROW(orderHistory[customer]),ROW(orderHistory[customer])),""),ROWS($A$15:A24)+$B$3)),INDEX(orderHistory[order_typ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type],SMALL(IF(ISNUMBER(MATCH(orderHistory[customer],$D$9,0)),MATCH(ROW(orderHistory[customer]),ROW(orderHistory[customer])),""),ROWS($A$15:A24)+$B$3)),INDEX(orderHistory[order_type],SMALL(IF(ISNUMBER(MATCH(orderHistory[customer],$D$9,0)*MATCH(YEAR(orderHistory[invoice_date]),$D$15,0)),MATCH(ROW(orderHistory[customer]),ROW(orderHistory[customer])),""),ROWS($A$15:A24)+$B$3))),IF($D$15="",INDEX(orderHistory[order_type],SMALL(IF(ISNUMBER(MATCH(orderHistory[customer],$D$9,0)*MATCH(orderHistory[order_type],$D$13,0)),MATCH(ROW(orderHistory[customer]),ROW(orderHistory[customer])),""),ROWS($A$15:A24)+$B$3)),INDEX(orderHistory[order_typ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type],SMALL(IF(ISNUMBER(MATCH(orderHistory[customer],$D$9,0)*MATCH(orderHistory[status],$D$11,0)),MATCH(ROW(orderHistory[customer]),ROW(orderHistory[customer])),""),ROWS($A$15:A24)+$B$3)),INDEX(orderHistory[order_type],SMALL(IF(ISNUMBER(MATCH(orderHistory[customer],$D$9,0)*MATCH(orderHistory[status],$D$11,0)*MATCH(YEAR(orderHistory[invoice_date]),$D$15,0)),MATCH(ROW(orderHistory[customer]),ROW(orderHistory[customer])),""),ROWS($A$15:A24)+$B$3))),IF($D$15="",INDEX(orderHistory[order_type],SMALL(IF(ISNUMBER(MATCH(orderHistory[customer],$D$9,0)*MATCH(orderHistory[status],$D$11,0)*MATCH(orderHistory[order_type],$D$13,0)),MATCH(ROW(orderHistory[customer]),ROW(orderHistory[customer])),""),ROWS($A$15:A24)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O19" s="542" t="str">
        <f t="array" ref="O19">IFERROR(IF($D$9="",IF($D$11="",IF($D$13="",IF($D$15="",INDEX(orderHistory[order_date],SMALL(MATCH(ROW(orderHistory[customer]),ROW(orderHistory[customer])),ROWS($A$15:A24)+$B$3)),INDEX(orderHistory[order_date],SMALL(IF(ISNUMBER(MATCH(YEAR(orderHistory[invoice_date]),$D$15,0)),MATCH(ROW(orderHistory[customer]),ROW(orderHistory[customer])),""),ROWS($A$15:A24)+$B$3))),IF($D$15="",INDEX(orderHistory[order_date],SMALL(IF(ISNUMBER(MATCH(orderHistory[order_type],$D$13,0)),MATCH(ROW(orderHistory[customer]),ROW(orderHistory[customer])),""),ROWS($A$15:A24)+$B$3)),INDEX(orderHistory[order_date],SMALL(IF(ISNUMBER(MATCH(orderHistory[order_type],$D$13,0)*MATCH(YEAR(orderHistory[invoice_date]),$D$15,0)),MATCH(ROW(orderHistory[customer]),ROW(orderHistory[customer])),""),ROWS($A$15:A24)+$B$3)))),IF($D$13="",IF($D$15="",INDEX(orderHistory[order_date],SMALL(IF(ISNUMBER(MATCH(orderHistory[status],$D$11,0)),MATCH(ROW(orderHistory[customer]),ROW(orderHistory[customer])),""),ROWS($A$15:A24)+$B$3)),INDEX(orderHistory[order_date],SMALL(IF(ISNUMBER(MATCH(orderHistory[status],$D$11,0)*MATCH(YEAR(orderHistory[invoice_date]),$D$15,0)),MATCH(ROW(orderHistory[customer]),ROW(orderHistory[customer])),""),ROWS($A$15:A24)+$B$3))),IF($D$15="",INDEX(orderHistory[order_date],SMALL(IF(ISNUMBER(MATCH(orderHistory[status],$D$11,0)*MATCH(orderHistory[order_type],$D$13,0)),MATCH(ROW(orderHistory[customer]),ROW(orderHistory[customer])),""),ROWS($A$15:A24)+$B$3)),INDEX(orderHistory[order_dat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date],SMALL(IF(ISNUMBER(MATCH(orderHistory[customer],$D$9,0)),MATCH(ROW(orderHistory[customer]),ROW(orderHistory[customer])),""),ROWS($A$15:A24)+$B$3)),INDEX(orderHistory[order_date],SMALL(IF(ISNUMBER(MATCH(orderHistory[customer],$D$9,0)*MATCH(YEAR(orderHistory[invoice_date]),$D$15,0)),MATCH(ROW(orderHistory[customer]),ROW(orderHistory[customer])),""),ROWS($A$15:A24)+$B$3))),IF($D$15="",INDEX(orderHistory[order_date],SMALL(IF(ISNUMBER(MATCH(orderHistory[customer],$D$9,0)*MATCH(orderHistory[order_type],$D$13,0)),MATCH(ROW(orderHistory[customer]),ROW(orderHistory[customer])),""),ROWS($A$15:A24)+$B$3)),INDEX(orderHistory[order_dat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date],SMALL(IF(ISNUMBER(MATCH(orderHistory[customer],$D$9,0)*MATCH(orderHistory[status],$D$11,0)),MATCH(ROW(orderHistory[customer]),ROW(orderHistory[customer])),""),ROWS($A$15:A24)+$B$3)),INDEX(orderHistory[order_date],SMALL(IF(ISNUMBER(MATCH(orderHistory[customer],$D$9,0)*MATCH(orderHistory[status],$D$11,0)*MATCH(YEAR(orderHistory[invoice_date]),$D$15,0)),MATCH(ROW(orderHistory[customer]),ROW(orderHistory[customer])),""),ROWS($A$15:A24)+$B$3))),IF($D$15="",INDEX(orderHistory[order_date],SMALL(IF(ISNUMBER(MATCH(orderHistory[customer],$D$9,0)*MATCH(orderHistory[status],$D$11,0)*MATCH(orderHistory[order_type],$D$13,0)),MATCH(ROW(orderHistory[customer]),ROW(orderHistory[customer])),""),ROWS($A$15:A24)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P19" s="543" t="str">
        <f t="array" ref="P19">IFERROR(IF($D$9="",IF($D$11="",IF($D$13="",IF($D$15="",INDEX(orderHistory[invoice_no],SMALL(MATCH(ROW(orderHistory[customer]),ROW(orderHistory[customer])),ROWS($A$15:A24)+$B$3)),INDEX(orderHistory[invoice_no],SMALL(IF(ISNUMBER(MATCH(YEAR(orderHistory[invoice_date]),$D$15,0)),MATCH(ROW(orderHistory[customer]),ROW(orderHistory[customer])),""),ROWS($A$15:A24)+$B$3))),IF($D$15="",INDEX(orderHistory[invoice_no],SMALL(IF(ISNUMBER(MATCH(orderHistory[order_type],$D$13,0)),MATCH(ROW(orderHistory[customer]),ROW(orderHistory[customer])),""),ROWS($A$15:A24)+$B$3)),INDEX(orderHistory[invoice_no],SMALL(IF(ISNUMBER(MATCH(orderHistory[order_type],$D$13,0)*MATCH(YEAR(orderHistory[invoice_date]),$D$15,0)),MATCH(ROW(orderHistory[customer]),ROW(orderHistory[customer])),""),ROWS($A$15:A24)+$B$3)))),IF($D$13="",IF($D$15="",INDEX(orderHistory[invoice_no],SMALL(IF(ISNUMBER(MATCH(orderHistory[status],$D$11,0)),MATCH(ROW(orderHistory[customer]),ROW(orderHistory[customer])),""),ROWS($A$15:A24)+$B$3)),INDEX(orderHistory[invoice_no],SMALL(IF(ISNUMBER(MATCH(orderHistory[status],$D$11,0)*MATCH(YEAR(orderHistory[invoice_date]),$D$15,0)),MATCH(ROW(orderHistory[customer]),ROW(orderHistory[customer])),""),ROWS($A$15:A24)+$B$3))),IF($D$15="",INDEX(orderHistory[invoice_no],SMALL(IF(ISNUMBER(MATCH(orderHistory[status],$D$11,0)*MATCH(orderHistory[order_type],$D$13,0)),MATCH(ROW(orderHistory[customer]),ROW(orderHistory[customer])),""),ROWS($A$15:A24)+$B$3)),INDEX(orderHistory[invoice_no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oice_no],SMALL(IF(ISNUMBER(MATCH(orderHistory[customer],$D$9,0)),MATCH(ROW(orderHistory[customer]),ROW(orderHistory[customer])),""),ROWS($A$15:A24)+$B$3)),INDEX(orderHistory[invoice_no],SMALL(IF(ISNUMBER(MATCH(orderHistory[customer],$D$9,0)*MATCH(YEAR(orderHistory[invoice_date]),$D$15,0)),MATCH(ROW(orderHistory[customer]),ROW(orderHistory[customer])),""),ROWS($A$15:A24)+$B$3))),IF($D$15="",INDEX(orderHistory[invoice_no],SMALL(IF(ISNUMBER(MATCH(orderHistory[customer],$D$9,0)*MATCH(orderHistory[order_type],$D$13,0)),MATCH(ROW(orderHistory[customer]),ROW(orderHistory[customer])),""),ROWS($A$15:A24)+$B$3)),INDEX(orderHistory[invoice_no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YEAR(orderHistory[invoice_date]),$D$15,0)),MATCH(ROW(orderHistory[customer]),ROW(orderHistory[customer])),""),ROWS($A$15:A24)+$B$3))),IF($D$15="",INDEX(orderHistory[invoice_no],SMALL(IF(ISNUMBER(MATCH(orderHistory[customer],$D$9,0)*MATCH(orderHistory[status],$D$11,0)*MATCH(orderHistory[order_type],$D$13,0)),MATCH(ROW(orderHistory[customer]),ROW(orderHistory[customer])),""),ROWS($A$15:A24)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Q19" s="544" t="str">
        <f t="array" ref="Q19">IFERROR(IF($D$9="",IF($D$11="",IF($D$13="",IF($D$15="",INDEX(orderHistory[invoice_date],SMALL(MATCH(ROW(orderHistory[customer]),ROW(orderHistory[customer])),ROWS($A$15:A24)+$B$3)),INDEX(orderHistory[invoice_date],SMALL(IF(ISNUMBER(MATCH(YEAR(orderHistory[invoice_date]),$D$15,0)),MATCH(ROW(orderHistory[customer]),ROW(orderHistory[customer])),""),ROWS($A$15:A24)+$B$3))),IF($D$15="",INDEX(orderHistory[invoice_date],SMALL(IF(ISNUMBER(MATCH(orderHistory[order_type],$D$13,0)),MATCH(ROW(orderHistory[customer]),ROW(orderHistory[customer])),""),ROWS($A$15:A24)+$B$3)),INDEX(orderHistory[invoice_date],SMALL(IF(ISNUMBER(MATCH(orderHistory[order_type],$D$13,0)*MATCH(YEAR(orderHistory[invoice_date]),$D$15,0)),MATCH(ROW(orderHistory[customer]),ROW(orderHistory[customer])),""),ROWS($A$15:A24)+$B$3)))),IF($D$13="",IF($D$15="",INDEX(orderHistory[invoice_date],SMALL(IF(ISNUMBER(MATCH(orderHistory[status],$D$11,0)),MATCH(ROW(orderHistory[customer]),ROW(orderHistory[customer])),""),ROWS($A$15:A24)+$B$3)),INDEX(orderHistory[invoice_date],SMALL(IF(ISNUMBER(MATCH(orderHistory[status],$D$11,0)*MATCH(YEAR(orderHistory[invoice_date]),$D$15,0)),MATCH(ROW(orderHistory[customer]),ROW(orderHistory[customer])),""),ROWS($A$15:A24)+$B$3))),IF($D$15="",INDEX(orderHistory[invoice_date],SMALL(IF(ISNUMBER(MATCH(orderHistory[status],$D$11,0)*MATCH(orderHistory[order_type],$D$13,0)),MATCH(ROW(orderHistory[customer]),ROW(orderHistory[customer])),""),ROWS($A$15:A24)+$B$3)),INDEX(orderHistory[invoice_dat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oice_date],SMALL(IF(ISNUMBER(MATCH(orderHistory[customer],$D$9,0)),MATCH(ROW(orderHistory[customer]),ROW(orderHistory[customer])),""),ROWS($A$15:A24)+$B$3)),INDEX(orderHistory[invoice_date],SMALL(IF(ISNUMBER(MATCH(orderHistory[customer],$D$9,0)*MATCH(YEAR(orderHistory[invoice_date]),$D$15,0)),MATCH(ROW(orderHistory[customer]),ROW(orderHistory[customer])),""),ROWS($A$15:A24)+$B$3))),IF($D$15="",INDEX(orderHistory[invoice_date],SMALL(IF(ISNUMBER(MATCH(orderHistory[customer],$D$9,0)*MATCH(orderHistory[order_type],$D$13,0)),MATCH(ROW(orderHistory[customer]),ROW(orderHistory[customer])),""),ROWS($A$15:A24)+$B$3)),INDEX(orderHistory[invoice_dat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YEAR(orderHistory[invoice_date]),$D$15,0)),MATCH(ROW(orderHistory[customer]),ROW(orderHistory[customer])),""),ROWS($A$15:A24)+$B$3))),IF($D$15="",INDEX(orderHistory[invoice_date],SMALL(IF(ISNUMBER(MATCH(orderHistory[customer],$D$9,0)*MATCH(orderHistory[status],$D$11,0)*MATCH(orderHistory[order_type],$D$13,0)),MATCH(ROW(orderHistory[customer]),ROW(orderHistory[customer])),""),ROWS($A$15:A24)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R19" s="545" t="str">
        <f t="array" ref="R19">IFERROR(IF($D$9="",IF($D$11="",IF($D$13="",IF($D$15="",INDEX(orderHistory[inv_amount],SMALL(MATCH(ROW(orderHistory[customer]),ROW(orderHistory[customer])),ROWS($A$15:A24)+$B$3)),INDEX(orderHistory[inv_amount],SMALL(IF(ISNUMBER(MATCH(YEAR(orderHistory[invoice_date]),$D$15,0)),MATCH(ROW(orderHistory[customer]),ROW(orderHistory[customer])),""),ROWS($A$15:A24)+$B$3))),IF($D$15="",INDEX(orderHistory[inv_amount],SMALL(IF(ISNUMBER(MATCH(orderHistory[order_type],$D$13,0)),MATCH(ROW(orderHistory[customer]),ROW(orderHistory[customer])),""),ROWS($A$15:A24)+$B$3)),INDEX(orderHistory[inv_amount],SMALL(IF(ISNUMBER(MATCH(orderHistory[order_type],$D$13,0)*MATCH(YEAR(orderHistory[invoice_date]),$D$15,0)),MATCH(ROW(orderHistory[customer]),ROW(orderHistory[customer])),""),ROWS($A$15:A24)+$B$3)))),IF($D$13="",IF($D$15="",INDEX(orderHistory[inv_amount],SMALL(IF(ISNUMBER(MATCH(orderHistory[status],$D$11,0)),MATCH(ROW(orderHistory[customer]),ROW(orderHistory[customer])),""),ROWS($A$15:A24)+$B$3)),INDEX(orderHistory[inv_amount],SMALL(IF(ISNUMBER(MATCH(orderHistory[status],$D$11,0)*MATCH(YEAR(orderHistory[invoice_date]),$D$15,0)),MATCH(ROW(orderHistory[customer]),ROW(orderHistory[customer])),""),ROWS($A$15:A24)+$B$3))),IF($D$15="",INDEX(orderHistory[inv_amount],SMALL(IF(ISNUMBER(MATCH(orderHistory[status],$D$11,0)*MATCH(orderHistory[order_type],$D$13,0)),MATCH(ROW(orderHistory[customer]),ROW(orderHistory[customer])),""),ROWS($A$15:A24)+$B$3)),INDEX(orderHistory[inv_amount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_amount],SMALL(IF(ISNUMBER(MATCH(orderHistory[customer],$D$9,0)),MATCH(ROW(orderHistory[customer]),ROW(orderHistory[customer])),""),ROWS($A$15:A24)+$B$3)),INDEX(orderHistory[inv_amount],SMALL(IF(ISNUMBER(MATCH(orderHistory[customer],$D$9,0)*MATCH(YEAR(orderHistory[invoice_date]),$D$15,0)),MATCH(ROW(orderHistory[customer]),ROW(orderHistory[customer])),""),ROWS($A$15:A24)+$B$3))),IF($D$15="",INDEX(orderHistory[inv_amount],SMALL(IF(ISNUMBER(MATCH(orderHistory[customer],$D$9,0)*MATCH(orderHistory[order_type],$D$13,0)),MATCH(ROW(orderHistory[customer]),ROW(orderHistory[customer])),""),ROWS($A$15:A24)+$B$3)),INDEX(orderHistory[inv_amount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_amount],SMALL(IF(ISNUMBER(MATCH(orderHistory[customer],$D$9,0)*MATCH(orderHistory[status],$D$11,0)),MATCH(ROW(orderHistory[customer]),ROW(orderHistory[customer])),""),ROWS($A$15:A24)+$B$3)),INDEX(orderHistory[inv_amount],SMALL(IF(ISNUMBER(MATCH(orderHistory[customer],$D$9,0)*MATCH(orderHistory[status],$D$11,0)*MATCH(YEAR(orderHistory[inv_amount]),$D$15,0)),MATCH(ROW(orderHistory[customer]),ROW(orderHistory[customer])),""),ROWS($A$15:A24)+$B$3))),IF($D$15="",INDEX(orderHistory[inv_amount],SMALL(IF(ISNUMBER(MATCH(orderHistory[customer],$D$9,0)*MATCH(orderHistory[status],$D$11,0)*MATCH(orderHistory[order_type],$D$13,0)),MATCH(ROW(orderHistory[customer]),ROW(orderHistory[customer])),""),ROWS($A$15:A24)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S19" s="546" t="str">
        <f t="shared" si="2"/>
        <v/>
      </c>
      <c r="T19" s="547" t="str">
        <f t="array" ref="T19">IFERROR(IF($D$9="",IF($D$11="",IF($D$13="",IF($D$15="",INDEX(orderHistory[payed],SMALL(MATCH(ROW(orderHistory[customer]),ROW(orderHistory[customer])),ROWS($A$15:A24)+$B$3)),INDEX(orderHistory[payed],SMALL(IF(ISNUMBER(MATCH(YEAR(orderHistory[invoice_date]),$D$15,0)),MATCH(ROW(orderHistory[customer]),ROW(orderHistory[customer])),""),ROWS($A$15:A24)+$B$3))),IF($D$15="",INDEX(orderHistory[payed],SMALL(IF(ISNUMBER(MATCH(orderHistory[order_type],$D$13,0)),MATCH(ROW(orderHistory[customer]),ROW(orderHistory[customer])),""),ROWS($A$15:A24)+$B$3)),INDEX(orderHistory[payed],SMALL(IF(ISNUMBER(MATCH(orderHistory[order_type],$D$13,0)*MATCH(YEAR(orderHistory[invoice_date]),$D$15,0)),MATCH(ROW(orderHistory[customer]),ROW(orderHistory[customer])),""),ROWS($A$15:A24)+$B$3)))),IF($D$13="",IF($D$15="",INDEX(orderHistory[payed],SMALL(IF(ISNUMBER(MATCH(orderHistory[status],$D$11,0)),MATCH(ROW(orderHistory[customer]),ROW(orderHistory[customer])),""),ROWS($A$15:A24)+$B$3)),INDEX(orderHistory[payed],SMALL(IF(ISNUMBER(MATCH(orderHistory[status],$D$11,0)*MATCH(YEAR(orderHistory[invoice_date]),$D$15,0)),MATCH(ROW(orderHistory[customer]),ROW(orderHistory[customer])),""),ROWS($A$15:A24)+$B$3))),IF($D$15="",INDEX(orderHistory[payed],SMALL(IF(ISNUMBER(MATCH(orderHistory[status],$D$11,0)*MATCH(orderHistory[order_type],$D$13,0)),MATCH(ROW(orderHistory[customer]),ROW(orderHistory[customer])),""),ROWS($A$15:A24)+$B$3)),INDEX(orderHistory[payed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payed],SMALL(IF(ISNUMBER(MATCH(orderHistory[customer],$D$9,0)),MATCH(ROW(orderHistory[customer]),ROW(orderHistory[customer])),""),ROWS($A$15:A24)+$B$3)),INDEX(orderHistory[payed],SMALL(IF(ISNUMBER(MATCH(orderHistory[customer],$D$9,0)*MATCH(YEAR(orderHistory[invoice_date]),$D$15,0)),MATCH(ROW(orderHistory[customer]),ROW(orderHistory[customer])),""),ROWS($A$15:A24)+$B$3))),IF($D$15="",INDEX(orderHistory[payed],SMALL(IF(ISNUMBER(MATCH(orderHistory[customer],$D$9,0)*MATCH(orderHistory[order_type],$D$13,0)),MATCH(ROW(orderHistory[customer]),ROW(orderHistory[customer])),""),ROWS($A$15:A24)+$B$3)),INDEX(orderHistory[payed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payed],SMALL(IF(ISNUMBER(MATCH(orderHistory[customer],$D$9,0)*MATCH(orderHistory[status],$D$11,0)),MATCH(ROW(orderHistory[customer]),ROW(orderHistory[customer])),""),ROWS($A$15:A24)+$B$3)),INDEX(orderHistory[payed],SMALL(IF(ISNUMBER(MATCH(orderHistory[customer],$D$9,0)*MATCH(orderHistory[status],$D$11,0)*MATCH(YEAR(orderHistory[payed]),$D$15,0)),MATCH(ROW(orderHistory[customer]),ROW(orderHistory[customer])),""),ROWS($A$15:A24)+$B$3))),IF($D$15="",INDEX(orderHistory[payed],SMALL(IF(ISNUMBER(MATCH(orderHistory[customer],$D$9,0)*MATCH(orderHistory[status],$D$11,0)*MATCH(orderHistory[order_type],$D$13,0)),MATCH(ROW(orderHistory[customer]),ROW(orderHistory[customer])),""),ROWS($A$15:A24)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U19" s="541" t="str">
        <f t="array" ref="U19">IFERROR(IF($D$9="",IF($D$11="",IF($D$13="",IF($D$15="",INDEX(orderHistory[shipping_method],SMALL(MATCH(ROW(orderHistory[customer]),ROW(orderHistory[customer])),ROWS($A$15:A24)+$B$3)),INDEX(orderHistory[shipping_method],SMALL(IF(ISNUMBER(MATCH(YEAR(orderHistory[invoice_date]),$D$15,0)),MATCH(ROW(orderHistory[customer]),ROW(orderHistory[customer])),""),ROWS($A$15:A24)+$B$3))),IF($D$15="",INDEX(orderHistory[shipping_method],SMALL(IF(ISNUMBER(MATCH(orderHistory[order_type],$D$13,0)),MATCH(ROW(orderHistory[customer]),ROW(orderHistory[customer])),""),ROWS($A$15:A24)+$B$3)),INDEX(orderHistory[shipping_method],SMALL(IF(ISNUMBER(MATCH(orderHistory[order_type],$D$13,0)*MATCH(YEAR(orderHistory[invoice_date]),$D$15,0)),MATCH(ROW(orderHistory[customer]),ROW(orderHistory[customer])),""),ROWS($A$15:A24)+$B$3)))),IF($D$13="",IF($D$15="",INDEX(orderHistory[shipping_method],SMALL(IF(ISNUMBER(MATCH(orderHistory[status],$D$11,0)),MATCH(ROW(orderHistory[customer]),ROW(orderHistory[customer])),""),ROWS($A$15:A24)+$B$3)),INDEX(orderHistory[shipping_method],SMALL(IF(ISNUMBER(MATCH(orderHistory[status],$D$11,0)*MATCH(YEAR(orderHistory[invoice_date]),$D$15,0)),MATCH(ROW(orderHistory[customer]),ROW(orderHistory[customer])),""),ROWS($A$15:A24)+$B$3))),IF($D$15="",INDEX(orderHistory[shipping_method],SMALL(IF(ISNUMBER(MATCH(orderHistory[status],$D$11,0)*MATCH(orderHistory[order_type],$D$13,0)),MATCH(ROW(orderHistory[customer]),ROW(orderHistory[customer])),""),ROWS($A$15:A24)+$B$3)),INDEX(orderHistory[shipping_method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shipping_method],SMALL(IF(ISNUMBER(MATCH(orderHistory[customer],$D$9,0)),MATCH(ROW(orderHistory[customer]),ROW(orderHistory[customer])),""),ROWS($A$15:A24)+$B$3)),INDEX(orderHistory[shipping_method],SMALL(IF(ISNUMBER(MATCH(orderHistory[customer],$D$9,0)*MATCH(YEAR(orderHistory[invoice_date]),$D$15,0)),MATCH(ROW(orderHistory[customer]),ROW(orderHistory[customer])),""),ROWS($A$15:A24)+$B$3))),IF($D$15="",INDEX(orderHistory[shipping_method],SMALL(IF(ISNUMBER(MATCH(orderHistory[customer],$D$9,0)*MATCH(orderHistory[order_type],$D$13,0)),MATCH(ROW(orderHistory[customer]),ROW(orderHistory[customer])),""),ROWS($A$15:A24)+$B$3)),INDEX(orderHistory[shipping_method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shipping_method],SMALL(IF(ISNUMBER(MATCH(orderHistory[customer],$D$9,0)*MATCH(orderHistory[status],$D$11,0)),MATCH(ROW(orderHistory[customer]),ROW(orderHistory[customer])),""),ROWS($A$15:A24)+$B$3)),INDEX(orderHistory[shipping_method],SMALL(IF(ISNUMBER(MATCH(orderHistory[customer],$D$9,0)*MATCH(orderHistory[status],$D$11,0)*MATCH(YEAR(orderHistory[shipping_method]),$D$15,0)),MATCH(ROW(orderHistory[customer]),ROW(orderHistory[customer])),""),ROWS($A$15:A24)+$B$3))),IF($D$15="",INDEX(orderHistory[shipping_method],SMALL(IF(ISNUMBER(MATCH(orderHistory[customer],$D$9,0)*MATCH(orderHistory[status],$D$11,0)*MATCH(orderHistory[order_type],$D$13,0)),MATCH(ROW(orderHistory[customer]),ROW(orderHistory[customer])),""),ROWS($A$15:A24)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V19" s="548" t="str">
        <f t="array" ref="V19">IFERROR(IF($D$9="",IF($D$11="",IF($D$13="",IF($D$15="",INDEX(orderHistory[status],SMALL(MATCH(ROW(orderHistory[customer]),ROW(orderHistory[customer])),ROWS($A$15:A24)+$B$3)),INDEX(orderHistory[status],SMALL(IF(ISNUMBER(MATCH(YEAR(orderHistory[invoice_date]),$D$15,0)),MATCH(ROW(orderHistory[customer]),ROW(orderHistory[customer])),""),ROWS($A$15:A24)+$B$3))),IF($D$15="",INDEX(orderHistory[status],SMALL(IF(ISNUMBER(MATCH(orderHistory[order_type],$D$13,0)),MATCH(ROW(orderHistory[customer]),ROW(orderHistory[customer])),""),ROWS($A$15:A24)+$B$3)),INDEX(orderHistory[status],SMALL(IF(ISNUMBER(MATCH(orderHistory[order_type],$D$13,0)*MATCH(YEAR(orderHistory[invoice_date]),$D$15,0)),MATCH(ROW(orderHistory[customer]),ROW(orderHistory[customer])),""),ROWS($A$15:A24)+$B$3)))),IF($D$13="",IF($D$15="",INDEX(orderHistory[status],SMALL(IF(ISNUMBER(MATCH(orderHistory[status],$D$11,0)),MATCH(ROW(orderHistory[customer]),ROW(orderHistory[customer])),""),ROWS($A$15:A24)+$B$3)),INDEX(orderHistory[status],SMALL(IF(ISNUMBER(MATCH(orderHistory[status],$D$11,0)*MATCH(YEAR(orderHistory[invoice_date]),$D$15,0)),MATCH(ROW(orderHistory[customer]),ROW(orderHistory[customer])),""),ROWS($A$15:A24)+$B$3))),IF($D$15="",INDEX(orderHistory[status],SMALL(IF(ISNUMBER(MATCH(orderHistory[status],$D$11,0)*MATCH(orderHistory[order_type],$D$13,0)),MATCH(ROW(orderHistory[customer]),ROW(orderHistory[customer])),""),ROWS($A$15:A24)+$B$3)),INDEX(orderHistory[status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status],SMALL(IF(ISNUMBER(MATCH(orderHistory[customer],$D$9,0)),MATCH(ROW(orderHistory[customer]),ROW(orderHistory[customer])),""),ROWS($A$15:A24)+$B$3)),INDEX(orderHistory[status],SMALL(IF(ISNUMBER(MATCH(orderHistory[customer],$D$9,0)*MATCH(YEAR(orderHistory[invoice_date]),$D$15,0)),MATCH(ROW(orderHistory[customer]),ROW(orderHistory[customer])),""),ROWS($A$15:A24)+$B$3))),IF($D$15="",INDEX(orderHistory[status],SMALL(IF(ISNUMBER(MATCH(orderHistory[customer],$D$9,0)*MATCH(orderHistory[order_type],$D$13,0)),MATCH(ROW(orderHistory[customer]),ROW(orderHistory[customer])),""),ROWS($A$15:A24)+$B$3)),INDEX(orderHistory[status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status],SMALL(IF(ISNUMBER(MATCH(orderHistory[customer],$D$9,0)*MATCH(orderHistory[status],$D$11,0)),MATCH(ROW(orderHistory[customer]),ROW(orderHistory[customer])),""),ROWS($A$15:A24)+$B$3)),INDEX(orderHistory[status],SMALL(IF(ISNUMBER(MATCH(orderHistory[customer],$D$9,0)*MATCH(orderHistory[status],$D$11,0)*MATCH(YEAR(orderHistory[status]),$D$15,0)),MATCH(ROW(orderHistory[customer]),ROW(orderHistory[customer])),""),ROWS($A$15:A24)+$B$3))),IF($D$15="",INDEX(orderHistory[status],SMALL(IF(ISNUMBER(MATCH(orderHistory[customer],$D$9,0)*MATCH(orderHistory[status],$D$11,0)*MATCH(orderHistory[order_type],$D$13,0)),MATCH(ROW(orderHistory[customer]),ROW(orderHistory[customer])),""),ROWS($A$15:A24)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W19" s="107"/>
      <c r="AO19" s="423"/>
      <c r="AQ19" s="462"/>
      <c r="AR19" s="485"/>
      <c r="AU19" s="421"/>
      <c r="AW19" s="462"/>
      <c r="AX19" s="472"/>
      <c r="AZ19" s="422"/>
      <c r="BB19" s="473"/>
      <c r="BD19" s="835"/>
      <c r="BE19" s="836"/>
      <c r="BF19" s="836"/>
      <c r="BG19" s="836"/>
      <c r="BH19" s="837"/>
      <c r="BJ19" s="421"/>
      <c r="BK19" s="450"/>
      <c r="BL19" s="451"/>
      <c r="BM19" s="452"/>
      <c r="BN19" s="451"/>
      <c r="BO19" s="452"/>
      <c r="BX19" s="842"/>
      <c r="BZ19" s="158"/>
      <c r="CA19" s="154" t="str">
        <f>IF(BZ19="","",INDEX(bhpc_data[description],MATCH(BZ19,bhpc_data[sku],0)))</f>
        <v/>
      </c>
      <c r="CB19" s="159"/>
      <c r="CC19" s="357"/>
      <c r="CD19" s="160"/>
      <c r="CE19" s="360"/>
      <c r="CF19" s="161"/>
      <c r="CG19" s="164" t="str">
        <f>IFERROR(ROUNDUP(CB19/INDEX(bhpc_data[units_per_carton],MATCH(BZ19,bhpc_data[sku],0)),0),"")</f>
        <v/>
      </c>
      <c r="CH19" s="165" t="str">
        <f>IFERROR(ROUNDUP(CD19/INDEX(bhpc_data[units_per_carton],MATCH(BZ19,bhpc_data[sku],0)),0),"")</f>
        <v/>
      </c>
      <c r="CI19" s="165" t="str">
        <f>IFERROR(ROUNDUP(CF19/INDEX(bhpc_data[units_per_carton],MATCH(BZ19,bhpc_data[sku])),0),"")</f>
        <v/>
      </c>
      <c r="CJ19" s="165" t="str">
        <f>IFERROR(((CB19+CD19+CF19)/INDEX(bhpc_data[units_per_carton],MATCH(BZ19,bhpc_data[sku],0)))*INDEX(bhpc_data[net_weight],MATCH(BZ19,bhpc_data[sku],0)),"")</f>
        <v/>
      </c>
      <c r="CK19" s="165" t="str">
        <f>IFERROR(((CB19+CD19+CF19)/INDEX(bhpc_data[units_per_carton],MATCH(BZ19,bhpc_data[sku],0)))*INDEX(bhpc_data[gross_weight],MATCH(BZ19,bhpc_data[sku],0)),"")</f>
        <v/>
      </c>
      <c r="CL19" s="180" t="str">
        <f>IFERROR((CB19+CD19+CF19)/INDEX(bhpc_data[units_per_carton],MATCH(BZ19,bhpc_data[sku],0))*INDEX(bhpc_data[lenght],MATCH(BZ19,bhpc_data[sku],0))*INDEX(bhpc_data[width],MATCH(BZ19,bhpc_data[sku],0))*INDEX(bhpc_data[height],MATCH(BZ19,bhpc_data[sku],0))/1000000000,"")</f>
        <v/>
      </c>
      <c r="CM19" s="189" t="str">
        <f>IFERROR(INDEX(bhpc_data[category],MATCH(BZ19,bhpc_data[sku],0)),"")</f>
        <v/>
      </c>
      <c r="CN19" s="189" t="str">
        <f>IFERROR(INDEX(bhpc_data[size1],MATCH(BZ19,bhpc_data[sku],0)),"")</f>
        <v/>
      </c>
      <c r="CO19" s="388" t="str">
        <f>IFERROR(INDEX(bhpc_data[hs_code],MATCH(BZ19,bhpc_data[sku],0)),"")</f>
        <v/>
      </c>
      <c r="CP19" s="377" t="str">
        <f>IFERROR(INDEX(inventory[ESISTENZA],MATCH(BZ19,inventory[ARTICOLO],0)),"")</f>
        <v/>
      </c>
      <c r="CQ19" s="364" t="str">
        <f>IFERROR(IF(BZ19="","",IF($BX$15="SALE",INDEX(inventory[COSTO UNITARIO],MATCH(BZ19,inventory[ARTICOLO],0)),IF($BX$15="SAMPLING",INDEX(inventory[COSTO UNITARIO],MATCH(BZ19,inventory[ARTICOLO],0)),""))),"")</f>
        <v/>
      </c>
      <c r="CR19" s="365" t="str">
        <f t="shared" si="0"/>
        <v/>
      </c>
      <c r="CS19" s="264" t="str">
        <f t="shared" si="1"/>
        <v/>
      </c>
      <c r="CU19" s="88"/>
      <c r="CV19" s="117"/>
      <c r="CW19" s="83"/>
      <c r="CX19" s="117"/>
      <c r="CY19" s="83"/>
      <c r="CZ19" s="84"/>
      <c r="DA19" s="432" t="str">
        <f>IFERROR(VLOOKUP(BZ19,bhpc_data[],22,FALSE),"")</f>
        <v/>
      </c>
      <c r="DH19" s="296"/>
      <c r="EE19" s="202" t="str" cm="1">
        <f t="array" ref="EE19">IFERROR(IF($EC$9="",IF($EC$11="",IF($EC$13="",INDEX(bhpc_data[sku],SMALL(MATCH(ROW(bhpc_data[sku]),ROW(bhpc_data[sku])),ROWS($A$15:A24)+$B$3)),INDEX(bhpc_data[sku],SMALL(IF(ISNUMBER(MATCH(bhpc_data[size1],$EC$13,0)),MATCH(ROW(bhpc_data[sku]),ROW(bhpc_data[sku])),""),ROWS($A$15:A24)+$B$3))),IF($EC$13="",INDEX(bhpc_data[sku],SMALL(IF(ISNUMBER(MATCH(bhpc_data[sex],$EC$11,0)),MATCH(ROW(bhpc_data[sku]),ROW(bhpc_data[sku])),""),ROWS($A$15:A24)+$B$3)),INDEX(bhpc_data[sku],SMALL(IF(ISNUMBER(MATCH(bhpc_data[sex],$EC$11,0)*MATCH(bhpc_data[size1],$EC$13,0)),MATCH(ROW(bhpc_data[sku]),ROW(bhpc_data[sku])),""),ROWS($A$15:A24)+$B$3)))),IF($EC$11="",IF($EC$13="",INDEX(bhpc_data[sku],SMALL(IF(ISNUMBER(MATCH(bhpc_data[category],$EC$9,0)),MATCH(ROW(bhpc_data[sku]),ROW(bhpc_data[sku])),""),ROWS($A$15:A24)+$B$3)),INDEX(bhpc_data[sku],SMALL(IF(ISNUMBER(MATCH(bhpc_data[category],$EC$9,0)*MATCH(bhpc_data[size1],$EC$13,0)),MATCH(ROW(bhpc_data[sku]),ROW(bhpc_data[sku])),""),ROWS($A$15:A24)+$B$3))),IF($EC$13="",INDEX(bhpc_data[sku],SMALL(IF(ISNUMBER(MATCH(bhpc_data[category],$EC$9,0)*MATCH(bhpc_data[sex],$EC$11,0)),MATCH(ROW(bhpc_data[sku]),ROW(bhpc_data[sku])),""),ROWS($A$15:A24)+$B$3)),INDEX(bhpc_data[sku],SMALL(IF(ISNUMBER(MATCH(bhpc_data[category],$EC$9,0)*MATCH(bhpc_data[sex],$EC$11,0)*MATCH(bhpc_data[size1],$EC$13,0)),MATCH(ROW(bhpc_data[sku]),ROW(bhpc_data[sku])),""),ROWS($A$15:A24)+$B$3))))),"")</f>
        <v>GS5029</v>
      </c>
      <c r="EF19" s="198" t="str" cm="1">
        <f t="array" ref="EF19">IFERROR(IF($EC$9="",IF($EC$11="",IF($EC$13="",INDEX(bhpc_data[description],SMALL(MATCH(ROW(bhpc_data[sku]),ROW(bhpc_data[sku])),ROWS($A$15:A24)+$B$3)),INDEX(bhpc_data[description],SMALL(IF(ISNUMBER(MATCH(bhpc_data[size1],$EC$13,0)),MATCH(ROW(bhpc_data[sku]),ROW(bhpc_data[sku])),""),ROWS($A$15:A24)+$B$3))),IF($EC$13="",INDEX(bhpc_data[description],SMALL(IF(ISNUMBER(MATCH(bhpc_data[sex],$EC$11,0)),MATCH(ROW(bhpc_data[sku]),ROW(bhpc_data[sku])),""),ROWS($A$15:A24)+$B$3)),INDEX(bhpc_data[description],SMALL(IF(ISNUMBER(MATCH(bhpc_data[sex],$EC$11,0)*MATCH(bhpc_data[size1],$EC$13,0)),MATCH(ROW(bhpc_data[sku]),ROW(bhpc_data[sku])),""),ROWS($A$15:A24)+$B$3)))),IF($EC$11="",IF($EC$13="",INDEX(bhpc_data[description],SMALL(IF(ISNUMBER(MATCH(bhpc_data[category],$EC$9,0)),MATCH(ROW(bhpc_data[sku]),ROW(bhpc_data[sku])),""),ROWS($A$15:A24)+$B$3)),INDEX(bhpc_data[description],SMALL(IF(ISNUMBER(MATCH(bhpc_data[category],$EC$9,0)*MATCH(bhpc_data[size1],$EC$13,0)),MATCH(ROW(bhpc_data[sku]),ROW(bhpc_data[sku])),""),ROWS($A$15:A24)+$B$3))),IF($EC$13="",INDEX(bhpc_data[description],SMALL(IF(ISNUMBER(MATCH(bhpc_data[category],$EC$9,0)*MATCH(bhpc_data[sex],$EC$11,0)),MATCH(ROW(bhpc_data[sku]),ROW(bhpc_data[sku])),""),ROWS($A$15:A24)+$B$3)),INDEX(bhpc_data[description],SMALL(IF(ISNUMBER(MATCH(bhpc_data[category],$EC$9,0)*MATCH(bhpc_data[sex],$EC$11,0)*MATCH(bhpc_data[size1],$EC$13,0)),MATCH(ROW(bhpc_data[sku]),ROW(bhpc_data[sku])),""),ROWS($A$15:A24)+$B$3))))),"")</f>
        <v>BHPC GIFT SET WOMEN 9 EDP 50ML + DEO 150ML</v>
      </c>
      <c r="EG19" s="263">
        <f>IFERROR(IF(warehouse[[#This Row],[SKU]]="","",INDEX(inventory[ESISTENZA],MATCH(warehouse[[#This Row],[SKU]],inventory[ARTICOLO],0))),"")</f>
        <v>303</v>
      </c>
      <c r="EH19" s="328"/>
      <c r="EI19" s="328"/>
      <c r="EJ19" s="263"/>
      <c r="EK19" s="113"/>
      <c r="FF19" s="413"/>
      <c r="FG19" s="413"/>
      <c r="FH19" s="413"/>
      <c r="FI19" s="413"/>
      <c r="FJ19" s="413"/>
      <c r="FK19" s="413"/>
      <c r="FL19" s="413"/>
      <c r="FM19" s="413"/>
      <c r="FN19" s="413"/>
      <c r="FO19" s="413"/>
      <c r="FP19" s="413"/>
      <c r="FQ19" s="413"/>
      <c r="FR19" s="413"/>
      <c r="FS19" s="413"/>
      <c r="FT19" s="413"/>
      <c r="FU19" s="413"/>
      <c r="FV19" s="413"/>
      <c r="FW19" s="413"/>
      <c r="FX19" s="413"/>
      <c r="FY19" s="413"/>
      <c r="FZ19" s="413"/>
      <c r="GA19" s="413"/>
      <c r="GB19" s="413"/>
      <c r="GC19" s="413"/>
      <c r="GD19" s="413"/>
      <c r="GE19" s="413"/>
      <c r="GF19" s="413"/>
      <c r="GG19" s="413"/>
      <c r="GH19" s="413"/>
      <c r="GI19" s="413"/>
      <c r="GJ19" s="413"/>
      <c r="GK19" s="413"/>
      <c r="GL19" s="413"/>
      <c r="GM19" s="413"/>
      <c r="GN19" s="413"/>
      <c r="GO19" s="413"/>
      <c r="GP19" s="413"/>
      <c r="GQ19" s="413"/>
      <c r="GR19" s="413"/>
      <c r="GS19" s="413"/>
      <c r="GT19" s="413"/>
      <c r="GU19" s="413"/>
      <c r="GV19" s="413"/>
      <c r="GW19" s="413"/>
      <c r="GX19" s="413"/>
      <c r="GY19" s="413"/>
      <c r="GZ19" s="413"/>
      <c r="HA19" s="413"/>
      <c r="HB19" s="413"/>
      <c r="HC19" s="413"/>
      <c r="HD19" s="413"/>
      <c r="HE19" s="413"/>
      <c r="HF19" s="413"/>
      <c r="HG19" s="413"/>
      <c r="HH19" s="413"/>
      <c r="HI19" s="413"/>
      <c r="HJ19" s="413"/>
      <c r="HK19" s="413"/>
      <c r="HL19" s="413"/>
      <c r="HM19" s="413"/>
      <c r="HN19" s="413"/>
      <c r="HO19" s="413"/>
      <c r="HP19" s="413"/>
      <c r="HQ19" s="413"/>
      <c r="HR19" s="413"/>
      <c r="HS19" s="413"/>
      <c r="HT19" s="413"/>
    </row>
    <row r="20" spans="1:228" ht="15" customHeight="1" thickBot="1" x14ac:dyDescent="0.4">
      <c r="D20" s="426" t="s">
        <v>1058</v>
      </c>
      <c r="F20" s="91"/>
      <c r="G20" s="823">
        <f>IFERROR(INDEX(clientData[vat_no],MATCH($B$6,clientData[cod_cliente],0)),"")</f>
        <v>0</v>
      </c>
      <c r="H20" s="824"/>
      <c r="I20" s="825"/>
      <c r="J20" s="82"/>
      <c r="L20" s="539" t="str">
        <f t="array" ref="L20">IFERROR(IF($D$9="",IF($D$11="",IF($D$13="",IF($D$15="",INDEX(orderHistory[customer],SMALL(MATCH(ROW(orderHistory[customer]),ROW(orderHistory[customer])),ROWS($A$15:A25)+$B$3)),INDEX(orderHistory[customer],SMALL(IF(ISNUMBER(MATCH(YEAR(orderHistory[invoice_date]),$D$15,0)),MATCH(ROW(orderHistory[customer]),ROW(orderHistory[customer])),""),ROWS($A$15:A25)+$B$3))),IF($D$15="",INDEX(orderHistory[customer],SMALL(IF(ISNUMBER(MATCH(orderHistory[order_type],$D$13,0)),MATCH(ROW(orderHistory[customer]),ROW(orderHistory[customer])),""),ROWS($A$15:A25)+$B$3)),INDEX(orderHistory[customer],SMALL(IF(ISNUMBER(MATCH(orderHistory[order_type],$D$13,0)*MATCH(YEAR(orderHistory[invoice_date]),$D$15,0)),MATCH(ROW(orderHistory[customer]),ROW(orderHistory[customer])),""),ROWS($A$15:A25)+$B$3)))),IF($D$13="",IF($D$15="",INDEX(orderHistory[customer],SMALL(IF(ISNUMBER(MATCH(orderHistory[status],$D$11,0)),MATCH(ROW(orderHistory[customer]),ROW(orderHistory[customer])),""),ROWS($A$15:A25)+$B$3)),INDEX(orderHistory[customer],SMALL(IF(ISNUMBER(MATCH(orderHistory[status],$D$11,0)*MATCH(YEAR(orderHistory[invoice_date]),$D$15,0)),MATCH(ROW(orderHistory[customer]),ROW(orderHistory[customer])),""),ROWS($A$15:A25)+$B$3))),IF($D$15="",INDEX(orderHistory[customer],SMALL(IF(ISNUMBER(MATCH(orderHistory[status],$D$11,0)*MATCH(orderHistory[order_type],$D$13,0)),MATCH(ROW(orderHistory[customer]),ROW(orderHistory[customer])),""),ROWS($A$15:A25)+$B$3)),INDEX(orderHistory[customer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customer],SMALL(IF(ISNUMBER(MATCH(orderHistory[customer],$D$9,0)),MATCH(ROW(orderHistory[customer]),ROW(orderHistory[customer])),""),ROWS($A$15:A25)+$B$3)),INDEX(orderHistory[customer],SMALL(IF(ISNUMBER(MATCH(orderHistory[customer],$D$9,0)*MATCH(YEAR(orderHistory[invoice_date]),$D$15,0)),MATCH(ROW(orderHistory[customer]),ROW(orderHistory[customer])),""),ROWS($A$15:A25)+$B$3))),IF($D$15="",INDEX(orderHistory[customer],SMALL(IF(ISNUMBER(MATCH(orderHistory[customer],$D$9,0)*MATCH(orderHistory[order_type],$D$13,0)),MATCH(ROW(orderHistory[customer]),ROW(orderHistory[customer])),""),ROWS($A$15:A25)+$B$3)),INDEX(orderHistory[customer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customer],SMALL(IF(ISNUMBER(MATCH(orderHistory[customer],$D$9,0)*MATCH(orderHistory[status],$D$11,0)),MATCH(ROW(orderHistory[customer]),ROW(orderHistory[customer])),""),ROWS($A$15:A25)+$B$3)),INDEX(orderHistory[customer],SMALL(IF(ISNUMBER(MATCH(orderHistory[customer],$D$9,0)*MATCH(orderHistory[status],$D$11,0)*MATCH(YEAR(orderHistory[invoice_date]),$D$15,0)),MATCH(ROW(orderHistory[customer]),ROW(orderHistory[customer])),""),ROWS($A$15:A25)+$B$3))),IF($D$15="",INDEX(orderHistory[customer],SMALL(IF(ISNUMBER(MATCH(orderHistory[customer],$D$9,0)*MATCH(orderHistory[status],$D$11,0)*MATCH(orderHistory[order_type],$D$13,0)),MATCH(ROW(orderHistory[customer]),ROW(orderHistory[customer])),""),ROWS($A$15:A25)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M20" s="540" t="str">
        <f t="array" ref="M20">IFERROR(IF($D$9="",IF($D$11="",IF($D$13="",IF($D$15="",INDEX(orderHistory[order_no],SMALL(MATCH(ROW(orderHistory[customer]),ROW(orderHistory[customer])),ROWS($A$15:A25)+$B$3)),INDEX(orderHistory[order_no],SMALL(IF(ISNUMBER(MATCH(YEAR(orderHistory[invoice_date]),$D$15,0)),MATCH(ROW(orderHistory[customer]),ROW(orderHistory[customer])),""),ROWS($A$15:A25)+$B$3))),IF($D$15="",INDEX(orderHistory[order_no],SMALL(IF(ISNUMBER(MATCH(orderHistory[order_type],$D$13,0)),MATCH(ROW(orderHistory[customer]),ROW(orderHistory[customer])),""),ROWS($A$15:A25)+$B$3)),INDEX(orderHistory[order_no],SMALL(IF(ISNUMBER(MATCH(orderHistory[order_type],$D$13,0)*MATCH(YEAR(orderHistory[invoice_date]),$D$15,0)),MATCH(ROW(orderHistory[customer]),ROW(orderHistory[customer])),""),ROWS($A$15:A25)+$B$3)))),IF($D$13="",IF($D$15="",INDEX(orderHistory[order_no],SMALL(IF(ISNUMBER(MATCH(orderHistory[status],$D$11,0)),MATCH(ROW(orderHistory[customer]),ROW(orderHistory[customer])),""),ROWS($A$15:A25)+$B$3)),INDEX(orderHistory[order_no],SMALL(IF(ISNUMBER(MATCH(orderHistory[status],$D$11,0)*MATCH(YEAR(orderHistory[invoice_date]),$D$15,0)),MATCH(ROW(orderHistory[customer]),ROW(orderHistory[customer])),""),ROWS($A$15:A25)+$B$3))),IF($D$15="",INDEX(orderHistory[order_no],SMALL(IF(ISNUMBER(MATCH(orderHistory[status],$D$11,0)*MATCH(orderHistory[order_type],$D$13,0)),MATCH(ROW(orderHistory[customer]),ROW(orderHistory[customer])),""),ROWS($A$15:A25)+$B$3)),INDEX(orderHistory[order_no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no],SMALL(IF(ISNUMBER(MATCH(orderHistory[customer],$D$9,0)),MATCH(ROW(orderHistory[customer]),ROW(orderHistory[customer])),""),ROWS($A$15:A25)+$B$3)),INDEX(orderHistory[order_no],SMALL(IF(ISNUMBER(MATCH(orderHistory[customer],$D$9,0)*MATCH(YEAR(orderHistory[invoice_date]),$D$15,0)),MATCH(ROW(orderHistory[customer]),ROW(orderHistory[customer])),""),ROWS($A$15:A25)+$B$3))),IF($D$15="",INDEX(orderHistory[order_no],SMALL(IF(ISNUMBER(MATCH(orderHistory[customer],$D$9,0)*MATCH(orderHistory[order_type],$D$13,0)),MATCH(ROW(orderHistory[customer]),ROW(orderHistory[customer])),""),ROWS($A$15:A25)+$B$3)),INDEX(orderHistory[order_no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no],SMALL(IF(ISNUMBER(MATCH(orderHistory[customer],$D$9,0)*MATCH(orderHistory[status],$D$11,0)),MATCH(ROW(orderHistory[customer]),ROW(orderHistory[customer])),""),ROWS($A$15:A25)+$B$3)),INDEX(orderHistory[order_no],SMALL(IF(ISNUMBER(MATCH(orderHistory[customer],$D$9,0)*MATCH(orderHistory[status],$D$11,0)*MATCH(YEAR(orderHistory[invoice_date]),$D$15,0)),MATCH(ROW(orderHistory[customer]),ROW(orderHistory[customer])),""),ROWS($A$15:A25)+$B$3))),IF($D$15="",INDEX(orderHistory[order_no],SMALL(IF(ISNUMBER(MATCH(orderHistory[customer],$D$9,0)*MATCH(orderHistory[status],$D$11,0)*MATCH(orderHistory[order_type],$D$13,0)),MATCH(ROW(orderHistory[customer]),ROW(orderHistory[customer])),""),ROWS($A$15:A25)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N20" s="541" t="str">
        <f t="array" ref="N20">IFERROR(IF($D$9="",IF($D$11="",IF($D$13="",IF($D$15="",INDEX(orderHistory[order_type],SMALL(MATCH(ROW(orderHistory[customer]),ROW(orderHistory[customer])),ROWS($A$15:A25)+$B$3)),INDEX(orderHistory[order_type],SMALL(IF(ISNUMBER(MATCH(YEAR(orderHistory[invoice_date]),$D$15,0)),MATCH(ROW(orderHistory[customer]),ROW(orderHistory[customer])),""),ROWS($A$15:A25)+$B$3))),IF($D$15="",INDEX(orderHistory[order_type],SMALL(IF(ISNUMBER(MATCH(orderHistory[order_type],$D$13,0)),MATCH(ROW(orderHistory[customer]),ROW(orderHistory[customer])),""),ROWS($A$15:A25)+$B$3)),INDEX(orderHistory[order_type],SMALL(IF(ISNUMBER(MATCH(orderHistory[order_type],$D$13,0)*MATCH(YEAR(orderHistory[invoice_date]),$D$15,0)),MATCH(ROW(orderHistory[customer]),ROW(orderHistory[customer])),""),ROWS($A$15:A25)+$B$3)))),IF($D$13="",IF($D$15="",INDEX(orderHistory[order_type],SMALL(IF(ISNUMBER(MATCH(orderHistory[status],$D$11,0)),MATCH(ROW(orderHistory[customer]),ROW(orderHistory[customer])),""),ROWS($A$15:A25)+$B$3)),INDEX(orderHistory[order_type],SMALL(IF(ISNUMBER(MATCH(orderHistory[status],$D$11,0)*MATCH(YEAR(orderHistory[invoice_date]),$D$15,0)),MATCH(ROW(orderHistory[customer]),ROW(orderHistory[customer])),""),ROWS($A$15:A25)+$B$3))),IF($D$15="",INDEX(orderHistory[order_type],SMALL(IF(ISNUMBER(MATCH(orderHistory[status],$D$11,0)*MATCH(orderHistory[order_type],$D$13,0)),MATCH(ROW(orderHistory[customer]),ROW(orderHistory[customer])),""),ROWS($A$15:A25)+$B$3)),INDEX(orderHistory[order_typ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type],SMALL(IF(ISNUMBER(MATCH(orderHistory[customer],$D$9,0)),MATCH(ROW(orderHistory[customer]),ROW(orderHistory[customer])),""),ROWS($A$15:A25)+$B$3)),INDEX(orderHistory[order_type],SMALL(IF(ISNUMBER(MATCH(orderHistory[customer],$D$9,0)*MATCH(YEAR(orderHistory[invoice_date]),$D$15,0)),MATCH(ROW(orderHistory[customer]),ROW(orderHistory[customer])),""),ROWS($A$15:A25)+$B$3))),IF($D$15="",INDEX(orderHistory[order_type],SMALL(IF(ISNUMBER(MATCH(orderHistory[customer],$D$9,0)*MATCH(orderHistory[order_type],$D$13,0)),MATCH(ROW(orderHistory[customer]),ROW(orderHistory[customer])),""),ROWS($A$15:A25)+$B$3)),INDEX(orderHistory[order_typ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type],SMALL(IF(ISNUMBER(MATCH(orderHistory[customer],$D$9,0)*MATCH(orderHistory[status],$D$11,0)),MATCH(ROW(orderHistory[customer]),ROW(orderHistory[customer])),""),ROWS($A$15:A25)+$B$3)),INDEX(orderHistory[order_type],SMALL(IF(ISNUMBER(MATCH(orderHistory[customer],$D$9,0)*MATCH(orderHistory[status],$D$11,0)*MATCH(YEAR(orderHistory[invoice_date]),$D$15,0)),MATCH(ROW(orderHistory[customer]),ROW(orderHistory[customer])),""),ROWS($A$15:A25)+$B$3))),IF($D$15="",INDEX(orderHistory[order_type],SMALL(IF(ISNUMBER(MATCH(orderHistory[customer],$D$9,0)*MATCH(orderHistory[status],$D$11,0)*MATCH(orderHistory[order_type],$D$13,0)),MATCH(ROW(orderHistory[customer]),ROW(orderHistory[customer])),""),ROWS($A$15:A25)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O20" s="542" t="str">
        <f t="array" ref="O20">IFERROR(IF($D$9="",IF($D$11="",IF($D$13="",IF($D$15="",INDEX(orderHistory[order_date],SMALL(MATCH(ROW(orderHistory[customer]),ROW(orderHistory[customer])),ROWS($A$15:A25)+$B$3)),INDEX(orderHistory[order_date],SMALL(IF(ISNUMBER(MATCH(YEAR(orderHistory[invoice_date]),$D$15,0)),MATCH(ROW(orderHistory[customer]),ROW(orderHistory[customer])),""),ROWS($A$15:A25)+$B$3))),IF($D$15="",INDEX(orderHistory[order_date],SMALL(IF(ISNUMBER(MATCH(orderHistory[order_type],$D$13,0)),MATCH(ROW(orderHistory[customer]),ROW(orderHistory[customer])),""),ROWS($A$15:A25)+$B$3)),INDEX(orderHistory[order_date],SMALL(IF(ISNUMBER(MATCH(orderHistory[order_type],$D$13,0)*MATCH(YEAR(orderHistory[invoice_date]),$D$15,0)),MATCH(ROW(orderHistory[customer]),ROW(orderHistory[customer])),""),ROWS($A$15:A25)+$B$3)))),IF($D$13="",IF($D$15="",INDEX(orderHistory[order_date],SMALL(IF(ISNUMBER(MATCH(orderHistory[status],$D$11,0)),MATCH(ROW(orderHistory[customer]),ROW(orderHistory[customer])),""),ROWS($A$15:A25)+$B$3)),INDEX(orderHistory[order_date],SMALL(IF(ISNUMBER(MATCH(orderHistory[status],$D$11,0)*MATCH(YEAR(orderHistory[invoice_date]),$D$15,0)),MATCH(ROW(orderHistory[customer]),ROW(orderHistory[customer])),""),ROWS($A$15:A25)+$B$3))),IF($D$15="",INDEX(orderHistory[order_date],SMALL(IF(ISNUMBER(MATCH(orderHistory[status],$D$11,0)*MATCH(orderHistory[order_type],$D$13,0)),MATCH(ROW(orderHistory[customer]),ROW(orderHistory[customer])),""),ROWS($A$15:A25)+$B$3)),INDEX(orderHistory[order_dat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date],SMALL(IF(ISNUMBER(MATCH(orderHistory[customer],$D$9,0)),MATCH(ROW(orderHistory[customer]),ROW(orderHistory[customer])),""),ROWS($A$15:A25)+$B$3)),INDEX(orderHistory[order_date],SMALL(IF(ISNUMBER(MATCH(orderHistory[customer],$D$9,0)*MATCH(YEAR(orderHistory[invoice_date]),$D$15,0)),MATCH(ROW(orderHistory[customer]),ROW(orderHistory[customer])),""),ROWS($A$15:A25)+$B$3))),IF($D$15="",INDEX(orderHistory[order_date],SMALL(IF(ISNUMBER(MATCH(orderHistory[customer],$D$9,0)*MATCH(orderHistory[order_type],$D$13,0)),MATCH(ROW(orderHistory[customer]),ROW(orderHistory[customer])),""),ROWS($A$15:A25)+$B$3)),INDEX(orderHistory[order_dat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date],SMALL(IF(ISNUMBER(MATCH(orderHistory[customer],$D$9,0)*MATCH(orderHistory[status],$D$11,0)),MATCH(ROW(orderHistory[customer]),ROW(orderHistory[customer])),""),ROWS($A$15:A25)+$B$3)),INDEX(orderHistory[order_date],SMALL(IF(ISNUMBER(MATCH(orderHistory[customer],$D$9,0)*MATCH(orderHistory[status],$D$11,0)*MATCH(YEAR(orderHistory[invoice_date]),$D$15,0)),MATCH(ROW(orderHistory[customer]),ROW(orderHistory[customer])),""),ROWS($A$15:A25)+$B$3))),IF($D$15="",INDEX(orderHistory[order_date],SMALL(IF(ISNUMBER(MATCH(orderHistory[customer],$D$9,0)*MATCH(orderHistory[status],$D$11,0)*MATCH(orderHistory[order_type],$D$13,0)),MATCH(ROW(orderHistory[customer]),ROW(orderHistory[customer])),""),ROWS($A$15:A25)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P20" s="543" t="str">
        <f t="array" ref="P20">IFERROR(IF($D$9="",IF($D$11="",IF($D$13="",IF($D$15="",INDEX(orderHistory[invoice_no],SMALL(MATCH(ROW(orderHistory[customer]),ROW(orderHistory[customer])),ROWS($A$15:A25)+$B$3)),INDEX(orderHistory[invoice_no],SMALL(IF(ISNUMBER(MATCH(YEAR(orderHistory[invoice_date]),$D$15,0)),MATCH(ROW(orderHistory[customer]),ROW(orderHistory[customer])),""),ROWS($A$15:A25)+$B$3))),IF($D$15="",INDEX(orderHistory[invoice_no],SMALL(IF(ISNUMBER(MATCH(orderHistory[order_type],$D$13,0)),MATCH(ROW(orderHistory[customer]),ROW(orderHistory[customer])),""),ROWS($A$15:A25)+$B$3)),INDEX(orderHistory[invoice_no],SMALL(IF(ISNUMBER(MATCH(orderHistory[order_type],$D$13,0)*MATCH(YEAR(orderHistory[invoice_date]),$D$15,0)),MATCH(ROW(orderHistory[customer]),ROW(orderHistory[customer])),""),ROWS($A$15:A25)+$B$3)))),IF($D$13="",IF($D$15="",INDEX(orderHistory[invoice_no],SMALL(IF(ISNUMBER(MATCH(orderHistory[status],$D$11,0)),MATCH(ROW(orderHistory[customer]),ROW(orderHistory[customer])),""),ROWS($A$15:A25)+$B$3)),INDEX(orderHistory[invoice_no],SMALL(IF(ISNUMBER(MATCH(orderHistory[status],$D$11,0)*MATCH(YEAR(orderHistory[invoice_date]),$D$15,0)),MATCH(ROW(orderHistory[customer]),ROW(orderHistory[customer])),""),ROWS($A$15:A25)+$B$3))),IF($D$15="",INDEX(orderHistory[invoice_no],SMALL(IF(ISNUMBER(MATCH(orderHistory[status],$D$11,0)*MATCH(orderHistory[order_type],$D$13,0)),MATCH(ROW(orderHistory[customer]),ROW(orderHistory[customer])),""),ROWS($A$15:A25)+$B$3)),INDEX(orderHistory[invoice_no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oice_no],SMALL(IF(ISNUMBER(MATCH(orderHistory[customer],$D$9,0)),MATCH(ROW(orderHistory[customer]),ROW(orderHistory[customer])),""),ROWS($A$15:A25)+$B$3)),INDEX(orderHistory[invoice_no],SMALL(IF(ISNUMBER(MATCH(orderHistory[customer],$D$9,0)*MATCH(YEAR(orderHistory[invoice_date]),$D$15,0)),MATCH(ROW(orderHistory[customer]),ROW(orderHistory[customer])),""),ROWS($A$15:A25)+$B$3))),IF($D$15="",INDEX(orderHistory[invoice_no],SMALL(IF(ISNUMBER(MATCH(orderHistory[customer],$D$9,0)*MATCH(orderHistory[order_type],$D$13,0)),MATCH(ROW(orderHistory[customer]),ROW(orderHistory[customer])),""),ROWS($A$15:A25)+$B$3)),INDEX(orderHistory[invoice_no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YEAR(orderHistory[invoice_date]),$D$15,0)),MATCH(ROW(orderHistory[customer]),ROW(orderHistory[customer])),""),ROWS($A$15:A25)+$B$3))),IF($D$15="",INDEX(orderHistory[invoice_no],SMALL(IF(ISNUMBER(MATCH(orderHistory[customer],$D$9,0)*MATCH(orderHistory[status],$D$11,0)*MATCH(orderHistory[order_type],$D$13,0)),MATCH(ROW(orderHistory[customer]),ROW(orderHistory[customer])),""),ROWS($A$15:A25)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Q20" s="544" t="str">
        <f t="array" ref="Q20">IFERROR(IF($D$9="",IF($D$11="",IF($D$13="",IF($D$15="",INDEX(orderHistory[invoice_date],SMALL(MATCH(ROW(orderHistory[customer]),ROW(orderHistory[customer])),ROWS($A$15:A25)+$B$3)),INDEX(orderHistory[invoice_date],SMALL(IF(ISNUMBER(MATCH(YEAR(orderHistory[invoice_date]),$D$15,0)),MATCH(ROW(orderHistory[customer]),ROW(orderHistory[customer])),""),ROWS($A$15:A25)+$B$3))),IF($D$15="",INDEX(orderHistory[invoice_date],SMALL(IF(ISNUMBER(MATCH(orderHistory[order_type],$D$13,0)),MATCH(ROW(orderHistory[customer]),ROW(orderHistory[customer])),""),ROWS($A$15:A25)+$B$3)),INDEX(orderHistory[invoice_date],SMALL(IF(ISNUMBER(MATCH(orderHistory[order_type],$D$13,0)*MATCH(YEAR(orderHistory[invoice_date]),$D$15,0)),MATCH(ROW(orderHistory[customer]),ROW(orderHistory[customer])),""),ROWS($A$15:A25)+$B$3)))),IF($D$13="",IF($D$15="",INDEX(orderHistory[invoice_date],SMALL(IF(ISNUMBER(MATCH(orderHistory[status],$D$11,0)),MATCH(ROW(orderHistory[customer]),ROW(orderHistory[customer])),""),ROWS($A$15:A25)+$B$3)),INDEX(orderHistory[invoice_date],SMALL(IF(ISNUMBER(MATCH(orderHistory[status],$D$11,0)*MATCH(YEAR(orderHistory[invoice_date]),$D$15,0)),MATCH(ROW(orderHistory[customer]),ROW(orderHistory[customer])),""),ROWS($A$15:A25)+$B$3))),IF($D$15="",INDEX(orderHistory[invoice_date],SMALL(IF(ISNUMBER(MATCH(orderHistory[status],$D$11,0)*MATCH(orderHistory[order_type],$D$13,0)),MATCH(ROW(orderHistory[customer]),ROW(orderHistory[customer])),""),ROWS($A$15:A25)+$B$3)),INDEX(orderHistory[invoice_dat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oice_date],SMALL(IF(ISNUMBER(MATCH(orderHistory[customer],$D$9,0)),MATCH(ROW(orderHistory[customer]),ROW(orderHistory[customer])),""),ROWS($A$15:A25)+$B$3)),INDEX(orderHistory[invoice_date],SMALL(IF(ISNUMBER(MATCH(orderHistory[customer],$D$9,0)*MATCH(YEAR(orderHistory[invoice_date]),$D$15,0)),MATCH(ROW(orderHistory[customer]),ROW(orderHistory[customer])),""),ROWS($A$15:A25)+$B$3))),IF($D$15="",INDEX(orderHistory[invoice_date],SMALL(IF(ISNUMBER(MATCH(orderHistory[customer],$D$9,0)*MATCH(orderHistory[order_type],$D$13,0)),MATCH(ROW(orderHistory[customer]),ROW(orderHistory[customer])),""),ROWS($A$15:A25)+$B$3)),INDEX(orderHistory[invoice_dat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YEAR(orderHistory[invoice_date]),$D$15,0)),MATCH(ROW(orderHistory[customer]),ROW(orderHistory[customer])),""),ROWS($A$15:A25)+$B$3))),IF($D$15="",INDEX(orderHistory[invoice_date],SMALL(IF(ISNUMBER(MATCH(orderHistory[customer],$D$9,0)*MATCH(orderHistory[status],$D$11,0)*MATCH(orderHistory[order_type],$D$13,0)),MATCH(ROW(orderHistory[customer]),ROW(orderHistory[customer])),""),ROWS($A$15:A25)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R20" s="545" t="str">
        <f t="array" ref="R20">IFERROR(IF($D$9="",IF($D$11="",IF($D$13="",IF($D$15="",INDEX(orderHistory[inv_amount],SMALL(MATCH(ROW(orderHistory[customer]),ROW(orderHistory[customer])),ROWS($A$15:A25)+$B$3)),INDEX(orderHistory[inv_amount],SMALL(IF(ISNUMBER(MATCH(YEAR(orderHistory[invoice_date]),$D$15,0)),MATCH(ROW(orderHistory[customer]),ROW(orderHistory[customer])),""),ROWS($A$15:A25)+$B$3))),IF($D$15="",INDEX(orderHistory[inv_amount],SMALL(IF(ISNUMBER(MATCH(orderHistory[order_type],$D$13,0)),MATCH(ROW(orderHistory[customer]),ROW(orderHistory[customer])),""),ROWS($A$15:A25)+$B$3)),INDEX(orderHistory[inv_amount],SMALL(IF(ISNUMBER(MATCH(orderHistory[order_type],$D$13,0)*MATCH(YEAR(orderHistory[invoice_date]),$D$15,0)),MATCH(ROW(orderHistory[customer]),ROW(orderHistory[customer])),""),ROWS($A$15:A25)+$B$3)))),IF($D$13="",IF($D$15="",INDEX(orderHistory[inv_amount],SMALL(IF(ISNUMBER(MATCH(orderHistory[status],$D$11,0)),MATCH(ROW(orderHistory[customer]),ROW(orderHistory[customer])),""),ROWS($A$15:A25)+$B$3)),INDEX(orderHistory[inv_amount],SMALL(IF(ISNUMBER(MATCH(orderHistory[status],$D$11,0)*MATCH(YEAR(orderHistory[invoice_date]),$D$15,0)),MATCH(ROW(orderHistory[customer]),ROW(orderHistory[customer])),""),ROWS($A$15:A25)+$B$3))),IF($D$15="",INDEX(orderHistory[inv_amount],SMALL(IF(ISNUMBER(MATCH(orderHistory[status],$D$11,0)*MATCH(orderHistory[order_type],$D$13,0)),MATCH(ROW(orderHistory[customer]),ROW(orderHistory[customer])),""),ROWS($A$15:A25)+$B$3)),INDEX(orderHistory[inv_amount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_amount],SMALL(IF(ISNUMBER(MATCH(orderHistory[customer],$D$9,0)),MATCH(ROW(orderHistory[customer]),ROW(orderHistory[customer])),""),ROWS($A$15:A25)+$B$3)),INDEX(orderHistory[inv_amount],SMALL(IF(ISNUMBER(MATCH(orderHistory[customer],$D$9,0)*MATCH(YEAR(orderHistory[invoice_date]),$D$15,0)),MATCH(ROW(orderHistory[customer]),ROW(orderHistory[customer])),""),ROWS($A$15:A25)+$B$3))),IF($D$15="",INDEX(orderHistory[inv_amount],SMALL(IF(ISNUMBER(MATCH(orderHistory[customer],$D$9,0)*MATCH(orderHistory[order_type],$D$13,0)),MATCH(ROW(orderHistory[customer]),ROW(orderHistory[customer])),""),ROWS($A$15:A25)+$B$3)),INDEX(orderHistory[inv_amount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_amount],SMALL(IF(ISNUMBER(MATCH(orderHistory[customer],$D$9,0)*MATCH(orderHistory[status],$D$11,0)),MATCH(ROW(orderHistory[customer]),ROW(orderHistory[customer])),""),ROWS($A$15:A25)+$B$3)),INDEX(orderHistory[inv_amount],SMALL(IF(ISNUMBER(MATCH(orderHistory[customer],$D$9,0)*MATCH(orderHistory[status],$D$11,0)*MATCH(YEAR(orderHistory[inv_amount]),$D$15,0)),MATCH(ROW(orderHistory[customer]),ROW(orderHistory[customer])),""),ROWS($A$15:A25)+$B$3))),IF($D$15="",INDEX(orderHistory[inv_amount],SMALL(IF(ISNUMBER(MATCH(orderHistory[customer],$D$9,0)*MATCH(orderHistory[status],$D$11,0)*MATCH(orderHistory[order_type],$D$13,0)),MATCH(ROW(orderHistory[customer]),ROW(orderHistory[customer])),""),ROWS($A$15:A25)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S20" s="546" t="str">
        <f t="shared" si="2"/>
        <v/>
      </c>
      <c r="T20" s="547" t="str">
        <f t="array" ref="T20">IFERROR(IF($D$9="",IF($D$11="",IF($D$13="",IF($D$15="",INDEX(orderHistory[payed],SMALL(MATCH(ROW(orderHistory[customer]),ROW(orderHistory[customer])),ROWS($A$15:A25)+$B$3)),INDEX(orderHistory[payed],SMALL(IF(ISNUMBER(MATCH(YEAR(orderHistory[invoice_date]),$D$15,0)),MATCH(ROW(orderHistory[customer]),ROW(orderHistory[customer])),""),ROWS($A$15:A25)+$B$3))),IF($D$15="",INDEX(orderHistory[payed],SMALL(IF(ISNUMBER(MATCH(orderHistory[order_type],$D$13,0)),MATCH(ROW(orderHistory[customer]),ROW(orderHistory[customer])),""),ROWS($A$15:A25)+$B$3)),INDEX(orderHistory[payed],SMALL(IF(ISNUMBER(MATCH(orderHistory[order_type],$D$13,0)*MATCH(YEAR(orderHistory[invoice_date]),$D$15,0)),MATCH(ROW(orderHistory[customer]),ROW(orderHistory[customer])),""),ROWS($A$15:A25)+$B$3)))),IF($D$13="",IF($D$15="",INDEX(orderHistory[payed],SMALL(IF(ISNUMBER(MATCH(orderHistory[status],$D$11,0)),MATCH(ROW(orderHistory[customer]),ROW(orderHistory[customer])),""),ROWS($A$15:A25)+$B$3)),INDEX(orderHistory[payed],SMALL(IF(ISNUMBER(MATCH(orderHistory[status],$D$11,0)*MATCH(YEAR(orderHistory[invoice_date]),$D$15,0)),MATCH(ROW(orderHistory[customer]),ROW(orderHistory[customer])),""),ROWS($A$15:A25)+$B$3))),IF($D$15="",INDEX(orderHistory[payed],SMALL(IF(ISNUMBER(MATCH(orderHistory[status],$D$11,0)*MATCH(orderHistory[order_type],$D$13,0)),MATCH(ROW(orderHistory[customer]),ROW(orderHistory[customer])),""),ROWS($A$15:A25)+$B$3)),INDEX(orderHistory[payed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payed],SMALL(IF(ISNUMBER(MATCH(orderHistory[customer],$D$9,0)),MATCH(ROW(orderHistory[customer]),ROW(orderHistory[customer])),""),ROWS($A$15:A25)+$B$3)),INDEX(orderHistory[payed],SMALL(IF(ISNUMBER(MATCH(orderHistory[customer],$D$9,0)*MATCH(YEAR(orderHistory[invoice_date]),$D$15,0)),MATCH(ROW(orderHistory[customer]),ROW(orderHistory[customer])),""),ROWS($A$15:A25)+$B$3))),IF($D$15="",INDEX(orderHistory[payed],SMALL(IF(ISNUMBER(MATCH(orderHistory[customer],$D$9,0)*MATCH(orderHistory[order_type],$D$13,0)),MATCH(ROW(orderHistory[customer]),ROW(orderHistory[customer])),""),ROWS($A$15:A25)+$B$3)),INDEX(orderHistory[payed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payed],SMALL(IF(ISNUMBER(MATCH(orderHistory[customer],$D$9,0)*MATCH(orderHistory[status],$D$11,0)),MATCH(ROW(orderHistory[customer]),ROW(orderHistory[customer])),""),ROWS($A$15:A25)+$B$3)),INDEX(orderHistory[payed],SMALL(IF(ISNUMBER(MATCH(orderHistory[customer],$D$9,0)*MATCH(orderHistory[status],$D$11,0)*MATCH(YEAR(orderHistory[payed]),$D$15,0)),MATCH(ROW(orderHistory[customer]),ROW(orderHistory[customer])),""),ROWS($A$15:A25)+$B$3))),IF($D$15="",INDEX(orderHistory[payed],SMALL(IF(ISNUMBER(MATCH(orderHistory[customer],$D$9,0)*MATCH(orderHistory[status],$D$11,0)*MATCH(orderHistory[order_type],$D$13,0)),MATCH(ROW(orderHistory[customer]),ROW(orderHistory[customer])),""),ROWS($A$15:A25)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U20" s="541" t="str">
        <f t="array" ref="U20">IFERROR(IF($D$9="",IF($D$11="",IF($D$13="",IF($D$15="",INDEX(orderHistory[shipping_method],SMALL(MATCH(ROW(orderHistory[customer]),ROW(orderHistory[customer])),ROWS($A$15:A25)+$B$3)),INDEX(orderHistory[shipping_method],SMALL(IF(ISNUMBER(MATCH(YEAR(orderHistory[invoice_date]),$D$15,0)),MATCH(ROW(orderHistory[customer]),ROW(orderHistory[customer])),""),ROWS($A$15:A25)+$B$3))),IF($D$15="",INDEX(orderHistory[shipping_method],SMALL(IF(ISNUMBER(MATCH(orderHistory[order_type],$D$13,0)),MATCH(ROW(orderHistory[customer]),ROW(orderHistory[customer])),""),ROWS($A$15:A25)+$B$3)),INDEX(orderHistory[shipping_method],SMALL(IF(ISNUMBER(MATCH(orderHistory[order_type],$D$13,0)*MATCH(YEAR(orderHistory[invoice_date]),$D$15,0)),MATCH(ROW(orderHistory[customer]),ROW(orderHistory[customer])),""),ROWS($A$15:A25)+$B$3)))),IF($D$13="",IF($D$15="",INDEX(orderHistory[shipping_method],SMALL(IF(ISNUMBER(MATCH(orderHistory[status],$D$11,0)),MATCH(ROW(orderHistory[customer]),ROW(orderHistory[customer])),""),ROWS($A$15:A25)+$B$3)),INDEX(orderHistory[shipping_method],SMALL(IF(ISNUMBER(MATCH(orderHistory[status],$D$11,0)*MATCH(YEAR(orderHistory[invoice_date]),$D$15,0)),MATCH(ROW(orderHistory[customer]),ROW(orderHistory[customer])),""),ROWS($A$15:A25)+$B$3))),IF($D$15="",INDEX(orderHistory[shipping_method],SMALL(IF(ISNUMBER(MATCH(orderHistory[status],$D$11,0)*MATCH(orderHistory[order_type],$D$13,0)),MATCH(ROW(orderHistory[customer]),ROW(orderHistory[customer])),""),ROWS($A$15:A25)+$B$3)),INDEX(orderHistory[shipping_method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shipping_method],SMALL(IF(ISNUMBER(MATCH(orderHistory[customer],$D$9,0)),MATCH(ROW(orderHistory[customer]),ROW(orderHistory[customer])),""),ROWS($A$15:A25)+$B$3)),INDEX(orderHistory[shipping_method],SMALL(IF(ISNUMBER(MATCH(orderHistory[customer],$D$9,0)*MATCH(YEAR(orderHistory[invoice_date]),$D$15,0)),MATCH(ROW(orderHistory[customer]),ROW(orderHistory[customer])),""),ROWS($A$15:A25)+$B$3))),IF($D$15="",INDEX(orderHistory[shipping_method],SMALL(IF(ISNUMBER(MATCH(orderHistory[customer],$D$9,0)*MATCH(orderHistory[order_type],$D$13,0)),MATCH(ROW(orderHistory[customer]),ROW(orderHistory[customer])),""),ROWS($A$15:A25)+$B$3)),INDEX(orderHistory[shipping_method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shipping_method],SMALL(IF(ISNUMBER(MATCH(orderHistory[customer],$D$9,0)*MATCH(orderHistory[status],$D$11,0)),MATCH(ROW(orderHistory[customer]),ROW(orderHistory[customer])),""),ROWS($A$15:A25)+$B$3)),INDEX(orderHistory[shipping_method],SMALL(IF(ISNUMBER(MATCH(orderHistory[customer],$D$9,0)*MATCH(orderHistory[status],$D$11,0)*MATCH(YEAR(orderHistory[shipping_method]),$D$15,0)),MATCH(ROW(orderHistory[customer]),ROW(orderHistory[customer])),""),ROWS($A$15:A25)+$B$3))),IF($D$15="",INDEX(orderHistory[shipping_method],SMALL(IF(ISNUMBER(MATCH(orderHistory[customer],$D$9,0)*MATCH(orderHistory[status],$D$11,0)*MATCH(orderHistory[order_type],$D$13,0)),MATCH(ROW(orderHistory[customer]),ROW(orderHistory[customer])),""),ROWS($A$15:A25)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V20" s="548" t="str">
        <f t="array" ref="V20">IFERROR(IF($D$9="",IF($D$11="",IF($D$13="",IF($D$15="",INDEX(orderHistory[status],SMALL(MATCH(ROW(orderHistory[customer]),ROW(orderHistory[customer])),ROWS($A$15:A25)+$B$3)),INDEX(orderHistory[status],SMALL(IF(ISNUMBER(MATCH(YEAR(orderHistory[invoice_date]),$D$15,0)),MATCH(ROW(orderHistory[customer]),ROW(orderHistory[customer])),""),ROWS($A$15:A25)+$B$3))),IF($D$15="",INDEX(orderHistory[status],SMALL(IF(ISNUMBER(MATCH(orderHistory[order_type],$D$13,0)),MATCH(ROW(orderHistory[customer]),ROW(orderHistory[customer])),""),ROWS($A$15:A25)+$B$3)),INDEX(orderHistory[status],SMALL(IF(ISNUMBER(MATCH(orderHistory[order_type],$D$13,0)*MATCH(YEAR(orderHistory[invoice_date]),$D$15,0)),MATCH(ROW(orderHistory[customer]),ROW(orderHistory[customer])),""),ROWS($A$15:A25)+$B$3)))),IF($D$13="",IF($D$15="",INDEX(orderHistory[status],SMALL(IF(ISNUMBER(MATCH(orderHistory[status],$D$11,0)),MATCH(ROW(orderHistory[customer]),ROW(orderHistory[customer])),""),ROWS($A$15:A25)+$B$3)),INDEX(orderHistory[status],SMALL(IF(ISNUMBER(MATCH(orderHistory[status],$D$11,0)*MATCH(YEAR(orderHistory[invoice_date]),$D$15,0)),MATCH(ROW(orderHistory[customer]),ROW(orderHistory[customer])),""),ROWS($A$15:A25)+$B$3))),IF($D$15="",INDEX(orderHistory[status],SMALL(IF(ISNUMBER(MATCH(orderHistory[status],$D$11,0)*MATCH(orderHistory[order_type],$D$13,0)),MATCH(ROW(orderHistory[customer]),ROW(orderHistory[customer])),""),ROWS($A$15:A25)+$B$3)),INDEX(orderHistory[status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status],SMALL(IF(ISNUMBER(MATCH(orderHistory[customer],$D$9,0)),MATCH(ROW(orderHistory[customer]),ROW(orderHistory[customer])),""),ROWS($A$15:A25)+$B$3)),INDEX(orderHistory[status],SMALL(IF(ISNUMBER(MATCH(orderHistory[customer],$D$9,0)*MATCH(YEAR(orderHistory[invoice_date]),$D$15,0)),MATCH(ROW(orderHistory[customer]),ROW(orderHistory[customer])),""),ROWS($A$15:A25)+$B$3))),IF($D$15="",INDEX(orderHistory[status],SMALL(IF(ISNUMBER(MATCH(orderHistory[customer],$D$9,0)*MATCH(orderHistory[order_type],$D$13,0)),MATCH(ROW(orderHistory[customer]),ROW(orderHistory[customer])),""),ROWS($A$15:A25)+$B$3)),INDEX(orderHistory[status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status],SMALL(IF(ISNUMBER(MATCH(orderHistory[customer],$D$9,0)*MATCH(orderHistory[status],$D$11,0)),MATCH(ROW(orderHistory[customer]),ROW(orderHistory[customer])),""),ROWS($A$15:A25)+$B$3)),INDEX(orderHistory[status],SMALL(IF(ISNUMBER(MATCH(orderHistory[customer],$D$9,0)*MATCH(orderHistory[status],$D$11,0)*MATCH(YEAR(orderHistory[status]),$D$15,0)),MATCH(ROW(orderHistory[customer]),ROW(orderHistory[customer])),""),ROWS($A$15:A25)+$B$3))),IF($D$15="",INDEX(orderHistory[status],SMALL(IF(ISNUMBER(MATCH(orderHistory[customer],$D$9,0)*MATCH(orderHistory[status],$D$11,0)*MATCH(orderHistory[order_type],$D$13,0)),MATCH(ROW(orderHistory[customer]),ROW(orderHistory[customer])),""),ROWS($A$15:A25)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W20" s="107"/>
      <c r="AO20" s="423"/>
      <c r="AQ20" s="462"/>
      <c r="AR20" s="485"/>
      <c r="AS20" s="829"/>
      <c r="AT20" s="827"/>
      <c r="AU20" s="421"/>
      <c r="AW20" s="462"/>
      <c r="BD20" s="838"/>
      <c r="BE20" s="839"/>
      <c r="BF20" s="839"/>
      <c r="BG20" s="839"/>
      <c r="BH20" s="840"/>
      <c r="BJ20" s="421"/>
      <c r="BK20" s="450"/>
      <c r="BL20" s="451"/>
      <c r="BM20" s="452"/>
      <c r="BN20" s="451"/>
      <c r="BO20" s="452"/>
      <c r="BX20" s="518"/>
      <c r="BZ20" s="158"/>
      <c r="CA20" s="154" t="str">
        <f>IF(BZ20="","",INDEX(bhpc_data[description],MATCH(BZ20,bhpc_data[sku],0)))</f>
        <v/>
      </c>
      <c r="CB20" s="166"/>
      <c r="CC20" s="358"/>
      <c r="CD20" s="160"/>
      <c r="CE20" s="360"/>
      <c r="CF20" s="161"/>
      <c r="CG20" s="164" t="str">
        <f>IFERROR(ROUNDUP(CB20/INDEX(bhpc_data[units_per_carton],MATCH(BZ20,bhpc_data[sku],0)),0),"")</f>
        <v/>
      </c>
      <c r="CH20" s="165" t="str">
        <f>IFERROR(ROUNDUP(CD20/INDEX(bhpc_data[units_per_carton],MATCH(BZ20,bhpc_data[sku],0)),0),"")</f>
        <v/>
      </c>
      <c r="CI20" s="165" t="str">
        <f>IFERROR(ROUNDUP(CF20/INDEX(bhpc_data[units_per_carton],MATCH(BZ20,bhpc_data[sku])),0),"")</f>
        <v/>
      </c>
      <c r="CJ20" s="165" t="str">
        <f>IFERROR(((CB20+CD20+CF20)/INDEX(bhpc_data[units_per_carton],MATCH(BZ20,bhpc_data[sku],0)))*INDEX(bhpc_data[net_weight],MATCH(BZ20,bhpc_data[sku],0)),"")</f>
        <v/>
      </c>
      <c r="CK20" s="165" t="str">
        <f>IFERROR(((CB20+CD20+CF20)/INDEX(bhpc_data[units_per_carton],MATCH(BZ20,bhpc_data[sku],0)))*INDEX(bhpc_data[gross_weight],MATCH(BZ20,bhpc_data[sku],0)),"")</f>
        <v/>
      </c>
      <c r="CL20" s="180" t="str">
        <f>IFERROR((CB20+CD20+CF20)/INDEX(bhpc_data[units_per_carton],MATCH(BZ20,bhpc_data[sku],0))*INDEX(bhpc_data[lenght],MATCH(BZ20,bhpc_data[sku],0))*INDEX(bhpc_data[width],MATCH(BZ20,bhpc_data[sku],0))*INDEX(bhpc_data[height],MATCH(BZ20,bhpc_data[sku],0))/1000000000,"")</f>
        <v/>
      </c>
      <c r="CM20" s="189" t="str">
        <f>IFERROR(INDEX(bhpc_data[category],MATCH(BZ20,bhpc_data[sku],0)),"")</f>
        <v/>
      </c>
      <c r="CN20" s="189" t="str">
        <f>IFERROR(INDEX(bhpc_data[size1],MATCH(BZ20,bhpc_data[sku],0)),"")</f>
        <v/>
      </c>
      <c r="CO20" s="388" t="str">
        <f>IFERROR(INDEX(bhpc_data[hs_code],MATCH(BZ20,bhpc_data[sku],0)),"")</f>
        <v/>
      </c>
      <c r="CP20" s="377" t="str">
        <f>IFERROR(INDEX(inventory[ESISTENZA],MATCH(BZ20,inventory[ARTICOLO],0)),"")</f>
        <v/>
      </c>
      <c r="CQ20" s="367" t="str">
        <f>IFERROR(IF(BZ20="","",IF($BX$15="SALE",INDEX(inventory[COSTO UNITARIO],MATCH(BZ20,inventory[ARTICOLO],0)),IF($BX$15="SAMPLING",INDEX(inventory[COSTO UNITARIO],MATCH(BZ20,inventory[ARTICOLO],0)),""))),"")</f>
        <v/>
      </c>
      <c r="CR20" s="368" t="str">
        <f t="shared" si="0"/>
        <v/>
      </c>
      <c r="CS20" s="264" t="str">
        <f t="shared" si="1"/>
        <v/>
      </c>
      <c r="CU20" s="120" t="s">
        <v>613</v>
      </c>
      <c r="CV20" s="490"/>
      <c r="CW20" s="490"/>
      <c r="CX20" s="512"/>
      <c r="CY20" s="490"/>
      <c r="CZ20" s="490"/>
      <c r="DA20" s="432" t="str">
        <f>IFERROR(VLOOKUP(BZ20,bhpc_data[],22,FALSE),"")</f>
        <v/>
      </c>
      <c r="DH20" s="296"/>
      <c r="EE20" s="202" t="str" cm="1">
        <f t="array" ref="EE20">IFERROR(IF($EC$9="",IF($EC$11="",IF($EC$13="",INDEX(bhpc_data[sku],SMALL(MATCH(ROW(bhpc_data[sku]),ROW(bhpc_data[sku])),ROWS($A$15:A25)+$B$3)),INDEX(bhpc_data[sku],SMALL(IF(ISNUMBER(MATCH(bhpc_data[size1],$EC$13,0)),MATCH(ROW(bhpc_data[sku]),ROW(bhpc_data[sku])),""),ROWS($A$15:A25)+$B$3))),IF($EC$13="",INDEX(bhpc_data[sku],SMALL(IF(ISNUMBER(MATCH(bhpc_data[sex],$EC$11,0)),MATCH(ROW(bhpc_data[sku]),ROW(bhpc_data[sku])),""),ROWS($A$15:A25)+$B$3)),INDEX(bhpc_data[sku],SMALL(IF(ISNUMBER(MATCH(bhpc_data[sex],$EC$11,0)*MATCH(bhpc_data[size1],$EC$13,0)),MATCH(ROW(bhpc_data[sku]),ROW(bhpc_data[sku])),""),ROWS($A$15:A25)+$B$3)))),IF($EC$11="",IF($EC$13="",INDEX(bhpc_data[sku],SMALL(IF(ISNUMBER(MATCH(bhpc_data[category],$EC$9,0)),MATCH(ROW(bhpc_data[sku]),ROW(bhpc_data[sku])),""),ROWS($A$15:A25)+$B$3)),INDEX(bhpc_data[sku],SMALL(IF(ISNUMBER(MATCH(bhpc_data[category],$EC$9,0)*MATCH(bhpc_data[size1],$EC$13,0)),MATCH(ROW(bhpc_data[sku]),ROW(bhpc_data[sku])),""),ROWS($A$15:A25)+$B$3))),IF($EC$13="",INDEX(bhpc_data[sku],SMALL(IF(ISNUMBER(MATCH(bhpc_data[category],$EC$9,0)*MATCH(bhpc_data[sex],$EC$11,0)),MATCH(ROW(bhpc_data[sku]),ROW(bhpc_data[sku])),""),ROWS($A$15:A25)+$B$3)),INDEX(bhpc_data[sku],SMALL(IF(ISNUMBER(MATCH(bhpc_data[category],$EC$9,0)*MATCH(bhpc_data[sex],$EC$11,0)*MATCH(bhpc_data[size1],$EC$13,0)),MATCH(ROW(bhpc_data[sku]),ROW(bhpc_data[sku])),""),ROWS($A$15:A25)+$B$3))))),"")</f>
        <v>GS5030</v>
      </c>
      <c r="EF20" s="198" t="str" cm="1">
        <f t="array" ref="EF20">IFERROR(IF($EC$9="",IF($EC$11="",IF($EC$13="",INDEX(bhpc_data[description],SMALL(MATCH(ROW(bhpc_data[sku]),ROW(bhpc_data[sku])),ROWS($A$15:A25)+$B$3)),INDEX(bhpc_data[description],SMALL(IF(ISNUMBER(MATCH(bhpc_data[size1],$EC$13,0)),MATCH(ROW(bhpc_data[sku]),ROW(bhpc_data[sku])),""),ROWS($A$15:A25)+$B$3))),IF($EC$13="",INDEX(bhpc_data[description],SMALL(IF(ISNUMBER(MATCH(bhpc_data[sex],$EC$11,0)),MATCH(ROW(bhpc_data[sku]),ROW(bhpc_data[sku])),""),ROWS($A$15:A25)+$B$3)),INDEX(bhpc_data[description],SMALL(IF(ISNUMBER(MATCH(bhpc_data[sex],$EC$11,0)*MATCH(bhpc_data[size1],$EC$13,0)),MATCH(ROW(bhpc_data[sku]),ROW(bhpc_data[sku])),""),ROWS($A$15:A25)+$B$3)))),IF($EC$11="",IF($EC$13="",INDEX(bhpc_data[description],SMALL(IF(ISNUMBER(MATCH(bhpc_data[category],$EC$9,0)),MATCH(ROW(bhpc_data[sku]),ROW(bhpc_data[sku])),""),ROWS($A$15:A25)+$B$3)),INDEX(bhpc_data[description],SMALL(IF(ISNUMBER(MATCH(bhpc_data[category],$EC$9,0)*MATCH(bhpc_data[size1],$EC$13,0)),MATCH(ROW(bhpc_data[sku]),ROW(bhpc_data[sku])),""),ROWS($A$15:A25)+$B$3))),IF($EC$13="",INDEX(bhpc_data[description],SMALL(IF(ISNUMBER(MATCH(bhpc_data[category],$EC$9,0)*MATCH(bhpc_data[sex],$EC$11,0)),MATCH(ROW(bhpc_data[sku]),ROW(bhpc_data[sku])),""),ROWS($A$15:A25)+$B$3)),INDEX(bhpc_data[description],SMALL(IF(ISNUMBER(MATCH(bhpc_data[category],$EC$9,0)*MATCH(bhpc_data[sex],$EC$11,0)*MATCH(bhpc_data[size1],$EC$13,0)),MATCH(ROW(bhpc_data[sku]),ROW(bhpc_data[sku])),""),ROWS($A$15:A25)+$B$3))))),"")</f>
        <v>BHPC GIFT SET WOMEN 8 EDP 50ML + DEO 150ML</v>
      </c>
      <c r="EG20" s="263">
        <f>IFERROR(IF(warehouse[[#This Row],[SKU]]="","",INDEX(inventory[ESISTENZA],MATCH(warehouse[[#This Row],[SKU]],inventory[ARTICOLO],0))),"")</f>
        <v>497</v>
      </c>
      <c r="EH20" s="328"/>
      <c r="EI20" s="328"/>
      <c r="EJ20" s="263"/>
      <c r="EK20" s="113"/>
      <c r="FF20" s="413"/>
      <c r="FG20" s="413"/>
      <c r="FH20" s="413"/>
      <c r="FI20" s="413"/>
      <c r="FJ20" s="413"/>
      <c r="FK20" s="413"/>
      <c r="FL20" s="413"/>
      <c r="FM20" s="413"/>
      <c r="FN20" s="413"/>
      <c r="FO20" s="413"/>
      <c r="FP20" s="413"/>
      <c r="FQ20" s="413"/>
      <c r="FR20" s="413"/>
      <c r="FS20" s="413"/>
      <c r="FT20" s="413"/>
      <c r="FU20" s="413"/>
      <c r="FV20" s="413"/>
      <c r="FW20" s="413"/>
      <c r="FX20" s="413"/>
      <c r="FY20" s="413"/>
      <c r="FZ20" s="413"/>
      <c r="GA20" s="413"/>
      <c r="GB20" s="413"/>
      <c r="GC20" s="413"/>
      <c r="GD20" s="413"/>
      <c r="GE20" s="413"/>
      <c r="GF20" s="413"/>
      <c r="GG20" s="413"/>
      <c r="GH20" s="413"/>
      <c r="GI20" s="413"/>
      <c r="GJ20" s="413"/>
      <c r="GK20" s="413"/>
      <c r="GL20" s="413"/>
      <c r="GM20" s="413"/>
      <c r="GN20" s="413"/>
      <c r="GO20" s="413"/>
      <c r="GP20" s="413"/>
      <c r="GQ20" s="413"/>
      <c r="GR20" s="413"/>
      <c r="GS20" s="413"/>
      <c r="GT20" s="413"/>
      <c r="GU20" s="413"/>
      <c r="GV20" s="413"/>
      <c r="GW20" s="413"/>
      <c r="GX20" s="413"/>
      <c r="GY20" s="413"/>
      <c r="GZ20" s="413"/>
      <c r="HA20" s="413"/>
      <c r="HB20" s="413"/>
      <c r="HC20" s="413"/>
      <c r="HD20" s="413"/>
      <c r="HE20" s="413"/>
      <c r="HF20" s="413"/>
      <c r="HG20" s="413"/>
      <c r="HH20" s="413"/>
      <c r="HI20" s="413"/>
      <c r="HJ20" s="413"/>
      <c r="HK20" s="413"/>
      <c r="HL20" s="413"/>
      <c r="HM20" s="413"/>
      <c r="HN20" s="413"/>
      <c r="HO20" s="413"/>
      <c r="HP20" s="413"/>
      <c r="HQ20" s="413"/>
      <c r="HR20" s="413"/>
      <c r="HS20" s="413"/>
      <c r="HT20" s="413"/>
    </row>
    <row r="21" spans="1:228" ht="15" customHeight="1" x14ac:dyDescent="0.35">
      <c r="D21" s="425">
        <f>IFERROR(IF(VLOOKUP($B$4,orderHistory[],18,FALSE)="PREPARING","",INDEX(orderHistory[invoice_date],MATCH($B$4,orderHistory[order_no],0))),"")</f>
        <v>0</v>
      </c>
      <c r="F21" s="91"/>
      <c r="G21" s="99" t="s">
        <v>614</v>
      </c>
      <c r="H21" s="81"/>
      <c r="I21" s="81"/>
      <c r="J21" s="82"/>
      <c r="L21" s="539" t="str">
        <f t="array" ref="L21">IFERROR(IF($D$9="",IF($D$11="",IF($D$13="",IF($D$15="",INDEX(orderHistory[customer],SMALL(MATCH(ROW(orderHistory[customer]),ROW(orderHistory[customer])),ROWS($A$15:A26)+$B$3)),INDEX(orderHistory[customer],SMALL(IF(ISNUMBER(MATCH(YEAR(orderHistory[invoice_date]),$D$15,0)),MATCH(ROW(orderHistory[customer]),ROW(orderHistory[customer])),""),ROWS($A$15:A26)+$B$3))),IF($D$15="",INDEX(orderHistory[customer],SMALL(IF(ISNUMBER(MATCH(orderHistory[order_type],$D$13,0)),MATCH(ROW(orderHistory[customer]),ROW(orderHistory[customer])),""),ROWS($A$15:A26)+$B$3)),INDEX(orderHistory[customer],SMALL(IF(ISNUMBER(MATCH(orderHistory[order_type],$D$13,0)*MATCH(YEAR(orderHistory[invoice_date]),$D$15,0)),MATCH(ROW(orderHistory[customer]),ROW(orderHistory[customer])),""),ROWS($A$15:A26)+$B$3)))),IF($D$13="",IF($D$15="",INDEX(orderHistory[customer],SMALL(IF(ISNUMBER(MATCH(orderHistory[status],$D$11,0)),MATCH(ROW(orderHistory[customer]),ROW(orderHistory[customer])),""),ROWS($A$15:A26)+$B$3)),INDEX(orderHistory[customer],SMALL(IF(ISNUMBER(MATCH(orderHistory[status],$D$11,0)*MATCH(YEAR(orderHistory[invoice_date]),$D$15,0)),MATCH(ROW(orderHistory[customer]),ROW(orderHistory[customer])),""),ROWS($A$15:A26)+$B$3))),IF($D$15="",INDEX(orderHistory[customer],SMALL(IF(ISNUMBER(MATCH(orderHistory[status],$D$11,0)*MATCH(orderHistory[order_type],$D$13,0)),MATCH(ROW(orderHistory[customer]),ROW(orderHistory[customer])),""),ROWS($A$15:A26)+$B$3)),INDEX(orderHistory[customer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customer],SMALL(IF(ISNUMBER(MATCH(orderHistory[customer],$D$9,0)),MATCH(ROW(orderHistory[customer]),ROW(orderHistory[customer])),""),ROWS($A$15:A26)+$B$3)),INDEX(orderHistory[customer],SMALL(IF(ISNUMBER(MATCH(orderHistory[customer],$D$9,0)*MATCH(YEAR(orderHistory[invoice_date]),$D$15,0)),MATCH(ROW(orderHistory[customer]),ROW(orderHistory[customer])),""),ROWS($A$15:A26)+$B$3))),IF($D$15="",INDEX(orderHistory[customer],SMALL(IF(ISNUMBER(MATCH(orderHistory[customer],$D$9,0)*MATCH(orderHistory[order_type],$D$13,0)),MATCH(ROW(orderHistory[customer]),ROW(orderHistory[customer])),""),ROWS($A$15:A26)+$B$3)),INDEX(orderHistory[customer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customer],SMALL(IF(ISNUMBER(MATCH(orderHistory[customer],$D$9,0)*MATCH(orderHistory[status],$D$11,0)),MATCH(ROW(orderHistory[customer]),ROW(orderHistory[customer])),""),ROWS($A$15:A26)+$B$3)),INDEX(orderHistory[customer],SMALL(IF(ISNUMBER(MATCH(orderHistory[customer],$D$9,0)*MATCH(orderHistory[status],$D$11,0)*MATCH(YEAR(orderHistory[invoice_date]),$D$15,0)),MATCH(ROW(orderHistory[customer]),ROW(orderHistory[customer])),""),ROWS($A$15:A26)+$B$3))),IF($D$15="",INDEX(orderHistory[customer],SMALL(IF(ISNUMBER(MATCH(orderHistory[customer],$D$9,0)*MATCH(orderHistory[status],$D$11,0)*MATCH(orderHistory[order_type],$D$13,0)),MATCH(ROW(orderHistory[customer]),ROW(orderHistory[customer])),""),ROWS($A$15:A26)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M21" s="540" t="str">
        <f t="array" ref="M21">IFERROR(IF($D$9="",IF($D$11="",IF($D$13="",IF($D$15="",INDEX(orderHistory[order_no],SMALL(MATCH(ROW(orderHistory[customer]),ROW(orderHistory[customer])),ROWS($A$15:A26)+$B$3)),INDEX(orderHistory[order_no],SMALL(IF(ISNUMBER(MATCH(YEAR(orderHistory[invoice_date]),$D$15,0)),MATCH(ROW(orderHistory[customer]),ROW(orderHistory[customer])),""),ROWS($A$15:A26)+$B$3))),IF($D$15="",INDEX(orderHistory[order_no],SMALL(IF(ISNUMBER(MATCH(orderHistory[order_type],$D$13,0)),MATCH(ROW(orderHistory[customer]),ROW(orderHistory[customer])),""),ROWS($A$15:A26)+$B$3)),INDEX(orderHistory[order_no],SMALL(IF(ISNUMBER(MATCH(orderHistory[order_type],$D$13,0)*MATCH(YEAR(orderHistory[invoice_date]),$D$15,0)),MATCH(ROW(orderHistory[customer]),ROW(orderHistory[customer])),""),ROWS($A$15:A26)+$B$3)))),IF($D$13="",IF($D$15="",INDEX(orderHistory[order_no],SMALL(IF(ISNUMBER(MATCH(orderHistory[status],$D$11,0)),MATCH(ROW(orderHistory[customer]),ROW(orderHistory[customer])),""),ROWS($A$15:A26)+$B$3)),INDEX(orderHistory[order_no],SMALL(IF(ISNUMBER(MATCH(orderHistory[status],$D$11,0)*MATCH(YEAR(orderHistory[invoice_date]),$D$15,0)),MATCH(ROW(orderHistory[customer]),ROW(orderHistory[customer])),""),ROWS($A$15:A26)+$B$3))),IF($D$15="",INDEX(orderHistory[order_no],SMALL(IF(ISNUMBER(MATCH(orderHistory[status],$D$11,0)*MATCH(orderHistory[order_type],$D$13,0)),MATCH(ROW(orderHistory[customer]),ROW(orderHistory[customer])),""),ROWS($A$15:A26)+$B$3)),INDEX(orderHistory[order_no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no],SMALL(IF(ISNUMBER(MATCH(orderHistory[customer],$D$9,0)),MATCH(ROW(orderHistory[customer]),ROW(orderHistory[customer])),""),ROWS($A$15:A26)+$B$3)),INDEX(orderHistory[order_no],SMALL(IF(ISNUMBER(MATCH(orderHistory[customer],$D$9,0)*MATCH(YEAR(orderHistory[invoice_date]),$D$15,0)),MATCH(ROW(orderHistory[customer]),ROW(orderHistory[customer])),""),ROWS($A$15:A26)+$B$3))),IF($D$15="",INDEX(orderHistory[order_no],SMALL(IF(ISNUMBER(MATCH(orderHistory[customer],$D$9,0)*MATCH(orderHistory[order_type],$D$13,0)),MATCH(ROW(orderHistory[customer]),ROW(orderHistory[customer])),""),ROWS($A$15:A26)+$B$3)),INDEX(orderHistory[order_no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no],SMALL(IF(ISNUMBER(MATCH(orderHistory[customer],$D$9,0)*MATCH(orderHistory[status],$D$11,0)),MATCH(ROW(orderHistory[customer]),ROW(orderHistory[customer])),""),ROWS($A$15:A26)+$B$3)),INDEX(orderHistory[order_no],SMALL(IF(ISNUMBER(MATCH(orderHistory[customer],$D$9,0)*MATCH(orderHistory[status],$D$11,0)*MATCH(YEAR(orderHistory[invoice_date]),$D$15,0)),MATCH(ROW(orderHistory[customer]),ROW(orderHistory[customer])),""),ROWS($A$15:A26)+$B$3))),IF($D$15="",INDEX(orderHistory[order_no],SMALL(IF(ISNUMBER(MATCH(orderHistory[customer],$D$9,0)*MATCH(orderHistory[status],$D$11,0)*MATCH(orderHistory[order_type],$D$13,0)),MATCH(ROW(orderHistory[customer]),ROW(orderHistory[customer])),""),ROWS($A$15:A26)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N21" s="541" t="str">
        <f t="array" ref="N21">IFERROR(IF($D$9="",IF($D$11="",IF($D$13="",IF($D$15="",INDEX(orderHistory[order_type],SMALL(MATCH(ROW(orderHistory[customer]),ROW(orderHistory[customer])),ROWS($A$15:A26)+$B$3)),INDEX(orderHistory[order_type],SMALL(IF(ISNUMBER(MATCH(YEAR(orderHistory[invoice_date]),$D$15,0)),MATCH(ROW(orderHistory[customer]),ROW(orderHistory[customer])),""),ROWS($A$15:A26)+$B$3))),IF($D$15="",INDEX(orderHistory[order_type],SMALL(IF(ISNUMBER(MATCH(orderHistory[order_type],$D$13,0)),MATCH(ROW(orderHistory[customer]),ROW(orderHistory[customer])),""),ROWS($A$15:A26)+$B$3)),INDEX(orderHistory[order_type],SMALL(IF(ISNUMBER(MATCH(orderHistory[order_type],$D$13,0)*MATCH(YEAR(orderHistory[invoice_date]),$D$15,0)),MATCH(ROW(orderHistory[customer]),ROW(orderHistory[customer])),""),ROWS($A$15:A26)+$B$3)))),IF($D$13="",IF($D$15="",INDEX(orderHistory[order_type],SMALL(IF(ISNUMBER(MATCH(orderHistory[status],$D$11,0)),MATCH(ROW(orderHistory[customer]),ROW(orderHistory[customer])),""),ROWS($A$15:A26)+$B$3)),INDEX(orderHistory[order_type],SMALL(IF(ISNUMBER(MATCH(orderHistory[status],$D$11,0)*MATCH(YEAR(orderHistory[invoice_date]),$D$15,0)),MATCH(ROW(orderHistory[customer]),ROW(orderHistory[customer])),""),ROWS($A$15:A26)+$B$3))),IF($D$15="",INDEX(orderHistory[order_type],SMALL(IF(ISNUMBER(MATCH(orderHistory[status],$D$11,0)*MATCH(orderHistory[order_type],$D$13,0)),MATCH(ROW(orderHistory[customer]),ROW(orderHistory[customer])),""),ROWS($A$15:A26)+$B$3)),INDEX(orderHistory[order_typ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type],SMALL(IF(ISNUMBER(MATCH(orderHistory[customer],$D$9,0)),MATCH(ROW(orderHistory[customer]),ROW(orderHistory[customer])),""),ROWS($A$15:A26)+$B$3)),INDEX(orderHistory[order_type],SMALL(IF(ISNUMBER(MATCH(orderHistory[customer],$D$9,0)*MATCH(YEAR(orderHistory[invoice_date]),$D$15,0)),MATCH(ROW(orderHistory[customer]),ROW(orderHistory[customer])),""),ROWS($A$15:A26)+$B$3))),IF($D$15="",INDEX(orderHistory[order_type],SMALL(IF(ISNUMBER(MATCH(orderHistory[customer],$D$9,0)*MATCH(orderHistory[order_type],$D$13,0)),MATCH(ROW(orderHistory[customer]),ROW(orderHistory[customer])),""),ROWS($A$15:A26)+$B$3)),INDEX(orderHistory[order_typ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type],SMALL(IF(ISNUMBER(MATCH(orderHistory[customer],$D$9,0)*MATCH(orderHistory[status],$D$11,0)),MATCH(ROW(orderHistory[customer]),ROW(orderHistory[customer])),""),ROWS($A$15:A26)+$B$3)),INDEX(orderHistory[order_type],SMALL(IF(ISNUMBER(MATCH(orderHistory[customer],$D$9,0)*MATCH(orderHistory[status],$D$11,0)*MATCH(YEAR(orderHistory[invoice_date]),$D$15,0)),MATCH(ROW(orderHistory[customer]),ROW(orderHistory[customer])),""),ROWS($A$15:A26)+$B$3))),IF($D$15="",INDEX(orderHistory[order_type],SMALL(IF(ISNUMBER(MATCH(orderHistory[customer],$D$9,0)*MATCH(orderHistory[status],$D$11,0)*MATCH(orderHistory[order_type],$D$13,0)),MATCH(ROW(orderHistory[customer]),ROW(orderHistory[customer])),""),ROWS($A$15:A26)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O21" s="542" t="str">
        <f t="array" ref="O21">IFERROR(IF($D$9="",IF($D$11="",IF($D$13="",IF($D$15="",INDEX(orderHistory[order_date],SMALL(MATCH(ROW(orderHistory[customer]),ROW(orderHistory[customer])),ROWS($A$15:A26)+$B$3)),INDEX(orderHistory[order_date],SMALL(IF(ISNUMBER(MATCH(YEAR(orderHistory[invoice_date]),$D$15,0)),MATCH(ROW(orderHistory[customer]),ROW(orderHistory[customer])),""),ROWS($A$15:A26)+$B$3))),IF($D$15="",INDEX(orderHistory[order_date],SMALL(IF(ISNUMBER(MATCH(orderHistory[order_type],$D$13,0)),MATCH(ROW(orderHistory[customer]),ROW(orderHistory[customer])),""),ROWS($A$15:A26)+$B$3)),INDEX(orderHistory[order_date],SMALL(IF(ISNUMBER(MATCH(orderHistory[order_type],$D$13,0)*MATCH(YEAR(orderHistory[invoice_date]),$D$15,0)),MATCH(ROW(orderHistory[customer]),ROW(orderHistory[customer])),""),ROWS($A$15:A26)+$B$3)))),IF($D$13="",IF($D$15="",INDEX(orderHistory[order_date],SMALL(IF(ISNUMBER(MATCH(orderHistory[status],$D$11,0)),MATCH(ROW(orderHistory[customer]),ROW(orderHistory[customer])),""),ROWS($A$15:A26)+$B$3)),INDEX(orderHistory[order_date],SMALL(IF(ISNUMBER(MATCH(orderHistory[status],$D$11,0)*MATCH(YEAR(orderHistory[invoice_date]),$D$15,0)),MATCH(ROW(orderHistory[customer]),ROW(orderHistory[customer])),""),ROWS($A$15:A26)+$B$3))),IF($D$15="",INDEX(orderHistory[order_date],SMALL(IF(ISNUMBER(MATCH(orderHistory[status],$D$11,0)*MATCH(orderHistory[order_type],$D$13,0)),MATCH(ROW(orderHistory[customer]),ROW(orderHistory[customer])),""),ROWS($A$15:A26)+$B$3)),INDEX(orderHistory[order_dat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date],SMALL(IF(ISNUMBER(MATCH(orderHistory[customer],$D$9,0)),MATCH(ROW(orderHistory[customer]),ROW(orderHistory[customer])),""),ROWS($A$15:A26)+$B$3)),INDEX(orderHistory[order_date],SMALL(IF(ISNUMBER(MATCH(orderHistory[customer],$D$9,0)*MATCH(YEAR(orderHistory[invoice_date]),$D$15,0)),MATCH(ROW(orderHistory[customer]),ROW(orderHistory[customer])),""),ROWS($A$15:A26)+$B$3))),IF($D$15="",INDEX(orderHistory[order_date],SMALL(IF(ISNUMBER(MATCH(orderHistory[customer],$D$9,0)*MATCH(orderHistory[order_type],$D$13,0)),MATCH(ROW(orderHistory[customer]),ROW(orderHistory[customer])),""),ROWS($A$15:A26)+$B$3)),INDEX(orderHistory[order_dat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date],SMALL(IF(ISNUMBER(MATCH(orderHistory[customer],$D$9,0)*MATCH(orderHistory[status],$D$11,0)),MATCH(ROW(orderHistory[customer]),ROW(orderHistory[customer])),""),ROWS($A$15:A26)+$B$3)),INDEX(orderHistory[order_date],SMALL(IF(ISNUMBER(MATCH(orderHistory[customer],$D$9,0)*MATCH(orderHistory[status],$D$11,0)*MATCH(YEAR(orderHistory[invoice_date]),$D$15,0)),MATCH(ROW(orderHistory[customer]),ROW(orderHistory[customer])),""),ROWS($A$15:A26)+$B$3))),IF($D$15="",INDEX(orderHistory[order_date],SMALL(IF(ISNUMBER(MATCH(orderHistory[customer],$D$9,0)*MATCH(orderHistory[status],$D$11,0)*MATCH(orderHistory[order_type],$D$13,0)),MATCH(ROW(orderHistory[customer]),ROW(orderHistory[customer])),""),ROWS($A$15:A26)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P21" s="543" t="str">
        <f t="array" ref="P21">IFERROR(IF($D$9="",IF($D$11="",IF($D$13="",IF($D$15="",INDEX(orderHistory[invoice_no],SMALL(MATCH(ROW(orderHistory[customer]),ROW(orderHistory[customer])),ROWS($A$15:A26)+$B$3)),INDEX(orderHistory[invoice_no],SMALL(IF(ISNUMBER(MATCH(YEAR(orderHistory[invoice_date]),$D$15,0)),MATCH(ROW(orderHistory[customer]),ROW(orderHistory[customer])),""),ROWS($A$15:A26)+$B$3))),IF($D$15="",INDEX(orderHistory[invoice_no],SMALL(IF(ISNUMBER(MATCH(orderHistory[order_type],$D$13,0)),MATCH(ROW(orderHistory[customer]),ROW(orderHistory[customer])),""),ROWS($A$15:A26)+$B$3)),INDEX(orderHistory[invoice_no],SMALL(IF(ISNUMBER(MATCH(orderHistory[order_type],$D$13,0)*MATCH(YEAR(orderHistory[invoice_date]),$D$15,0)),MATCH(ROW(orderHistory[customer]),ROW(orderHistory[customer])),""),ROWS($A$15:A26)+$B$3)))),IF($D$13="",IF($D$15="",INDEX(orderHistory[invoice_no],SMALL(IF(ISNUMBER(MATCH(orderHistory[status],$D$11,0)),MATCH(ROW(orderHistory[customer]),ROW(orderHistory[customer])),""),ROWS($A$15:A26)+$B$3)),INDEX(orderHistory[invoice_no],SMALL(IF(ISNUMBER(MATCH(orderHistory[status],$D$11,0)*MATCH(YEAR(orderHistory[invoice_date]),$D$15,0)),MATCH(ROW(orderHistory[customer]),ROW(orderHistory[customer])),""),ROWS($A$15:A26)+$B$3))),IF($D$15="",INDEX(orderHistory[invoice_no],SMALL(IF(ISNUMBER(MATCH(orderHistory[status],$D$11,0)*MATCH(orderHistory[order_type],$D$13,0)),MATCH(ROW(orderHistory[customer]),ROW(orderHistory[customer])),""),ROWS($A$15:A26)+$B$3)),INDEX(orderHistory[invoice_no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oice_no],SMALL(IF(ISNUMBER(MATCH(orderHistory[customer],$D$9,0)),MATCH(ROW(orderHistory[customer]),ROW(orderHistory[customer])),""),ROWS($A$15:A26)+$B$3)),INDEX(orderHistory[invoice_no],SMALL(IF(ISNUMBER(MATCH(orderHistory[customer],$D$9,0)*MATCH(YEAR(orderHistory[invoice_date]),$D$15,0)),MATCH(ROW(orderHistory[customer]),ROW(orderHistory[customer])),""),ROWS($A$15:A26)+$B$3))),IF($D$15="",INDEX(orderHistory[invoice_no],SMALL(IF(ISNUMBER(MATCH(orderHistory[customer],$D$9,0)*MATCH(orderHistory[order_type],$D$13,0)),MATCH(ROW(orderHistory[customer]),ROW(orderHistory[customer])),""),ROWS($A$15:A26)+$B$3)),INDEX(orderHistory[invoice_no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YEAR(orderHistory[invoice_date]),$D$15,0)),MATCH(ROW(orderHistory[customer]),ROW(orderHistory[customer])),""),ROWS($A$15:A26)+$B$3))),IF($D$15="",INDEX(orderHistory[invoice_no],SMALL(IF(ISNUMBER(MATCH(orderHistory[customer],$D$9,0)*MATCH(orderHistory[status],$D$11,0)*MATCH(orderHistory[order_type],$D$13,0)),MATCH(ROW(orderHistory[customer]),ROW(orderHistory[customer])),""),ROWS($A$15:A26)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Q21" s="544" t="str">
        <f t="array" ref="Q21">IFERROR(IF($D$9="",IF($D$11="",IF($D$13="",IF($D$15="",INDEX(orderHistory[invoice_date],SMALL(MATCH(ROW(orderHistory[customer]),ROW(orderHistory[customer])),ROWS($A$15:A26)+$B$3)),INDEX(orderHistory[invoice_date],SMALL(IF(ISNUMBER(MATCH(YEAR(orderHistory[invoice_date]),$D$15,0)),MATCH(ROW(orderHistory[customer]),ROW(orderHistory[customer])),""),ROWS($A$15:A26)+$B$3))),IF($D$15="",INDEX(orderHistory[invoice_date],SMALL(IF(ISNUMBER(MATCH(orderHistory[order_type],$D$13,0)),MATCH(ROW(orderHistory[customer]),ROW(orderHistory[customer])),""),ROWS($A$15:A26)+$B$3)),INDEX(orderHistory[invoice_date],SMALL(IF(ISNUMBER(MATCH(orderHistory[order_type],$D$13,0)*MATCH(YEAR(orderHistory[invoice_date]),$D$15,0)),MATCH(ROW(orderHistory[customer]),ROW(orderHistory[customer])),""),ROWS($A$15:A26)+$B$3)))),IF($D$13="",IF($D$15="",INDEX(orderHistory[invoice_date],SMALL(IF(ISNUMBER(MATCH(orderHistory[status],$D$11,0)),MATCH(ROW(orderHistory[customer]),ROW(orderHistory[customer])),""),ROWS($A$15:A26)+$B$3)),INDEX(orderHistory[invoice_date],SMALL(IF(ISNUMBER(MATCH(orderHistory[status],$D$11,0)*MATCH(YEAR(orderHistory[invoice_date]),$D$15,0)),MATCH(ROW(orderHistory[customer]),ROW(orderHistory[customer])),""),ROWS($A$15:A26)+$B$3))),IF($D$15="",INDEX(orderHistory[invoice_date],SMALL(IF(ISNUMBER(MATCH(orderHistory[status],$D$11,0)*MATCH(orderHistory[order_type],$D$13,0)),MATCH(ROW(orderHistory[customer]),ROW(orderHistory[customer])),""),ROWS($A$15:A26)+$B$3)),INDEX(orderHistory[invoice_dat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oice_date],SMALL(IF(ISNUMBER(MATCH(orderHistory[customer],$D$9,0)),MATCH(ROW(orderHistory[customer]),ROW(orderHistory[customer])),""),ROWS($A$15:A26)+$B$3)),INDEX(orderHistory[invoice_date],SMALL(IF(ISNUMBER(MATCH(orderHistory[customer],$D$9,0)*MATCH(YEAR(orderHistory[invoice_date]),$D$15,0)),MATCH(ROW(orderHistory[customer]),ROW(orderHistory[customer])),""),ROWS($A$15:A26)+$B$3))),IF($D$15="",INDEX(orderHistory[invoice_date],SMALL(IF(ISNUMBER(MATCH(orderHistory[customer],$D$9,0)*MATCH(orderHistory[order_type],$D$13,0)),MATCH(ROW(orderHistory[customer]),ROW(orderHistory[customer])),""),ROWS($A$15:A26)+$B$3)),INDEX(orderHistory[invoice_dat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YEAR(orderHistory[invoice_date]),$D$15,0)),MATCH(ROW(orderHistory[customer]),ROW(orderHistory[customer])),""),ROWS($A$15:A26)+$B$3))),IF($D$15="",INDEX(orderHistory[invoice_date],SMALL(IF(ISNUMBER(MATCH(orderHistory[customer],$D$9,0)*MATCH(orderHistory[status],$D$11,0)*MATCH(orderHistory[order_type],$D$13,0)),MATCH(ROW(orderHistory[customer]),ROW(orderHistory[customer])),""),ROWS($A$15:A26)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R21" s="545" t="str">
        <f t="array" ref="R21">IFERROR(IF($D$9="",IF($D$11="",IF($D$13="",IF($D$15="",INDEX(orderHistory[inv_amount],SMALL(MATCH(ROW(orderHistory[customer]),ROW(orderHistory[customer])),ROWS($A$15:A26)+$B$3)),INDEX(orderHistory[inv_amount],SMALL(IF(ISNUMBER(MATCH(YEAR(orderHistory[invoice_date]),$D$15,0)),MATCH(ROW(orderHistory[customer]),ROW(orderHistory[customer])),""),ROWS($A$15:A26)+$B$3))),IF($D$15="",INDEX(orderHistory[inv_amount],SMALL(IF(ISNUMBER(MATCH(orderHistory[order_type],$D$13,0)),MATCH(ROW(orderHistory[customer]),ROW(orderHistory[customer])),""),ROWS($A$15:A26)+$B$3)),INDEX(orderHistory[inv_amount],SMALL(IF(ISNUMBER(MATCH(orderHistory[order_type],$D$13,0)*MATCH(YEAR(orderHistory[invoice_date]),$D$15,0)),MATCH(ROW(orderHistory[customer]),ROW(orderHistory[customer])),""),ROWS($A$15:A26)+$B$3)))),IF($D$13="",IF($D$15="",INDEX(orderHistory[inv_amount],SMALL(IF(ISNUMBER(MATCH(orderHistory[status],$D$11,0)),MATCH(ROW(orderHistory[customer]),ROW(orderHistory[customer])),""),ROWS($A$15:A26)+$B$3)),INDEX(orderHistory[inv_amount],SMALL(IF(ISNUMBER(MATCH(orderHistory[status],$D$11,0)*MATCH(YEAR(orderHistory[invoice_date]),$D$15,0)),MATCH(ROW(orderHistory[customer]),ROW(orderHistory[customer])),""),ROWS($A$15:A26)+$B$3))),IF($D$15="",INDEX(orderHistory[inv_amount],SMALL(IF(ISNUMBER(MATCH(orderHistory[status],$D$11,0)*MATCH(orderHistory[order_type],$D$13,0)),MATCH(ROW(orderHistory[customer]),ROW(orderHistory[customer])),""),ROWS($A$15:A26)+$B$3)),INDEX(orderHistory[inv_amount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_amount],SMALL(IF(ISNUMBER(MATCH(orderHistory[customer],$D$9,0)),MATCH(ROW(orderHistory[customer]),ROW(orderHistory[customer])),""),ROWS($A$15:A26)+$B$3)),INDEX(orderHistory[inv_amount],SMALL(IF(ISNUMBER(MATCH(orderHistory[customer],$D$9,0)*MATCH(YEAR(orderHistory[invoice_date]),$D$15,0)),MATCH(ROW(orderHistory[customer]),ROW(orderHistory[customer])),""),ROWS($A$15:A26)+$B$3))),IF($D$15="",INDEX(orderHistory[inv_amount],SMALL(IF(ISNUMBER(MATCH(orderHistory[customer],$D$9,0)*MATCH(orderHistory[order_type],$D$13,0)),MATCH(ROW(orderHistory[customer]),ROW(orderHistory[customer])),""),ROWS($A$15:A26)+$B$3)),INDEX(orderHistory[inv_amount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_amount],SMALL(IF(ISNUMBER(MATCH(orderHistory[customer],$D$9,0)*MATCH(orderHistory[status],$D$11,0)),MATCH(ROW(orderHistory[customer]),ROW(orderHistory[customer])),""),ROWS($A$15:A26)+$B$3)),INDEX(orderHistory[inv_amount],SMALL(IF(ISNUMBER(MATCH(orderHistory[customer],$D$9,0)*MATCH(orderHistory[status],$D$11,0)*MATCH(YEAR(orderHistory[inv_amount]),$D$15,0)),MATCH(ROW(orderHistory[customer]),ROW(orderHistory[customer])),""),ROWS($A$15:A26)+$B$3))),IF($D$15="",INDEX(orderHistory[inv_amount],SMALL(IF(ISNUMBER(MATCH(orderHistory[customer],$D$9,0)*MATCH(orderHistory[status],$D$11,0)*MATCH(orderHistory[order_type],$D$13,0)),MATCH(ROW(orderHistory[customer]),ROW(orderHistory[customer])),""),ROWS($A$15:A26)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S21" s="546" t="str">
        <f t="shared" si="2"/>
        <v/>
      </c>
      <c r="T21" s="547" t="str">
        <f t="array" ref="T21">IFERROR(IF($D$9="",IF($D$11="",IF($D$13="",IF($D$15="",INDEX(orderHistory[payed],SMALL(MATCH(ROW(orderHistory[customer]),ROW(orderHistory[customer])),ROWS($A$15:A26)+$B$3)),INDEX(orderHistory[payed],SMALL(IF(ISNUMBER(MATCH(YEAR(orderHistory[invoice_date]),$D$15,0)),MATCH(ROW(orderHistory[customer]),ROW(orderHistory[customer])),""),ROWS($A$15:A26)+$B$3))),IF($D$15="",INDEX(orderHistory[payed],SMALL(IF(ISNUMBER(MATCH(orderHistory[order_type],$D$13,0)),MATCH(ROW(orderHistory[customer]),ROW(orderHistory[customer])),""),ROWS($A$15:A26)+$B$3)),INDEX(orderHistory[payed],SMALL(IF(ISNUMBER(MATCH(orderHistory[order_type],$D$13,0)*MATCH(YEAR(orderHistory[invoice_date]),$D$15,0)),MATCH(ROW(orderHistory[customer]),ROW(orderHistory[customer])),""),ROWS($A$15:A26)+$B$3)))),IF($D$13="",IF($D$15="",INDEX(orderHistory[payed],SMALL(IF(ISNUMBER(MATCH(orderHistory[status],$D$11,0)),MATCH(ROW(orderHistory[customer]),ROW(orderHistory[customer])),""),ROWS($A$15:A26)+$B$3)),INDEX(orderHistory[payed],SMALL(IF(ISNUMBER(MATCH(orderHistory[status],$D$11,0)*MATCH(YEAR(orderHistory[invoice_date]),$D$15,0)),MATCH(ROW(orderHistory[customer]),ROW(orderHistory[customer])),""),ROWS($A$15:A26)+$B$3))),IF($D$15="",INDEX(orderHistory[payed],SMALL(IF(ISNUMBER(MATCH(orderHistory[status],$D$11,0)*MATCH(orderHistory[order_type],$D$13,0)),MATCH(ROW(orderHistory[customer]),ROW(orderHistory[customer])),""),ROWS($A$15:A26)+$B$3)),INDEX(orderHistory[payed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payed],SMALL(IF(ISNUMBER(MATCH(orderHistory[customer],$D$9,0)),MATCH(ROW(orderHistory[customer]),ROW(orderHistory[customer])),""),ROWS($A$15:A26)+$B$3)),INDEX(orderHistory[payed],SMALL(IF(ISNUMBER(MATCH(orderHistory[customer],$D$9,0)*MATCH(YEAR(orderHistory[invoice_date]),$D$15,0)),MATCH(ROW(orderHistory[customer]),ROW(orderHistory[customer])),""),ROWS($A$15:A26)+$B$3))),IF($D$15="",INDEX(orderHistory[payed],SMALL(IF(ISNUMBER(MATCH(orderHistory[customer],$D$9,0)*MATCH(orderHistory[order_type],$D$13,0)),MATCH(ROW(orderHistory[customer]),ROW(orderHistory[customer])),""),ROWS($A$15:A26)+$B$3)),INDEX(orderHistory[payed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payed],SMALL(IF(ISNUMBER(MATCH(orderHistory[customer],$D$9,0)*MATCH(orderHistory[status],$D$11,0)),MATCH(ROW(orderHistory[customer]),ROW(orderHistory[customer])),""),ROWS($A$15:A26)+$B$3)),INDEX(orderHistory[payed],SMALL(IF(ISNUMBER(MATCH(orderHistory[customer],$D$9,0)*MATCH(orderHistory[status],$D$11,0)*MATCH(YEAR(orderHistory[payed]),$D$15,0)),MATCH(ROW(orderHistory[customer]),ROW(orderHistory[customer])),""),ROWS($A$15:A26)+$B$3))),IF($D$15="",INDEX(orderHistory[payed],SMALL(IF(ISNUMBER(MATCH(orderHistory[customer],$D$9,0)*MATCH(orderHistory[status],$D$11,0)*MATCH(orderHistory[order_type],$D$13,0)),MATCH(ROW(orderHistory[customer]),ROW(orderHistory[customer])),""),ROWS($A$15:A26)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U21" s="541" t="str">
        <f t="array" ref="U21">IFERROR(IF($D$9="",IF($D$11="",IF($D$13="",IF($D$15="",INDEX(orderHistory[shipping_method],SMALL(MATCH(ROW(orderHistory[customer]),ROW(orderHistory[customer])),ROWS($A$15:A26)+$B$3)),INDEX(orderHistory[shipping_method],SMALL(IF(ISNUMBER(MATCH(YEAR(orderHistory[invoice_date]),$D$15,0)),MATCH(ROW(orderHistory[customer]),ROW(orderHistory[customer])),""),ROWS($A$15:A26)+$B$3))),IF($D$15="",INDEX(orderHistory[shipping_method],SMALL(IF(ISNUMBER(MATCH(orderHistory[order_type],$D$13,0)),MATCH(ROW(orderHistory[customer]),ROW(orderHistory[customer])),""),ROWS($A$15:A26)+$B$3)),INDEX(orderHistory[shipping_method],SMALL(IF(ISNUMBER(MATCH(orderHistory[order_type],$D$13,0)*MATCH(YEAR(orderHistory[invoice_date]),$D$15,0)),MATCH(ROW(orderHistory[customer]),ROW(orderHistory[customer])),""),ROWS($A$15:A26)+$B$3)))),IF($D$13="",IF($D$15="",INDEX(orderHistory[shipping_method],SMALL(IF(ISNUMBER(MATCH(orderHistory[status],$D$11,0)),MATCH(ROW(orderHistory[customer]),ROW(orderHistory[customer])),""),ROWS($A$15:A26)+$B$3)),INDEX(orderHistory[shipping_method],SMALL(IF(ISNUMBER(MATCH(orderHistory[status],$D$11,0)*MATCH(YEAR(orderHistory[invoice_date]),$D$15,0)),MATCH(ROW(orderHistory[customer]),ROW(orderHistory[customer])),""),ROWS($A$15:A26)+$B$3))),IF($D$15="",INDEX(orderHistory[shipping_method],SMALL(IF(ISNUMBER(MATCH(orderHistory[status],$D$11,0)*MATCH(orderHistory[order_type],$D$13,0)),MATCH(ROW(orderHistory[customer]),ROW(orderHistory[customer])),""),ROWS($A$15:A26)+$B$3)),INDEX(orderHistory[shipping_method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shipping_method],SMALL(IF(ISNUMBER(MATCH(orderHistory[customer],$D$9,0)),MATCH(ROW(orderHistory[customer]),ROW(orderHistory[customer])),""),ROWS($A$15:A26)+$B$3)),INDEX(orderHistory[shipping_method],SMALL(IF(ISNUMBER(MATCH(orderHistory[customer],$D$9,0)*MATCH(YEAR(orderHistory[invoice_date]),$D$15,0)),MATCH(ROW(orderHistory[customer]),ROW(orderHistory[customer])),""),ROWS($A$15:A26)+$B$3))),IF($D$15="",INDEX(orderHistory[shipping_method],SMALL(IF(ISNUMBER(MATCH(orderHistory[customer],$D$9,0)*MATCH(orderHistory[order_type],$D$13,0)),MATCH(ROW(orderHistory[customer]),ROW(orderHistory[customer])),""),ROWS($A$15:A26)+$B$3)),INDEX(orderHistory[shipping_method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shipping_method],SMALL(IF(ISNUMBER(MATCH(orderHistory[customer],$D$9,0)*MATCH(orderHistory[status],$D$11,0)),MATCH(ROW(orderHistory[customer]),ROW(orderHistory[customer])),""),ROWS($A$15:A26)+$B$3)),INDEX(orderHistory[shipping_method],SMALL(IF(ISNUMBER(MATCH(orderHistory[customer],$D$9,0)*MATCH(orderHistory[status],$D$11,0)*MATCH(YEAR(orderHistory[shipping_method]),$D$15,0)),MATCH(ROW(orderHistory[customer]),ROW(orderHistory[customer])),""),ROWS($A$15:A26)+$B$3))),IF($D$15="",INDEX(orderHistory[shipping_method],SMALL(IF(ISNUMBER(MATCH(orderHistory[customer],$D$9,0)*MATCH(orderHistory[status],$D$11,0)*MATCH(orderHistory[order_type],$D$13,0)),MATCH(ROW(orderHistory[customer]),ROW(orderHistory[customer])),""),ROWS($A$15:A26)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V21" s="548" t="str">
        <f t="array" ref="V21">IFERROR(IF($D$9="",IF($D$11="",IF($D$13="",IF($D$15="",INDEX(orderHistory[status],SMALL(MATCH(ROW(orderHistory[customer]),ROW(orderHistory[customer])),ROWS($A$15:A26)+$B$3)),INDEX(orderHistory[status],SMALL(IF(ISNUMBER(MATCH(YEAR(orderHistory[invoice_date]),$D$15,0)),MATCH(ROW(orderHistory[customer]),ROW(orderHistory[customer])),""),ROWS($A$15:A26)+$B$3))),IF($D$15="",INDEX(orderHistory[status],SMALL(IF(ISNUMBER(MATCH(orderHistory[order_type],$D$13,0)),MATCH(ROW(orderHistory[customer]),ROW(orderHistory[customer])),""),ROWS($A$15:A26)+$B$3)),INDEX(orderHistory[status],SMALL(IF(ISNUMBER(MATCH(orderHistory[order_type],$D$13,0)*MATCH(YEAR(orderHistory[invoice_date]),$D$15,0)),MATCH(ROW(orderHistory[customer]),ROW(orderHistory[customer])),""),ROWS($A$15:A26)+$B$3)))),IF($D$13="",IF($D$15="",INDEX(orderHistory[status],SMALL(IF(ISNUMBER(MATCH(orderHistory[status],$D$11,0)),MATCH(ROW(orderHistory[customer]),ROW(orderHistory[customer])),""),ROWS($A$15:A26)+$B$3)),INDEX(orderHistory[status],SMALL(IF(ISNUMBER(MATCH(orderHistory[status],$D$11,0)*MATCH(YEAR(orderHistory[invoice_date]),$D$15,0)),MATCH(ROW(orderHistory[customer]),ROW(orderHistory[customer])),""),ROWS($A$15:A26)+$B$3))),IF($D$15="",INDEX(orderHistory[status],SMALL(IF(ISNUMBER(MATCH(orderHistory[status],$D$11,0)*MATCH(orderHistory[order_type],$D$13,0)),MATCH(ROW(orderHistory[customer]),ROW(orderHistory[customer])),""),ROWS($A$15:A26)+$B$3)),INDEX(orderHistory[status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status],SMALL(IF(ISNUMBER(MATCH(orderHistory[customer],$D$9,0)),MATCH(ROW(orderHistory[customer]),ROW(orderHistory[customer])),""),ROWS($A$15:A26)+$B$3)),INDEX(orderHistory[status],SMALL(IF(ISNUMBER(MATCH(orderHistory[customer],$D$9,0)*MATCH(YEAR(orderHistory[invoice_date]),$D$15,0)),MATCH(ROW(orderHistory[customer]),ROW(orderHistory[customer])),""),ROWS($A$15:A26)+$B$3))),IF($D$15="",INDEX(orderHistory[status],SMALL(IF(ISNUMBER(MATCH(orderHistory[customer],$D$9,0)*MATCH(orderHistory[order_type],$D$13,0)),MATCH(ROW(orderHistory[customer]),ROW(orderHistory[customer])),""),ROWS($A$15:A26)+$B$3)),INDEX(orderHistory[status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status],SMALL(IF(ISNUMBER(MATCH(orderHistory[customer],$D$9,0)*MATCH(orderHistory[status],$D$11,0)),MATCH(ROW(orderHistory[customer]),ROW(orderHistory[customer])),""),ROWS($A$15:A26)+$B$3)),INDEX(orderHistory[status],SMALL(IF(ISNUMBER(MATCH(orderHistory[customer],$D$9,0)*MATCH(orderHistory[status],$D$11,0)*MATCH(YEAR(orderHistory[status]),$D$15,0)),MATCH(ROW(orderHistory[customer]),ROW(orderHistory[customer])),""),ROWS($A$15:A26)+$B$3))),IF($D$15="",INDEX(orderHistory[status],SMALL(IF(ISNUMBER(MATCH(orderHistory[customer],$D$9,0)*MATCH(orderHistory[status],$D$11,0)*MATCH(orderHistory[order_type],$D$13,0)),MATCH(ROW(orderHistory[customer]),ROW(orderHistory[customer])),""),ROWS($A$15:A26)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W21" s="107"/>
      <c r="AO21" s="423"/>
      <c r="AQ21" s="462"/>
      <c r="AR21" s="485"/>
      <c r="AS21" s="829"/>
      <c r="AT21" s="828"/>
      <c r="AU21" s="421"/>
      <c r="AW21" s="462"/>
      <c r="AX21" s="423"/>
      <c r="AZ21" s="430"/>
      <c r="BB21" s="430"/>
      <c r="BD21" s="423"/>
      <c r="BJ21" s="421"/>
      <c r="BK21" s="450"/>
      <c r="BL21" s="451"/>
      <c r="BM21" s="452"/>
      <c r="BN21" s="451"/>
      <c r="BO21" s="452"/>
      <c r="BX21" s="518"/>
      <c r="BZ21" s="167"/>
      <c r="CA21" s="154" t="str">
        <f>IF(BZ21="","",INDEX(bhpc_data[description],MATCH(BZ21,bhpc_data[sku],0)))</f>
        <v/>
      </c>
      <c r="CB21" s="166"/>
      <c r="CC21" s="358"/>
      <c r="CD21" s="160"/>
      <c r="CE21" s="360"/>
      <c r="CF21" s="161"/>
      <c r="CG21" s="164" t="str">
        <f>IFERROR(ROUNDUP(CB21/INDEX(bhpc_data[units_per_carton],MATCH(BZ21,bhpc_data[sku],0)),0),"")</f>
        <v/>
      </c>
      <c r="CH21" s="165" t="str">
        <f>IFERROR(ROUNDUP(CD21/INDEX(bhpc_data[units_per_carton],MATCH(BZ21,bhpc_data[sku],0)),0),"")</f>
        <v/>
      </c>
      <c r="CI21" s="165" t="str">
        <f>IFERROR(ROUNDUP(CF21/INDEX(bhpc_data[units_per_carton],MATCH(BZ21,bhpc_data[sku])),0),"")</f>
        <v/>
      </c>
      <c r="CJ21" s="165" t="str">
        <f>IFERROR(((CB21+CD21+CF21)/INDEX(bhpc_data[units_per_carton],MATCH(BZ21,bhpc_data[sku],0)))*INDEX(bhpc_data[net_weight],MATCH(BZ21,bhpc_data[sku],0)),"")</f>
        <v/>
      </c>
      <c r="CK21" s="165" t="str">
        <f>IFERROR(((CB21+CD21+CF21)/INDEX(bhpc_data[units_per_carton],MATCH(BZ21,bhpc_data[sku],0)))*INDEX(bhpc_data[gross_weight],MATCH(BZ21,bhpc_data[sku],0)),"")</f>
        <v/>
      </c>
      <c r="CL21" s="180" t="str">
        <f>IFERROR((CB21+CD21+CF21)/INDEX(bhpc_data[units_per_carton],MATCH(BZ21,bhpc_data[sku],0))*INDEX(bhpc_data[lenght],MATCH(BZ21,bhpc_data[sku],0))*INDEX(bhpc_data[width],MATCH(BZ21,bhpc_data[sku],0))*INDEX(bhpc_data[height],MATCH(BZ21,bhpc_data[sku],0))/1000000000,"")</f>
        <v/>
      </c>
      <c r="CM21" s="189" t="str">
        <f>IFERROR(INDEX(bhpc_data[category],MATCH(BZ21,bhpc_data[sku],0)),"")</f>
        <v/>
      </c>
      <c r="CN21" s="189" t="str">
        <f>IFERROR(INDEX(bhpc_data[size1],MATCH(BZ21,bhpc_data[sku],0)),"")</f>
        <v/>
      </c>
      <c r="CO21" s="388" t="str">
        <f>IFERROR(INDEX(bhpc_data[hs_code],MATCH(BZ21,bhpc_data[sku],0)),"")</f>
        <v/>
      </c>
      <c r="CP21" s="377" t="str">
        <f>IFERROR(INDEX(inventory[ESISTENZA],MATCH(BZ21,inventory[ARTICOLO],0)),"")</f>
        <v/>
      </c>
      <c r="CQ21" s="367" t="str">
        <f>IFERROR(IF(BZ21="","",IF($BX$15="SALE",INDEX(inventory[COSTO UNITARIO],MATCH(BZ21,inventory[ARTICOLO],0)),IF($BX$15="SAMPLING",INDEX(inventory[COSTO UNITARIO],MATCH(BZ21,inventory[ARTICOLO],0)),""))),"")</f>
        <v/>
      </c>
      <c r="CR21" s="368" t="str">
        <f t="shared" si="0"/>
        <v/>
      </c>
      <c r="CS21" s="264" t="str">
        <f t="shared" si="1"/>
        <v/>
      </c>
      <c r="CU21" s="85"/>
      <c r="CV21" s="81"/>
      <c r="CW21" s="81"/>
      <c r="CX21" s="89"/>
      <c r="CY21" s="81"/>
      <c r="CZ21" s="82"/>
      <c r="DA21" s="432" t="str">
        <f>IFERROR(VLOOKUP(BZ21,bhpc_data[],22,FALSE),"")</f>
        <v/>
      </c>
      <c r="DH21" s="296"/>
      <c r="EE21" s="202" t="str" cm="1">
        <f t="array" ref="EE21">IFERROR(IF($EC$9="",IF($EC$11="",IF($EC$13="",INDEX(bhpc_data[sku],SMALL(MATCH(ROW(bhpc_data[sku]),ROW(bhpc_data[sku])),ROWS($A$15:A26)+$B$3)),INDEX(bhpc_data[sku],SMALL(IF(ISNUMBER(MATCH(bhpc_data[size1],$EC$13,0)),MATCH(ROW(bhpc_data[sku]),ROW(bhpc_data[sku])),""),ROWS($A$15:A26)+$B$3))),IF($EC$13="",INDEX(bhpc_data[sku],SMALL(IF(ISNUMBER(MATCH(bhpc_data[sex],$EC$11,0)),MATCH(ROW(bhpc_data[sku]),ROW(bhpc_data[sku])),""),ROWS($A$15:A26)+$B$3)),INDEX(bhpc_data[sku],SMALL(IF(ISNUMBER(MATCH(bhpc_data[sex],$EC$11,0)*MATCH(bhpc_data[size1],$EC$13,0)),MATCH(ROW(bhpc_data[sku]),ROW(bhpc_data[sku])),""),ROWS($A$15:A26)+$B$3)))),IF($EC$11="",IF($EC$13="",INDEX(bhpc_data[sku],SMALL(IF(ISNUMBER(MATCH(bhpc_data[category],$EC$9,0)),MATCH(ROW(bhpc_data[sku]),ROW(bhpc_data[sku])),""),ROWS($A$15:A26)+$B$3)),INDEX(bhpc_data[sku],SMALL(IF(ISNUMBER(MATCH(bhpc_data[category],$EC$9,0)*MATCH(bhpc_data[size1],$EC$13,0)),MATCH(ROW(bhpc_data[sku]),ROW(bhpc_data[sku])),""),ROWS($A$15:A26)+$B$3))),IF($EC$13="",INDEX(bhpc_data[sku],SMALL(IF(ISNUMBER(MATCH(bhpc_data[category],$EC$9,0)*MATCH(bhpc_data[sex],$EC$11,0)),MATCH(ROW(bhpc_data[sku]),ROW(bhpc_data[sku])),""),ROWS($A$15:A26)+$B$3)),INDEX(bhpc_data[sku],SMALL(IF(ISNUMBER(MATCH(bhpc_data[category],$EC$9,0)*MATCH(bhpc_data[sex],$EC$11,0)*MATCH(bhpc_data[size1],$EC$13,0)),MATCH(ROW(bhpc_data[sku]),ROW(bhpc_data[sku])),""),ROWS($A$15:A26)+$B$3))))),"")</f>
        <v>GS5031</v>
      </c>
      <c r="EF21" s="198" t="str" cm="1">
        <f t="array" ref="EF21">IFERROR(IF($EC$9="",IF($EC$11="",IF($EC$13="",INDEX(bhpc_data[description],SMALL(MATCH(ROW(bhpc_data[sku]),ROW(bhpc_data[sku])),ROWS($A$15:A26)+$B$3)),INDEX(bhpc_data[description],SMALL(IF(ISNUMBER(MATCH(bhpc_data[size1],$EC$13,0)),MATCH(ROW(bhpc_data[sku]),ROW(bhpc_data[sku])),""),ROWS($A$15:A26)+$B$3))),IF($EC$13="",INDEX(bhpc_data[description],SMALL(IF(ISNUMBER(MATCH(bhpc_data[sex],$EC$11,0)),MATCH(ROW(bhpc_data[sku]),ROW(bhpc_data[sku])),""),ROWS($A$15:A26)+$B$3)),INDEX(bhpc_data[description],SMALL(IF(ISNUMBER(MATCH(bhpc_data[sex],$EC$11,0)*MATCH(bhpc_data[size1],$EC$13,0)),MATCH(ROW(bhpc_data[sku]),ROW(bhpc_data[sku])),""),ROWS($A$15:A26)+$B$3)))),IF($EC$11="",IF($EC$13="",INDEX(bhpc_data[description],SMALL(IF(ISNUMBER(MATCH(bhpc_data[category],$EC$9,0)),MATCH(ROW(bhpc_data[sku]),ROW(bhpc_data[sku])),""),ROWS($A$15:A26)+$B$3)),INDEX(bhpc_data[description],SMALL(IF(ISNUMBER(MATCH(bhpc_data[category],$EC$9,0)*MATCH(bhpc_data[size1],$EC$13,0)),MATCH(ROW(bhpc_data[sku]),ROW(bhpc_data[sku])),""),ROWS($A$15:A26)+$B$3))),IF($EC$13="",INDEX(bhpc_data[description],SMALL(IF(ISNUMBER(MATCH(bhpc_data[category],$EC$9,0)*MATCH(bhpc_data[sex],$EC$11,0)),MATCH(ROW(bhpc_data[sku]),ROW(bhpc_data[sku])),""),ROWS($A$15:A26)+$B$3)),INDEX(bhpc_data[description],SMALL(IF(ISNUMBER(MATCH(bhpc_data[category],$EC$9,0)*MATCH(bhpc_data[sex],$EC$11,0)*MATCH(bhpc_data[size1],$EC$13,0)),MATCH(ROW(bhpc_data[sku]),ROW(bhpc_data[sku])),""),ROWS($A$15:A26)+$B$3))))),"")</f>
        <v>BHPC GIFT SET WOMEN 2 EDP 50ML + DEO 150ML</v>
      </c>
      <c r="EG21" s="263">
        <f>IFERROR(IF(warehouse[[#This Row],[SKU]]="","",INDEX(inventory[ESISTENZA],MATCH(warehouse[[#This Row],[SKU]],inventory[ARTICOLO],0))),"")</f>
        <v>520</v>
      </c>
      <c r="EH21" s="328"/>
      <c r="EI21" s="328"/>
      <c r="EJ21" s="263"/>
      <c r="EK21" s="113"/>
      <c r="FF21" s="413"/>
      <c r="FG21" s="413"/>
      <c r="FH21" s="413"/>
      <c r="FI21" s="413"/>
      <c r="FJ21" s="413"/>
      <c r="FK21" s="413"/>
      <c r="FL21" s="413"/>
      <c r="FM21" s="413"/>
      <c r="FN21" s="413"/>
      <c r="FO21" s="413"/>
      <c r="FP21" s="413"/>
      <c r="FQ21" s="413"/>
      <c r="FR21" s="413"/>
      <c r="FS21" s="413"/>
      <c r="FT21" s="413"/>
      <c r="FU21" s="413"/>
      <c r="FV21" s="413"/>
      <c r="FW21" s="413"/>
      <c r="FX21" s="413"/>
      <c r="FY21" s="413"/>
      <c r="FZ21" s="413"/>
      <c r="GA21" s="413"/>
      <c r="GB21" s="413"/>
      <c r="GC21" s="413"/>
      <c r="GD21" s="413"/>
      <c r="GE21" s="413"/>
      <c r="GF21" s="413"/>
      <c r="GG21" s="413"/>
      <c r="GH21" s="413"/>
      <c r="GI21" s="413"/>
      <c r="GJ21" s="413"/>
      <c r="GK21" s="413"/>
      <c r="GL21" s="413"/>
      <c r="GM21" s="413"/>
      <c r="GN21" s="413"/>
      <c r="GO21" s="413"/>
      <c r="GP21" s="413"/>
      <c r="GQ21" s="413"/>
      <c r="GR21" s="413"/>
      <c r="GS21" s="413"/>
      <c r="GT21" s="413"/>
      <c r="GU21" s="413"/>
      <c r="GV21" s="413"/>
      <c r="GW21" s="413"/>
      <c r="GX21" s="413"/>
      <c r="GY21" s="413"/>
      <c r="GZ21" s="413"/>
      <c r="HA21" s="413"/>
      <c r="HB21" s="413"/>
      <c r="HC21" s="413"/>
      <c r="HD21" s="413"/>
      <c r="HE21" s="413"/>
      <c r="HF21" s="413"/>
      <c r="HG21" s="413"/>
      <c r="HH21" s="413"/>
      <c r="HI21" s="413"/>
      <c r="HJ21" s="413"/>
      <c r="HK21" s="413"/>
      <c r="HL21" s="413"/>
      <c r="HM21" s="413"/>
      <c r="HN21" s="413"/>
      <c r="HO21" s="413"/>
      <c r="HP21" s="413"/>
      <c r="HQ21" s="413"/>
      <c r="HR21" s="413"/>
      <c r="HS21" s="413"/>
      <c r="HT21" s="413"/>
    </row>
    <row r="22" spans="1:228" ht="15" customHeight="1" thickBot="1" x14ac:dyDescent="0.4">
      <c r="F22" s="91"/>
      <c r="G22" s="805">
        <f>IFERROR(INDEX(clientData[hq_address1],MATCH($B$6,clientData[cod_cliente],0)),"")</f>
        <v>0</v>
      </c>
      <c r="H22" s="806"/>
      <c r="I22" s="807"/>
      <c r="J22" s="82"/>
      <c r="L22" s="539" t="str">
        <f t="array" ref="L22">IFERROR(IF($D$9="",IF($D$11="",IF($D$13="",IF($D$15="",INDEX(orderHistory[customer],SMALL(MATCH(ROW(orderHistory[customer]),ROW(orderHistory[customer])),ROWS($A$15:A27)+$B$3)),INDEX(orderHistory[customer],SMALL(IF(ISNUMBER(MATCH(YEAR(orderHistory[invoice_date]),$D$15,0)),MATCH(ROW(orderHistory[customer]),ROW(orderHistory[customer])),""),ROWS($A$15:A27)+$B$3))),IF($D$15="",INDEX(orderHistory[customer],SMALL(IF(ISNUMBER(MATCH(orderHistory[order_type],$D$13,0)),MATCH(ROW(orderHistory[customer]),ROW(orderHistory[customer])),""),ROWS($A$15:A27)+$B$3)),INDEX(orderHistory[customer],SMALL(IF(ISNUMBER(MATCH(orderHistory[order_type],$D$13,0)*MATCH(YEAR(orderHistory[invoice_date]),$D$15,0)),MATCH(ROW(orderHistory[customer]),ROW(orderHistory[customer])),""),ROWS($A$15:A27)+$B$3)))),IF($D$13="",IF($D$15="",INDEX(orderHistory[customer],SMALL(IF(ISNUMBER(MATCH(orderHistory[status],$D$11,0)),MATCH(ROW(orderHistory[customer]),ROW(orderHistory[customer])),""),ROWS($A$15:A27)+$B$3)),INDEX(orderHistory[customer],SMALL(IF(ISNUMBER(MATCH(orderHistory[status],$D$11,0)*MATCH(YEAR(orderHistory[invoice_date]),$D$15,0)),MATCH(ROW(orderHistory[customer]),ROW(orderHistory[customer])),""),ROWS($A$15:A27)+$B$3))),IF($D$15="",INDEX(orderHistory[customer],SMALL(IF(ISNUMBER(MATCH(orderHistory[status],$D$11,0)*MATCH(orderHistory[order_type],$D$13,0)),MATCH(ROW(orderHistory[customer]),ROW(orderHistory[customer])),""),ROWS($A$15:A27)+$B$3)),INDEX(orderHistory[customer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customer],SMALL(IF(ISNUMBER(MATCH(orderHistory[customer],$D$9,0)),MATCH(ROW(orderHistory[customer]),ROW(orderHistory[customer])),""),ROWS($A$15:A27)+$B$3)),INDEX(orderHistory[customer],SMALL(IF(ISNUMBER(MATCH(orderHistory[customer],$D$9,0)*MATCH(YEAR(orderHistory[invoice_date]),$D$15,0)),MATCH(ROW(orderHistory[customer]),ROW(orderHistory[customer])),""),ROWS($A$15:A27)+$B$3))),IF($D$15="",INDEX(orderHistory[customer],SMALL(IF(ISNUMBER(MATCH(orderHistory[customer],$D$9,0)*MATCH(orderHistory[order_type],$D$13,0)),MATCH(ROW(orderHistory[customer]),ROW(orderHistory[customer])),""),ROWS($A$15:A27)+$B$3)),INDEX(orderHistory[customer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customer],SMALL(IF(ISNUMBER(MATCH(orderHistory[customer],$D$9,0)*MATCH(orderHistory[status],$D$11,0)),MATCH(ROW(orderHistory[customer]),ROW(orderHistory[customer])),""),ROWS($A$15:A27)+$B$3)),INDEX(orderHistory[customer],SMALL(IF(ISNUMBER(MATCH(orderHistory[customer],$D$9,0)*MATCH(orderHistory[status],$D$11,0)*MATCH(YEAR(orderHistory[invoice_date]),$D$15,0)),MATCH(ROW(orderHistory[customer]),ROW(orderHistory[customer])),""),ROWS($A$15:A27)+$B$3))),IF($D$15="",INDEX(orderHistory[customer],SMALL(IF(ISNUMBER(MATCH(orderHistory[customer],$D$9,0)*MATCH(orderHistory[status],$D$11,0)*MATCH(orderHistory[order_type],$D$13,0)),MATCH(ROW(orderHistory[customer]),ROW(orderHistory[customer])),""),ROWS($A$15:A27)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M22" s="540" t="str">
        <f t="array" ref="M22">IFERROR(IF($D$9="",IF($D$11="",IF($D$13="",IF($D$15="",INDEX(orderHistory[order_no],SMALL(MATCH(ROW(orderHistory[customer]),ROW(orderHistory[customer])),ROWS($A$15:A27)+$B$3)),INDEX(orderHistory[order_no],SMALL(IF(ISNUMBER(MATCH(YEAR(orderHistory[invoice_date]),$D$15,0)),MATCH(ROW(orderHistory[customer]),ROW(orderHistory[customer])),""),ROWS($A$15:A27)+$B$3))),IF($D$15="",INDEX(orderHistory[order_no],SMALL(IF(ISNUMBER(MATCH(orderHistory[order_type],$D$13,0)),MATCH(ROW(orderHistory[customer]),ROW(orderHistory[customer])),""),ROWS($A$15:A27)+$B$3)),INDEX(orderHistory[order_no],SMALL(IF(ISNUMBER(MATCH(orderHistory[order_type],$D$13,0)*MATCH(YEAR(orderHistory[invoice_date]),$D$15,0)),MATCH(ROW(orderHistory[customer]),ROW(orderHistory[customer])),""),ROWS($A$15:A27)+$B$3)))),IF($D$13="",IF($D$15="",INDEX(orderHistory[order_no],SMALL(IF(ISNUMBER(MATCH(orderHistory[status],$D$11,0)),MATCH(ROW(orderHistory[customer]),ROW(orderHistory[customer])),""),ROWS($A$15:A27)+$B$3)),INDEX(orderHistory[order_no],SMALL(IF(ISNUMBER(MATCH(orderHistory[status],$D$11,0)*MATCH(YEAR(orderHistory[invoice_date]),$D$15,0)),MATCH(ROW(orderHistory[customer]),ROW(orderHistory[customer])),""),ROWS($A$15:A27)+$B$3))),IF($D$15="",INDEX(orderHistory[order_no],SMALL(IF(ISNUMBER(MATCH(orderHistory[status],$D$11,0)*MATCH(orderHistory[order_type],$D$13,0)),MATCH(ROW(orderHistory[customer]),ROW(orderHistory[customer])),""),ROWS($A$15:A27)+$B$3)),INDEX(orderHistory[order_no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no],SMALL(IF(ISNUMBER(MATCH(orderHistory[customer],$D$9,0)),MATCH(ROW(orderHistory[customer]),ROW(orderHistory[customer])),""),ROWS($A$15:A27)+$B$3)),INDEX(orderHistory[order_no],SMALL(IF(ISNUMBER(MATCH(orderHistory[customer],$D$9,0)*MATCH(YEAR(orderHistory[invoice_date]),$D$15,0)),MATCH(ROW(orderHistory[customer]),ROW(orderHistory[customer])),""),ROWS($A$15:A27)+$B$3))),IF($D$15="",INDEX(orderHistory[order_no],SMALL(IF(ISNUMBER(MATCH(orderHistory[customer],$D$9,0)*MATCH(orderHistory[order_type],$D$13,0)),MATCH(ROW(orderHistory[customer]),ROW(orderHistory[customer])),""),ROWS($A$15:A27)+$B$3)),INDEX(orderHistory[order_no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no],SMALL(IF(ISNUMBER(MATCH(orderHistory[customer],$D$9,0)*MATCH(orderHistory[status],$D$11,0)),MATCH(ROW(orderHistory[customer]),ROW(orderHistory[customer])),""),ROWS($A$15:A27)+$B$3)),INDEX(orderHistory[order_no],SMALL(IF(ISNUMBER(MATCH(orderHistory[customer],$D$9,0)*MATCH(orderHistory[status],$D$11,0)*MATCH(YEAR(orderHistory[invoice_date]),$D$15,0)),MATCH(ROW(orderHistory[customer]),ROW(orderHistory[customer])),""),ROWS($A$15:A27)+$B$3))),IF($D$15="",INDEX(orderHistory[order_no],SMALL(IF(ISNUMBER(MATCH(orderHistory[customer],$D$9,0)*MATCH(orderHistory[status],$D$11,0)*MATCH(orderHistory[order_type],$D$13,0)),MATCH(ROW(orderHistory[customer]),ROW(orderHistory[customer])),""),ROWS($A$15:A27)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N22" s="541" t="str">
        <f t="array" ref="N22">IFERROR(IF($D$9="",IF($D$11="",IF($D$13="",IF($D$15="",INDEX(orderHistory[order_type],SMALL(MATCH(ROW(orderHistory[customer]),ROW(orderHistory[customer])),ROWS($A$15:A27)+$B$3)),INDEX(orderHistory[order_type],SMALL(IF(ISNUMBER(MATCH(YEAR(orderHistory[invoice_date]),$D$15,0)),MATCH(ROW(orderHistory[customer]),ROW(orderHistory[customer])),""),ROWS($A$15:A27)+$B$3))),IF($D$15="",INDEX(orderHistory[order_type],SMALL(IF(ISNUMBER(MATCH(orderHistory[order_type],$D$13,0)),MATCH(ROW(orderHistory[customer]),ROW(orderHistory[customer])),""),ROWS($A$15:A27)+$B$3)),INDEX(orderHistory[order_type],SMALL(IF(ISNUMBER(MATCH(orderHistory[order_type],$D$13,0)*MATCH(YEAR(orderHistory[invoice_date]),$D$15,0)),MATCH(ROW(orderHistory[customer]),ROW(orderHistory[customer])),""),ROWS($A$15:A27)+$B$3)))),IF($D$13="",IF($D$15="",INDEX(orderHistory[order_type],SMALL(IF(ISNUMBER(MATCH(orderHistory[status],$D$11,0)),MATCH(ROW(orderHistory[customer]),ROW(orderHistory[customer])),""),ROWS($A$15:A27)+$B$3)),INDEX(orderHistory[order_type],SMALL(IF(ISNUMBER(MATCH(orderHistory[status],$D$11,0)*MATCH(YEAR(orderHistory[invoice_date]),$D$15,0)),MATCH(ROW(orderHistory[customer]),ROW(orderHistory[customer])),""),ROWS($A$15:A27)+$B$3))),IF($D$15="",INDEX(orderHistory[order_type],SMALL(IF(ISNUMBER(MATCH(orderHistory[status],$D$11,0)*MATCH(orderHistory[order_type],$D$13,0)),MATCH(ROW(orderHistory[customer]),ROW(orderHistory[customer])),""),ROWS($A$15:A27)+$B$3)),INDEX(orderHistory[order_typ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type],SMALL(IF(ISNUMBER(MATCH(orderHistory[customer],$D$9,0)),MATCH(ROW(orderHistory[customer]),ROW(orderHistory[customer])),""),ROWS($A$15:A27)+$B$3)),INDEX(orderHistory[order_type],SMALL(IF(ISNUMBER(MATCH(orderHistory[customer],$D$9,0)*MATCH(YEAR(orderHistory[invoice_date]),$D$15,0)),MATCH(ROW(orderHistory[customer]),ROW(orderHistory[customer])),""),ROWS($A$15:A27)+$B$3))),IF($D$15="",INDEX(orderHistory[order_type],SMALL(IF(ISNUMBER(MATCH(orderHistory[customer],$D$9,0)*MATCH(orderHistory[order_type],$D$13,0)),MATCH(ROW(orderHistory[customer]),ROW(orderHistory[customer])),""),ROWS($A$15:A27)+$B$3)),INDEX(orderHistory[order_typ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type],SMALL(IF(ISNUMBER(MATCH(orderHistory[customer],$D$9,0)*MATCH(orderHistory[status],$D$11,0)),MATCH(ROW(orderHistory[customer]),ROW(orderHistory[customer])),""),ROWS($A$15:A27)+$B$3)),INDEX(orderHistory[order_type],SMALL(IF(ISNUMBER(MATCH(orderHistory[customer],$D$9,0)*MATCH(orderHistory[status],$D$11,0)*MATCH(YEAR(orderHistory[invoice_date]),$D$15,0)),MATCH(ROW(orderHistory[customer]),ROW(orderHistory[customer])),""),ROWS($A$15:A27)+$B$3))),IF($D$15="",INDEX(orderHistory[order_type],SMALL(IF(ISNUMBER(MATCH(orderHistory[customer],$D$9,0)*MATCH(orderHistory[status],$D$11,0)*MATCH(orderHistory[order_type],$D$13,0)),MATCH(ROW(orderHistory[customer]),ROW(orderHistory[customer])),""),ROWS($A$15:A27)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O22" s="542" t="str">
        <f t="array" ref="O22">IFERROR(IF($D$9="",IF($D$11="",IF($D$13="",IF($D$15="",INDEX(orderHistory[order_date],SMALL(MATCH(ROW(orderHistory[customer]),ROW(orderHistory[customer])),ROWS($A$15:A27)+$B$3)),INDEX(orderHistory[order_date],SMALL(IF(ISNUMBER(MATCH(YEAR(orderHistory[invoice_date]),$D$15,0)),MATCH(ROW(orderHistory[customer]),ROW(orderHistory[customer])),""),ROWS($A$15:A27)+$B$3))),IF($D$15="",INDEX(orderHistory[order_date],SMALL(IF(ISNUMBER(MATCH(orderHistory[order_type],$D$13,0)),MATCH(ROW(orderHistory[customer]),ROW(orderHistory[customer])),""),ROWS($A$15:A27)+$B$3)),INDEX(orderHistory[order_date],SMALL(IF(ISNUMBER(MATCH(orderHistory[order_type],$D$13,0)*MATCH(YEAR(orderHistory[invoice_date]),$D$15,0)),MATCH(ROW(orderHistory[customer]),ROW(orderHistory[customer])),""),ROWS($A$15:A27)+$B$3)))),IF($D$13="",IF($D$15="",INDEX(orderHistory[order_date],SMALL(IF(ISNUMBER(MATCH(orderHistory[status],$D$11,0)),MATCH(ROW(orderHistory[customer]),ROW(orderHistory[customer])),""),ROWS($A$15:A27)+$B$3)),INDEX(orderHistory[order_date],SMALL(IF(ISNUMBER(MATCH(orderHistory[status],$D$11,0)*MATCH(YEAR(orderHistory[invoice_date]),$D$15,0)),MATCH(ROW(orderHistory[customer]),ROW(orderHistory[customer])),""),ROWS($A$15:A27)+$B$3))),IF($D$15="",INDEX(orderHistory[order_date],SMALL(IF(ISNUMBER(MATCH(orderHistory[status],$D$11,0)*MATCH(orderHistory[order_type],$D$13,0)),MATCH(ROW(orderHistory[customer]),ROW(orderHistory[customer])),""),ROWS($A$15:A27)+$B$3)),INDEX(orderHistory[order_dat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date],SMALL(IF(ISNUMBER(MATCH(orderHistory[customer],$D$9,0)),MATCH(ROW(orderHistory[customer]),ROW(orderHistory[customer])),""),ROWS($A$15:A27)+$B$3)),INDEX(orderHistory[order_date],SMALL(IF(ISNUMBER(MATCH(orderHistory[customer],$D$9,0)*MATCH(YEAR(orderHistory[invoice_date]),$D$15,0)),MATCH(ROW(orderHistory[customer]),ROW(orderHistory[customer])),""),ROWS($A$15:A27)+$B$3))),IF($D$15="",INDEX(orderHistory[order_date],SMALL(IF(ISNUMBER(MATCH(orderHistory[customer],$D$9,0)*MATCH(orderHistory[order_type],$D$13,0)),MATCH(ROW(orderHistory[customer]),ROW(orderHistory[customer])),""),ROWS($A$15:A27)+$B$3)),INDEX(orderHistory[order_dat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date],SMALL(IF(ISNUMBER(MATCH(orderHistory[customer],$D$9,0)*MATCH(orderHistory[status],$D$11,0)),MATCH(ROW(orderHistory[customer]),ROW(orderHistory[customer])),""),ROWS($A$15:A27)+$B$3)),INDEX(orderHistory[order_date],SMALL(IF(ISNUMBER(MATCH(orderHistory[customer],$D$9,0)*MATCH(orderHistory[status],$D$11,0)*MATCH(YEAR(orderHistory[invoice_date]),$D$15,0)),MATCH(ROW(orderHistory[customer]),ROW(orderHistory[customer])),""),ROWS($A$15:A27)+$B$3))),IF($D$15="",INDEX(orderHistory[order_date],SMALL(IF(ISNUMBER(MATCH(orderHistory[customer],$D$9,0)*MATCH(orderHistory[status],$D$11,0)*MATCH(orderHistory[order_type],$D$13,0)),MATCH(ROW(orderHistory[customer]),ROW(orderHistory[customer])),""),ROWS($A$15:A27)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P22" s="543" t="str">
        <f t="array" ref="P22">IFERROR(IF($D$9="",IF($D$11="",IF($D$13="",IF($D$15="",INDEX(orderHistory[invoice_no],SMALL(MATCH(ROW(orderHistory[customer]),ROW(orderHistory[customer])),ROWS($A$15:A27)+$B$3)),INDEX(orderHistory[invoice_no],SMALL(IF(ISNUMBER(MATCH(YEAR(orderHistory[invoice_date]),$D$15,0)),MATCH(ROW(orderHistory[customer]),ROW(orderHistory[customer])),""),ROWS($A$15:A27)+$B$3))),IF($D$15="",INDEX(orderHistory[invoice_no],SMALL(IF(ISNUMBER(MATCH(orderHistory[order_type],$D$13,0)),MATCH(ROW(orderHistory[customer]),ROW(orderHistory[customer])),""),ROWS($A$15:A27)+$B$3)),INDEX(orderHistory[invoice_no],SMALL(IF(ISNUMBER(MATCH(orderHistory[order_type],$D$13,0)*MATCH(YEAR(orderHistory[invoice_date]),$D$15,0)),MATCH(ROW(orderHistory[customer]),ROW(orderHistory[customer])),""),ROWS($A$15:A27)+$B$3)))),IF($D$13="",IF($D$15="",INDEX(orderHistory[invoice_no],SMALL(IF(ISNUMBER(MATCH(orderHistory[status],$D$11,0)),MATCH(ROW(orderHistory[customer]),ROW(orderHistory[customer])),""),ROWS($A$15:A27)+$B$3)),INDEX(orderHistory[invoice_no],SMALL(IF(ISNUMBER(MATCH(orderHistory[status],$D$11,0)*MATCH(YEAR(orderHistory[invoice_date]),$D$15,0)),MATCH(ROW(orderHistory[customer]),ROW(orderHistory[customer])),""),ROWS($A$15:A27)+$B$3))),IF($D$15="",INDEX(orderHistory[invoice_no],SMALL(IF(ISNUMBER(MATCH(orderHistory[status],$D$11,0)*MATCH(orderHistory[order_type],$D$13,0)),MATCH(ROW(orderHistory[customer]),ROW(orderHistory[customer])),""),ROWS($A$15:A27)+$B$3)),INDEX(orderHistory[invoice_no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oice_no],SMALL(IF(ISNUMBER(MATCH(orderHistory[customer],$D$9,0)),MATCH(ROW(orderHistory[customer]),ROW(orderHistory[customer])),""),ROWS($A$15:A27)+$B$3)),INDEX(orderHistory[invoice_no],SMALL(IF(ISNUMBER(MATCH(orderHistory[customer],$D$9,0)*MATCH(YEAR(orderHistory[invoice_date]),$D$15,0)),MATCH(ROW(orderHistory[customer]),ROW(orderHistory[customer])),""),ROWS($A$15:A27)+$B$3))),IF($D$15="",INDEX(orderHistory[invoice_no],SMALL(IF(ISNUMBER(MATCH(orderHistory[customer],$D$9,0)*MATCH(orderHistory[order_type],$D$13,0)),MATCH(ROW(orderHistory[customer]),ROW(orderHistory[customer])),""),ROWS($A$15:A27)+$B$3)),INDEX(orderHistory[invoice_no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YEAR(orderHistory[invoice_date]),$D$15,0)),MATCH(ROW(orderHistory[customer]),ROW(orderHistory[customer])),""),ROWS($A$15:A27)+$B$3))),IF($D$15="",INDEX(orderHistory[invoice_no],SMALL(IF(ISNUMBER(MATCH(orderHistory[customer],$D$9,0)*MATCH(orderHistory[status],$D$11,0)*MATCH(orderHistory[order_type],$D$13,0)),MATCH(ROW(orderHistory[customer]),ROW(orderHistory[customer])),""),ROWS($A$15:A27)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Q22" s="544" t="str">
        <f t="array" ref="Q22">IFERROR(IF($D$9="",IF($D$11="",IF($D$13="",IF($D$15="",INDEX(orderHistory[invoice_date],SMALL(MATCH(ROW(orderHistory[customer]),ROW(orderHistory[customer])),ROWS($A$15:A27)+$B$3)),INDEX(orderHistory[invoice_date],SMALL(IF(ISNUMBER(MATCH(YEAR(orderHistory[invoice_date]),$D$15,0)),MATCH(ROW(orderHistory[customer]),ROW(orderHistory[customer])),""),ROWS($A$15:A27)+$B$3))),IF($D$15="",INDEX(orderHistory[invoice_date],SMALL(IF(ISNUMBER(MATCH(orderHistory[order_type],$D$13,0)),MATCH(ROW(orderHistory[customer]),ROW(orderHistory[customer])),""),ROWS($A$15:A27)+$B$3)),INDEX(orderHistory[invoice_date],SMALL(IF(ISNUMBER(MATCH(orderHistory[order_type],$D$13,0)*MATCH(YEAR(orderHistory[invoice_date]),$D$15,0)),MATCH(ROW(orderHistory[customer]),ROW(orderHistory[customer])),""),ROWS($A$15:A27)+$B$3)))),IF($D$13="",IF($D$15="",INDEX(orderHistory[invoice_date],SMALL(IF(ISNUMBER(MATCH(orderHistory[status],$D$11,0)),MATCH(ROW(orderHistory[customer]),ROW(orderHistory[customer])),""),ROWS($A$15:A27)+$B$3)),INDEX(orderHistory[invoice_date],SMALL(IF(ISNUMBER(MATCH(orderHistory[status],$D$11,0)*MATCH(YEAR(orderHistory[invoice_date]),$D$15,0)),MATCH(ROW(orderHistory[customer]),ROW(orderHistory[customer])),""),ROWS($A$15:A27)+$B$3))),IF($D$15="",INDEX(orderHistory[invoice_date],SMALL(IF(ISNUMBER(MATCH(orderHistory[status],$D$11,0)*MATCH(orderHistory[order_type],$D$13,0)),MATCH(ROW(orderHistory[customer]),ROW(orderHistory[customer])),""),ROWS($A$15:A27)+$B$3)),INDEX(orderHistory[invoice_dat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oice_date],SMALL(IF(ISNUMBER(MATCH(orderHistory[customer],$D$9,0)),MATCH(ROW(orderHistory[customer]),ROW(orderHistory[customer])),""),ROWS($A$15:A27)+$B$3)),INDEX(orderHistory[invoice_date],SMALL(IF(ISNUMBER(MATCH(orderHistory[customer],$D$9,0)*MATCH(YEAR(orderHistory[invoice_date]),$D$15,0)),MATCH(ROW(orderHistory[customer]),ROW(orderHistory[customer])),""),ROWS($A$15:A27)+$B$3))),IF($D$15="",INDEX(orderHistory[invoice_date],SMALL(IF(ISNUMBER(MATCH(orderHistory[customer],$D$9,0)*MATCH(orderHistory[order_type],$D$13,0)),MATCH(ROW(orderHistory[customer]),ROW(orderHistory[customer])),""),ROWS($A$15:A27)+$B$3)),INDEX(orderHistory[invoice_dat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YEAR(orderHistory[invoice_date]),$D$15,0)),MATCH(ROW(orderHistory[customer]),ROW(orderHistory[customer])),""),ROWS($A$15:A27)+$B$3))),IF($D$15="",INDEX(orderHistory[invoice_date],SMALL(IF(ISNUMBER(MATCH(orderHistory[customer],$D$9,0)*MATCH(orderHistory[status],$D$11,0)*MATCH(orderHistory[order_type],$D$13,0)),MATCH(ROW(orderHistory[customer]),ROW(orderHistory[customer])),""),ROWS($A$15:A27)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R22" s="545" t="str">
        <f t="array" ref="R22">IFERROR(IF($D$9="",IF($D$11="",IF($D$13="",IF($D$15="",INDEX(orderHistory[inv_amount],SMALL(MATCH(ROW(orderHistory[customer]),ROW(orderHistory[customer])),ROWS($A$15:A27)+$B$3)),INDEX(orderHistory[inv_amount],SMALL(IF(ISNUMBER(MATCH(YEAR(orderHistory[invoice_date]),$D$15,0)),MATCH(ROW(orderHistory[customer]),ROW(orderHistory[customer])),""),ROWS($A$15:A27)+$B$3))),IF($D$15="",INDEX(orderHistory[inv_amount],SMALL(IF(ISNUMBER(MATCH(orderHistory[order_type],$D$13,0)),MATCH(ROW(orderHistory[customer]),ROW(orderHistory[customer])),""),ROWS($A$15:A27)+$B$3)),INDEX(orderHistory[inv_amount],SMALL(IF(ISNUMBER(MATCH(orderHistory[order_type],$D$13,0)*MATCH(YEAR(orderHistory[invoice_date]),$D$15,0)),MATCH(ROW(orderHistory[customer]),ROW(orderHistory[customer])),""),ROWS($A$15:A27)+$B$3)))),IF($D$13="",IF($D$15="",INDEX(orderHistory[inv_amount],SMALL(IF(ISNUMBER(MATCH(orderHistory[status],$D$11,0)),MATCH(ROW(orderHistory[customer]),ROW(orderHistory[customer])),""),ROWS($A$15:A27)+$B$3)),INDEX(orderHistory[inv_amount],SMALL(IF(ISNUMBER(MATCH(orderHistory[status],$D$11,0)*MATCH(YEAR(orderHistory[invoice_date]),$D$15,0)),MATCH(ROW(orderHistory[customer]),ROW(orderHistory[customer])),""),ROWS($A$15:A27)+$B$3))),IF($D$15="",INDEX(orderHistory[inv_amount],SMALL(IF(ISNUMBER(MATCH(orderHistory[status],$D$11,0)*MATCH(orderHistory[order_type],$D$13,0)),MATCH(ROW(orderHistory[customer]),ROW(orderHistory[customer])),""),ROWS($A$15:A27)+$B$3)),INDEX(orderHistory[inv_amount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_amount],SMALL(IF(ISNUMBER(MATCH(orderHistory[customer],$D$9,0)),MATCH(ROW(orderHistory[customer]),ROW(orderHistory[customer])),""),ROWS($A$15:A27)+$B$3)),INDEX(orderHistory[inv_amount],SMALL(IF(ISNUMBER(MATCH(orderHistory[customer],$D$9,0)*MATCH(YEAR(orderHistory[invoice_date]),$D$15,0)),MATCH(ROW(orderHistory[customer]),ROW(orderHistory[customer])),""),ROWS($A$15:A27)+$B$3))),IF($D$15="",INDEX(orderHistory[inv_amount],SMALL(IF(ISNUMBER(MATCH(orderHistory[customer],$D$9,0)*MATCH(orderHistory[order_type],$D$13,0)),MATCH(ROW(orderHistory[customer]),ROW(orderHistory[customer])),""),ROWS($A$15:A27)+$B$3)),INDEX(orderHistory[inv_amount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_amount],SMALL(IF(ISNUMBER(MATCH(orderHistory[customer],$D$9,0)*MATCH(orderHistory[status],$D$11,0)),MATCH(ROW(orderHistory[customer]),ROW(orderHistory[customer])),""),ROWS($A$15:A27)+$B$3)),INDEX(orderHistory[inv_amount],SMALL(IF(ISNUMBER(MATCH(orderHistory[customer],$D$9,0)*MATCH(orderHistory[status],$D$11,0)*MATCH(YEAR(orderHistory[inv_amount]),$D$15,0)),MATCH(ROW(orderHistory[customer]),ROW(orderHistory[customer])),""),ROWS($A$15:A27)+$B$3))),IF($D$15="",INDEX(orderHistory[inv_amount],SMALL(IF(ISNUMBER(MATCH(orderHistory[customer],$D$9,0)*MATCH(orderHistory[status],$D$11,0)*MATCH(orderHistory[order_type],$D$13,0)),MATCH(ROW(orderHistory[customer]),ROW(orderHistory[customer])),""),ROWS($A$15:A27)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S22" s="546" t="str">
        <f t="shared" si="2"/>
        <v/>
      </c>
      <c r="T22" s="547" t="str">
        <f t="array" ref="T22">IFERROR(IF($D$9="",IF($D$11="",IF($D$13="",IF($D$15="",INDEX(orderHistory[payed],SMALL(MATCH(ROW(orderHistory[customer]),ROW(orderHistory[customer])),ROWS($A$15:A27)+$B$3)),INDEX(orderHistory[payed],SMALL(IF(ISNUMBER(MATCH(YEAR(orderHistory[invoice_date]),$D$15,0)),MATCH(ROW(orderHistory[customer]),ROW(orderHistory[customer])),""),ROWS($A$15:A27)+$B$3))),IF($D$15="",INDEX(orderHistory[payed],SMALL(IF(ISNUMBER(MATCH(orderHistory[order_type],$D$13,0)),MATCH(ROW(orderHistory[customer]),ROW(orderHistory[customer])),""),ROWS($A$15:A27)+$B$3)),INDEX(orderHistory[payed],SMALL(IF(ISNUMBER(MATCH(orderHistory[order_type],$D$13,0)*MATCH(YEAR(orderHistory[invoice_date]),$D$15,0)),MATCH(ROW(orderHistory[customer]),ROW(orderHistory[customer])),""),ROWS($A$15:A27)+$B$3)))),IF($D$13="",IF($D$15="",INDEX(orderHistory[payed],SMALL(IF(ISNUMBER(MATCH(orderHistory[status],$D$11,0)),MATCH(ROW(orderHistory[customer]),ROW(orderHistory[customer])),""),ROWS($A$15:A27)+$B$3)),INDEX(orderHistory[payed],SMALL(IF(ISNUMBER(MATCH(orderHistory[status],$D$11,0)*MATCH(YEAR(orderHistory[invoice_date]),$D$15,0)),MATCH(ROW(orderHistory[customer]),ROW(orderHistory[customer])),""),ROWS($A$15:A27)+$B$3))),IF($D$15="",INDEX(orderHistory[payed],SMALL(IF(ISNUMBER(MATCH(orderHistory[status],$D$11,0)*MATCH(orderHistory[order_type],$D$13,0)),MATCH(ROW(orderHistory[customer]),ROW(orderHistory[customer])),""),ROWS($A$15:A27)+$B$3)),INDEX(orderHistory[payed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payed],SMALL(IF(ISNUMBER(MATCH(orderHistory[customer],$D$9,0)),MATCH(ROW(orderHistory[customer]),ROW(orderHistory[customer])),""),ROWS($A$15:A27)+$B$3)),INDEX(orderHistory[payed],SMALL(IF(ISNUMBER(MATCH(orderHistory[customer],$D$9,0)*MATCH(YEAR(orderHistory[invoice_date]),$D$15,0)),MATCH(ROW(orderHistory[customer]),ROW(orderHistory[customer])),""),ROWS($A$15:A27)+$B$3))),IF($D$15="",INDEX(orderHistory[payed],SMALL(IF(ISNUMBER(MATCH(orderHistory[customer],$D$9,0)*MATCH(orderHistory[order_type],$D$13,0)),MATCH(ROW(orderHistory[customer]),ROW(orderHistory[customer])),""),ROWS($A$15:A27)+$B$3)),INDEX(orderHistory[payed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payed],SMALL(IF(ISNUMBER(MATCH(orderHistory[customer],$D$9,0)*MATCH(orderHistory[status],$D$11,0)),MATCH(ROW(orderHistory[customer]),ROW(orderHistory[customer])),""),ROWS($A$15:A27)+$B$3)),INDEX(orderHistory[payed],SMALL(IF(ISNUMBER(MATCH(orderHistory[customer],$D$9,0)*MATCH(orderHistory[status],$D$11,0)*MATCH(YEAR(orderHistory[payed]),$D$15,0)),MATCH(ROW(orderHistory[customer]),ROW(orderHistory[customer])),""),ROWS($A$15:A27)+$B$3))),IF($D$15="",INDEX(orderHistory[payed],SMALL(IF(ISNUMBER(MATCH(orderHistory[customer],$D$9,0)*MATCH(orderHistory[status],$D$11,0)*MATCH(orderHistory[order_type],$D$13,0)),MATCH(ROW(orderHistory[customer]),ROW(orderHistory[customer])),""),ROWS($A$15:A27)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U22" s="541" t="str">
        <f t="array" ref="U22">IFERROR(IF($D$9="",IF($D$11="",IF($D$13="",IF($D$15="",INDEX(orderHistory[shipping_method],SMALL(MATCH(ROW(orderHistory[customer]),ROW(orderHistory[customer])),ROWS($A$15:A27)+$B$3)),INDEX(orderHistory[shipping_method],SMALL(IF(ISNUMBER(MATCH(YEAR(orderHistory[invoice_date]),$D$15,0)),MATCH(ROW(orderHistory[customer]),ROW(orderHistory[customer])),""),ROWS($A$15:A27)+$B$3))),IF($D$15="",INDEX(orderHistory[shipping_method],SMALL(IF(ISNUMBER(MATCH(orderHistory[order_type],$D$13,0)),MATCH(ROW(orderHistory[customer]),ROW(orderHistory[customer])),""),ROWS($A$15:A27)+$B$3)),INDEX(orderHistory[shipping_method],SMALL(IF(ISNUMBER(MATCH(orderHistory[order_type],$D$13,0)*MATCH(YEAR(orderHistory[invoice_date]),$D$15,0)),MATCH(ROW(orderHistory[customer]),ROW(orderHistory[customer])),""),ROWS($A$15:A27)+$B$3)))),IF($D$13="",IF($D$15="",INDEX(orderHistory[shipping_method],SMALL(IF(ISNUMBER(MATCH(orderHistory[status],$D$11,0)),MATCH(ROW(orderHistory[customer]),ROW(orderHistory[customer])),""),ROWS($A$15:A27)+$B$3)),INDEX(orderHistory[shipping_method],SMALL(IF(ISNUMBER(MATCH(orderHistory[status],$D$11,0)*MATCH(YEAR(orderHistory[invoice_date]),$D$15,0)),MATCH(ROW(orderHistory[customer]),ROW(orderHistory[customer])),""),ROWS($A$15:A27)+$B$3))),IF($D$15="",INDEX(orderHistory[shipping_method],SMALL(IF(ISNUMBER(MATCH(orderHistory[status],$D$11,0)*MATCH(orderHistory[order_type],$D$13,0)),MATCH(ROW(orderHistory[customer]),ROW(orderHistory[customer])),""),ROWS($A$15:A27)+$B$3)),INDEX(orderHistory[shipping_method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shipping_method],SMALL(IF(ISNUMBER(MATCH(orderHistory[customer],$D$9,0)),MATCH(ROW(orderHistory[customer]),ROW(orderHistory[customer])),""),ROWS($A$15:A27)+$B$3)),INDEX(orderHistory[shipping_method],SMALL(IF(ISNUMBER(MATCH(orderHistory[customer],$D$9,0)*MATCH(YEAR(orderHistory[invoice_date]),$D$15,0)),MATCH(ROW(orderHistory[customer]),ROW(orderHistory[customer])),""),ROWS($A$15:A27)+$B$3))),IF($D$15="",INDEX(orderHistory[shipping_method],SMALL(IF(ISNUMBER(MATCH(orderHistory[customer],$D$9,0)*MATCH(orderHistory[order_type],$D$13,0)),MATCH(ROW(orderHistory[customer]),ROW(orderHistory[customer])),""),ROWS($A$15:A27)+$B$3)),INDEX(orderHistory[shipping_method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shipping_method],SMALL(IF(ISNUMBER(MATCH(orderHistory[customer],$D$9,0)*MATCH(orderHistory[status],$D$11,0)),MATCH(ROW(orderHistory[customer]),ROW(orderHistory[customer])),""),ROWS($A$15:A27)+$B$3)),INDEX(orderHistory[shipping_method],SMALL(IF(ISNUMBER(MATCH(orderHistory[customer],$D$9,0)*MATCH(orderHistory[status],$D$11,0)*MATCH(YEAR(orderHistory[shipping_method]),$D$15,0)),MATCH(ROW(orderHistory[customer]),ROW(orderHistory[customer])),""),ROWS($A$15:A27)+$B$3))),IF($D$15="",INDEX(orderHistory[shipping_method],SMALL(IF(ISNUMBER(MATCH(orderHistory[customer],$D$9,0)*MATCH(orderHistory[status],$D$11,0)*MATCH(orderHistory[order_type],$D$13,0)),MATCH(ROW(orderHistory[customer]),ROW(orderHistory[customer])),""),ROWS($A$15:A27)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V22" s="548" t="str">
        <f t="array" ref="V22">IFERROR(IF($D$9="",IF($D$11="",IF($D$13="",IF($D$15="",INDEX(orderHistory[status],SMALL(MATCH(ROW(orderHistory[customer]),ROW(orderHistory[customer])),ROWS($A$15:A27)+$B$3)),INDEX(orderHistory[status],SMALL(IF(ISNUMBER(MATCH(YEAR(orderHistory[invoice_date]),$D$15,0)),MATCH(ROW(orderHistory[customer]),ROW(orderHistory[customer])),""),ROWS($A$15:A27)+$B$3))),IF($D$15="",INDEX(orderHistory[status],SMALL(IF(ISNUMBER(MATCH(orderHistory[order_type],$D$13,0)),MATCH(ROW(orderHistory[customer]),ROW(orderHistory[customer])),""),ROWS($A$15:A27)+$B$3)),INDEX(orderHistory[status],SMALL(IF(ISNUMBER(MATCH(orderHistory[order_type],$D$13,0)*MATCH(YEAR(orderHistory[invoice_date]),$D$15,0)),MATCH(ROW(orderHistory[customer]),ROW(orderHistory[customer])),""),ROWS($A$15:A27)+$B$3)))),IF($D$13="",IF($D$15="",INDEX(orderHistory[status],SMALL(IF(ISNUMBER(MATCH(orderHistory[status],$D$11,0)),MATCH(ROW(orderHistory[customer]),ROW(orderHistory[customer])),""),ROWS($A$15:A27)+$B$3)),INDEX(orderHistory[status],SMALL(IF(ISNUMBER(MATCH(orderHistory[status],$D$11,0)*MATCH(YEAR(orderHistory[invoice_date]),$D$15,0)),MATCH(ROW(orderHistory[customer]),ROW(orderHistory[customer])),""),ROWS($A$15:A27)+$B$3))),IF($D$15="",INDEX(orderHistory[status],SMALL(IF(ISNUMBER(MATCH(orderHistory[status],$D$11,0)*MATCH(orderHistory[order_type],$D$13,0)),MATCH(ROW(orderHistory[customer]),ROW(orderHistory[customer])),""),ROWS($A$15:A27)+$B$3)),INDEX(orderHistory[status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status],SMALL(IF(ISNUMBER(MATCH(orderHistory[customer],$D$9,0)),MATCH(ROW(orderHistory[customer]),ROW(orderHistory[customer])),""),ROWS($A$15:A27)+$B$3)),INDEX(orderHistory[status],SMALL(IF(ISNUMBER(MATCH(orderHistory[customer],$D$9,0)*MATCH(YEAR(orderHistory[invoice_date]),$D$15,0)),MATCH(ROW(orderHistory[customer]),ROW(orderHistory[customer])),""),ROWS($A$15:A27)+$B$3))),IF($D$15="",INDEX(orderHistory[status],SMALL(IF(ISNUMBER(MATCH(orderHistory[customer],$D$9,0)*MATCH(orderHistory[order_type],$D$13,0)),MATCH(ROW(orderHistory[customer]),ROW(orderHistory[customer])),""),ROWS($A$15:A27)+$B$3)),INDEX(orderHistory[status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status],SMALL(IF(ISNUMBER(MATCH(orderHistory[customer],$D$9,0)*MATCH(orderHistory[status],$D$11,0)),MATCH(ROW(orderHistory[customer]),ROW(orderHistory[customer])),""),ROWS($A$15:A27)+$B$3)),INDEX(orderHistory[status],SMALL(IF(ISNUMBER(MATCH(orderHistory[customer],$D$9,0)*MATCH(orderHistory[status],$D$11,0)*MATCH(YEAR(orderHistory[status]),$D$15,0)),MATCH(ROW(orderHistory[customer]),ROW(orderHistory[customer])),""),ROWS($A$15:A27)+$B$3))),IF($D$15="",INDEX(orderHistory[status],SMALL(IF(ISNUMBER(MATCH(orderHistory[customer],$D$9,0)*MATCH(orderHistory[status],$D$11,0)*MATCH(orderHistory[order_type],$D$13,0)),MATCH(ROW(orderHistory[customer]),ROW(orderHistory[customer])),""),ROWS($A$15:A27)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W22" s="107"/>
      <c r="AQ22" s="462"/>
      <c r="AU22" s="421"/>
      <c r="AW22" s="460"/>
      <c r="AX22" s="472"/>
      <c r="AZ22" s="422"/>
      <c r="BB22" s="473"/>
      <c r="BD22" s="835"/>
      <c r="BE22" s="836"/>
      <c r="BF22" s="836"/>
      <c r="BG22" s="836"/>
      <c r="BH22" s="837"/>
      <c r="BJ22" s="421"/>
      <c r="BK22" s="450"/>
      <c r="BL22" s="451"/>
      <c r="BM22" s="452"/>
      <c r="BN22" s="451"/>
      <c r="BO22" s="452"/>
      <c r="BX22" s="518"/>
      <c r="BZ22" s="167"/>
      <c r="CA22" s="153" t="str">
        <f>IF(BZ22="","",INDEX(bhpc_data[description],MATCH(BZ22,bhpc_data[sku],0)))</f>
        <v/>
      </c>
      <c r="CB22" s="166"/>
      <c r="CC22" s="358"/>
      <c r="CD22" s="160"/>
      <c r="CE22" s="360"/>
      <c r="CF22" s="161"/>
      <c r="CG22" s="164" t="str">
        <f>IFERROR(ROUNDUP(CB22/INDEX(bhpc_data[units_per_carton],MATCH(BZ22,bhpc_data[sku],0)),0),"")</f>
        <v/>
      </c>
      <c r="CH22" s="165" t="str">
        <f>IFERROR(ROUNDUP(CD22/INDEX(bhpc_data[units_per_carton],MATCH(BZ22,bhpc_data[sku],0)),0),"")</f>
        <v/>
      </c>
      <c r="CI22" s="165" t="str">
        <f>IFERROR(ROUNDUP(CF22/INDEX(bhpc_data[units_per_carton],MATCH(BZ22,bhpc_data[sku])),0),"")</f>
        <v/>
      </c>
      <c r="CJ22" s="165" t="str">
        <f>IFERROR(((CB22+CD22+CF22)/INDEX(bhpc_data[units_per_carton],MATCH(BZ22,bhpc_data[sku],0)))*INDEX(bhpc_data[net_weight],MATCH(BZ22,bhpc_data[sku],0)),"")</f>
        <v/>
      </c>
      <c r="CK22" s="165" t="str">
        <f>IFERROR(((CB22+CD22+CF22)/INDEX(bhpc_data[units_per_carton],MATCH(BZ22,bhpc_data[sku],0)))*INDEX(bhpc_data[gross_weight],MATCH(BZ22,bhpc_data[sku],0)),"")</f>
        <v/>
      </c>
      <c r="CL22" s="180" t="str">
        <f>IFERROR((CB22+CD22+CF22)/INDEX(bhpc_data[units_per_carton],MATCH(BZ22,bhpc_data[sku],0))*INDEX(bhpc_data[lenght],MATCH(BZ22,bhpc_data[sku],0))*INDEX(bhpc_data[width],MATCH(BZ22,bhpc_data[sku],0))*INDEX(bhpc_data[height],MATCH(BZ22,bhpc_data[sku],0))/1000000000,"")</f>
        <v/>
      </c>
      <c r="CM22" s="189" t="str">
        <f>IFERROR(INDEX(bhpc_data[category],MATCH(BZ22,bhpc_data[sku],0)),"")</f>
        <v/>
      </c>
      <c r="CN22" s="189" t="str">
        <f>IFERROR(INDEX(bhpc_data[size1],MATCH(BZ22,bhpc_data[sku],0)),"")</f>
        <v/>
      </c>
      <c r="CO22" s="388" t="str">
        <f>IFERROR(INDEX(bhpc_data[hs_code],MATCH(BZ22,bhpc_data[sku],0)),"")</f>
        <v/>
      </c>
      <c r="CP22" s="377" t="str">
        <f>IFERROR(INDEX(inventory[ESISTENZA],MATCH(BZ22,inventory[ARTICOLO],0)),"")</f>
        <v/>
      </c>
      <c r="CQ22" s="364" t="str">
        <f>IFERROR(IF(BZ22="","",IF($BX$15="SALE",INDEX(inventory[COSTO UNITARIO],MATCH(BZ22,inventory[ARTICOLO],0)),IF($BX$15="SAMPLING",INDEX(inventory[COSTO UNITARIO],MATCH(BZ22,inventory[ARTICOLO],0)),""))),"")</f>
        <v/>
      </c>
      <c r="CR22" s="365" t="str">
        <f t="shared" si="0"/>
        <v/>
      </c>
      <c r="CS22" s="264" t="str">
        <f t="shared" si="1"/>
        <v/>
      </c>
      <c r="CU22" s="85"/>
      <c r="CV22" s="89" t="s">
        <v>615</v>
      </c>
      <c r="CW22" s="287">
        <f>SUM($CG$10:$CI$109)</f>
        <v>2</v>
      </c>
      <c r="CX22" s="89"/>
      <c r="CY22" s="81"/>
      <c r="CZ22" s="82"/>
      <c r="DA22" s="432" t="str">
        <f>IFERROR(VLOOKUP(BZ22,bhpc_data[],22,FALSE),"")</f>
        <v/>
      </c>
      <c r="DH22" s="296"/>
      <c r="EE22" s="202" t="str" cm="1">
        <f t="array" ref="EE22">IFERROR(IF($EC$9="",IF($EC$11="",IF($EC$13="",INDEX(bhpc_data[sku],SMALL(MATCH(ROW(bhpc_data[sku]),ROW(bhpc_data[sku])),ROWS($A$15:A27)+$B$3)),INDEX(bhpc_data[sku],SMALL(IF(ISNUMBER(MATCH(bhpc_data[size1],$EC$13,0)),MATCH(ROW(bhpc_data[sku]),ROW(bhpc_data[sku])),""),ROWS($A$15:A27)+$B$3))),IF($EC$13="",INDEX(bhpc_data[sku],SMALL(IF(ISNUMBER(MATCH(bhpc_data[sex],$EC$11,0)),MATCH(ROW(bhpc_data[sku]),ROW(bhpc_data[sku])),""),ROWS($A$15:A27)+$B$3)),INDEX(bhpc_data[sku],SMALL(IF(ISNUMBER(MATCH(bhpc_data[sex],$EC$11,0)*MATCH(bhpc_data[size1],$EC$13,0)),MATCH(ROW(bhpc_data[sku]),ROW(bhpc_data[sku])),""),ROWS($A$15:A27)+$B$3)))),IF($EC$11="",IF($EC$13="",INDEX(bhpc_data[sku],SMALL(IF(ISNUMBER(MATCH(bhpc_data[category],$EC$9,0)),MATCH(ROW(bhpc_data[sku]),ROW(bhpc_data[sku])),""),ROWS($A$15:A27)+$B$3)),INDEX(bhpc_data[sku],SMALL(IF(ISNUMBER(MATCH(bhpc_data[category],$EC$9,0)*MATCH(bhpc_data[size1],$EC$13,0)),MATCH(ROW(bhpc_data[sku]),ROW(bhpc_data[sku])),""),ROWS($A$15:A27)+$B$3))),IF($EC$13="",INDEX(bhpc_data[sku],SMALL(IF(ISNUMBER(MATCH(bhpc_data[category],$EC$9,0)*MATCH(bhpc_data[sex],$EC$11,0)),MATCH(ROW(bhpc_data[sku]),ROW(bhpc_data[sku])),""),ROWS($A$15:A27)+$B$3)),INDEX(bhpc_data[sku],SMALL(IF(ISNUMBER(MATCH(bhpc_data[category],$EC$9,0)*MATCH(bhpc_data[sex],$EC$11,0)*MATCH(bhpc_data[size1],$EC$13,0)),MATCH(ROW(bhpc_data[sku]),ROW(bhpc_data[sku])),""),ROWS($A$15:A27)+$B$3))))),"")</f>
        <v>GS5050</v>
      </c>
      <c r="EF22" s="198" t="str" cm="1">
        <f t="array" ref="EF22">IFERROR(IF($EC$9="",IF($EC$11="",IF($EC$13="",INDEX(bhpc_data[description],SMALL(MATCH(ROW(bhpc_data[sku]),ROW(bhpc_data[sku])),ROWS($A$15:A27)+$B$3)),INDEX(bhpc_data[description],SMALL(IF(ISNUMBER(MATCH(bhpc_data[size1],$EC$13,0)),MATCH(ROW(bhpc_data[sku]),ROW(bhpc_data[sku])),""),ROWS($A$15:A27)+$B$3))),IF($EC$13="",INDEX(bhpc_data[description],SMALL(IF(ISNUMBER(MATCH(bhpc_data[sex],$EC$11,0)),MATCH(ROW(bhpc_data[sku]),ROW(bhpc_data[sku])),""),ROWS($A$15:A27)+$B$3)),INDEX(bhpc_data[description],SMALL(IF(ISNUMBER(MATCH(bhpc_data[sex],$EC$11,0)*MATCH(bhpc_data[size1],$EC$13,0)),MATCH(ROW(bhpc_data[sku]),ROW(bhpc_data[sku])),""),ROWS($A$15:A27)+$B$3)))),IF($EC$11="",IF($EC$13="",INDEX(bhpc_data[description],SMALL(IF(ISNUMBER(MATCH(bhpc_data[category],$EC$9,0)),MATCH(ROW(bhpc_data[sku]),ROW(bhpc_data[sku])),""),ROWS($A$15:A27)+$B$3)),INDEX(bhpc_data[description],SMALL(IF(ISNUMBER(MATCH(bhpc_data[category],$EC$9,0)*MATCH(bhpc_data[size1],$EC$13,0)),MATCH(ROW(bhpc_data[sku]),ROW(bhpc_data[sku])),""),ROWS($A$15:A27)+$B$3))),IF($EC$13="",INDEX(bhpc_data[description],SMALL(IF(ISNUMBER(MATCH(bhpc_data[category],$EC$9,0)*MATCH(bhpc_data[sex],$EC$11,0)),MATCH(ROW(bhpc_data[sku]),ROW(bhpc_data[sku])),""),ROWS($A$15:A27)+$B$3)),INDEX(bhpc_data[description],SMALL(IF(ISNUMBER(MATCH(bhpc_data[category],$EC$9,0)*MATCH(bhpc_data[sex],$EC$11,0)*MATCH(bhpc_data[size1],$EC$13,0)),MATCH(ROW(bhpc_data[sku]),ROW(bhpc_data[sku])),""),ROWS($A$15:A27)+$B$3))))),"")</f>
        <v>BHPC GIFT SET WOMEN 1 EDP 100ML + DEO 150ML</v>
      </c>
      <c r="EG22" s="263">
        <f>IFERROR(IF(warehouse[[#This Row],[SKU]]="","",INDEX(inventory[ESISTENZA],MATCH(warehouse[[#This Row],[SKU]],inventory[ARTICOLO],0))),"")</f>
        <v>40</v>
      </c>
      <c r="EH22" s="328"/>
      <c r="EI22" s="328"/>
      <c r="EJ22" s="263"/>
      <c r="EK22" s="113"/>
      <c r="FF22" s="413"/>
      <c r="FG22" s="413"/>
      <c r="FH22" s="413"/>
      <c r="FI22" s="413"/>
      <c r="FJ22" s="413"/>
      <c r="FK22" s="413"/>
      <c r="FL22" s="413"/>
      <c r="FM22" s="413"/>
      <c r="FN22" s="413"/>
      <c r="FO22" s="413"/>
      <c r="FP22" s="413"/>
      <c r="FQ22" s="413"/>
      <c r="FR22" s="413"/>
      <c r="FS22" s="413"/>
      <c r="FT22" s="413"/>
      <c r="FU22" s="413"/>
      <c r="FV22" s="413"/>
      <c r="FW22" s="413"/>
      <c r="FX22" s="413"/>
      <c r="FY22" s="413"/>
      <c r="FZ22" s="413"/>
      <c r="GA22" s="413"/>
      <c r="GB22" s="413"/>
      <c r="GC22" s="413"/>
      <c r="GD22" s="413"/>
      <c r="GE22" s="413"/>
      <c r="GF22" s="413"/>
      <c r="GG22" s="413"/>
      <c r="GH22" s="413"/>
      <c r="GI22" s="413"/>
      <c r="GJ22" s="413"/>
      <c r="GK22" s="413"/>
      <c r="GL22" s="413"/>
      <c r="GM22" s="413"/>
      <c r="GN22" s="413"/>
      <c r="GO22" s="413"/>
      <c r="GP22" s="413"/>
      <c r="GQ22" s="413"/>
      <c r="GR22" s="413"/>
      <c r="GS22" s="413"/>
      <c r="GT22" s="413"/>
      <c r="GU22" s="413"/>
      <c r="GV22" s="413"/>
      <c r="GW22" s="413"/>
      <c r="GX22" s="413"/>
      <c r="GY22" s="413"/>
      <c r="GZ22" s="413"/>
      <c r="HA22" s="413"/>
      <c r="HB22" s="413"/>
      <c r="HC22" s="413"/>
      <c r="HD22" s="413"/>
      <c r="HE22" s="413"/>
      <c r="HF22" s="413"/>
      <c r="HG22" s="413"/>
      <c r="HH22" s="413"/>
      <c r="HI22" s="413"/>
      <c r="HJ22" s="413"/>
      <c r="HK22" s="413"/>
      <c r="HL22" s="413"/>
      <c r="HM22" s="413"/>
      <c r="HN22" s="413"/>
      <c r="HO22" s="413"/>
      <c r="HP22" s="413"/>
      <c r="HQ22" s="413"/>
      <c r="HR22" s="413"/>
      <c r="HS22" s="413"/>
      <c r="HT22" s="413"/>
    </row>
    <row r="23" spans="1:228" ht="15" customHeight="1" thickBot="1" x14ac:dyDescent="0.4">
      <c r="D23" s="424" t="s">
        <v>1028</v>
      </c>
      <c r="F23" s="91"/>
      <c r="G23" s="808">
        <f>IFERROR(INDEX(clientData[hq_address2],MATCH($B$6,clientData[cod_cliente],0)),"")</f>
        <v>0</v>
      </c>
      <c r="H23" s="809"/>
      <c r="I23" s="810"/>
      <c r="J23" s="82"/>
      <c r="L23" s="539" t="str">
        <f t="array" ref="L23">IFERROR(IF($D$9="",IF($D$11="",IF($D$13="",IF($D$15="",INDEX(orderHistory[customer],SMALL(MATCH(ROW(orderHistory[customer]),ROW(orderHistory[customer])),ROWS($A$15:A28)+$B$3)),INDEX(orderHistory[customer],SMALL(IF(ISNUMBER(MATCH(YEAR(orderHistory[invoice_date]),$D$15,0)),MATCH(ROW(orderHistory[customer]),ROW(orderHistory[customer])),""),ROWS($A$15:A28)+$B$3))),IF($D$15="",INDEX(orderHistory[customer],SMALL(IF(ISNUMBER(MATCH(orderHistory[order_type],$D$13,0)),MATCH(ROW(orderHistory[customer]),ROW(orderHistory[customer])),""),ROWS($A$15:A28)+$B$3)),INDEX(orderHistory[customer],SMALL(IF(ISNUMBER(MATCH(orderHistory[order_type],$D$13,0)*MATCH(YEAR(orderHistory[invoice_date]),$D$15,0)),MATCH(ROW(orderHistory[customer]),ROW(orderHistory[customer])),""),ROWS($A$15:A28)+$B$3)))),IF($D$13="",IF($D$15="",INDEX(orderHistory[customer],SMALL(IF(ISNUMBER(MATCH(orderHistory[status],$D$11,0)),MATCH(ROW(orderHistory[customer]),ROW(orderHistory[customer])),""),ROWS($A$15:A28)+$B$3)),INDEX(orderHistory[customer],SMALL(IF(ISNUMBER(MATCH(orderHistory[status],$D$11,0)*MATCH(YEAR(orderHistory[invoice_date]),$D$15,0)),MATCH(ROW(orderHistory[customer]),ROW(orderHistory[customer])),""),ROWS($A$15:A28)+$B$3))),IF($D$15="",INDEX(orderHistory[customer],SMALL(IF(ISNUMBER(MATCH(orderHistory[status],$D$11,0)*MATCH(orderHistory[order_type],$D$13,0)),MATCH(ROW(orderHistory[customer]),ROW(orderHistory[customer])),""),ROWS($A$15:A28)+$B$3)),INDEX(orderHistory[customer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customer],SMALL(IF(ISNUMBER(MATCH(orderHistory[customer],$D$9,0)),MATCH(ROW(orderHistory[customer]),ROW(orderHistory[customer])),""),ROWS($A$15:A28)+$B$3)),INDEX(orderHistory[customer],SMALL(IF(ISNUMBER(MATCH(orderHistory[customer],$D$9,0)*MATCH(YEAR(orderHistory[invoice_date]),$D$15,0)),MATCH(ROW(orderHistory[customer]),ROW(orderHistory[customer])),""),ROWS($A$15:A28)+$B$3))),IF($D$15="",INDEX(orderHistory[customer],SMALL(IF(ISNUMBER(MATCH(orderHistory[customer],$D$9,0)*MATCH(orderHistory[order_type],$D$13,0)),MATCH(ROW(orderHistory[customer]),ROW(orderHistory[customer])),""),ROWS($A$15:A28)+$B$3)),INDEX(orderHistory[customer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customer],SMALL(IF(ISNUMBER(MATCH(orderHistory[customer],$D$9,0)*MATCH(orderHistory[status],$D$11,0)),MATCH(ROW(orderHistory[customer]),ROW(orderHistory[customer])),""),ROWS($A$15:A28)+$B$3)),INDEX(orderHistory[customer],SMALL(IF(ISNUMBER(MATCH(orderHistory[customer],$D$9,0)*MATCH(orderHistory[status],$D$11,0)*MATCH(YEAR(orderHistory[invoice_date]),$D$15,0)),MATCH(ROW(orderHistory[customer]),ROW(orderHistory[customer])),""),ROWS($A$15:A28)+$B$3))),IF($D$15="",INDEX(orderHistory[customer],SMALL(IF(ISNUMBER(MATCH(orderHistory[customer],$D$9,0)*MATCH(orderHistory[status],$D$11,0)*MATCH(orderHistory[order_type],$D$13,0)),MATCH(ROW(orderHistory[customer]),ROW(orderHistory[customer])),""),ROWS($A$15:A28)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M23" s="540" t="str">
        <f t="array" ref="M23">IFERROR(IF($D$9="",IF($D$11="",IF($D$13="",IF($D$15="",INDEX(orderHistory[order_no],SMALL(MATCH(ROW(orderHistory[customer]),ROW(orderHistory[customer])),ROWS($A$15:A28)+$B$3)),INDEX(orderHistory[order_no],SMALL(IF(ISNUMBER(MATCH(YEAR(orderHistory[invoice_date]),$D$15,0)),MATCH(ROW(orderHistory[customer]),ROW(orderHistory[customer])),""),ROWS($A$15:A28)+$B$3))),IF($D$15="",INDEX(orderHistory[order_no],SMALL(IF(ISNUMBER(MATCH(orderHistory[order_type],$D$13,0)),MATCH(ROW(orderHistory[customer]),ROW(orderHistory[customer])),""),ROWS($A$15:A28)+$B$3)),INDEX(orderHistory[order_no],SMALL(IF(ISNUMBER(MATCH(orderHistory[order_type],$D$13,0)*MATCH(YEAR(orderHistory[invoice_date]),$D$15,0)),MATCH(ROW(orderHistory[customer]),ROW(orderHistory[customer])),""),ROWS($A$15:A28)+$B$3)))),IF($D$13="",IF($D$15="",INDEX(orderHistory[order_no],SMALL(IF(ISNUMBER(MATCH(orderHistory[status],$D$11,0)),MATCH(ROW(orderHistory[customer]),ROW(orderHistory[customer])),""),ROWS($A$15:A28)+$B$3)),INDEX(orderHistory[order_no],SMALL(IF(ISNUMBER(MATCH(orderHistory[status],$D$11,0)*MATCH(YEAR(orderHistory[invoice_date]),$D$15,0)),MATCH(ROW(orderHistory[customer]),ROW(orderHistory[customer])),""),ROWS($A$15:A28)+$B$3))),IF($D$15="",INDEX(orderHistory[order_no],SMALL(IF(ISNUMBER(MATCH(orderHistory[status],$D$11,0)*MATCH(orderHistory[order_type],$D$13,0)),MATCH(ROW(orderHistory[customer]),ROW(orderHistory[customer])),""),ROWS($A$15:A28)+$B$3)),INDEX(orderHistory[order_no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no],SMALL(IF(ISNUMBER(MATCH(orderHistory[customer],$D$9,0)),MATCH(ROW(orderHistory[customer]),ROW(orderHistory[customer])),""),ROWS($A$15:A28)+$B$3)),INDEX(orderHistory[order_no],SMALL(IF(ISNUMBER(MATCH(orderHistory[customer],$D$9,0)*MATCH(YEAR(orderHistory[invoice_date]),$D$15,0)),MATCH(ROW(orderHistory[customer]),ROW(orderHistory[customer])),""),ROWS($A$15:A28)+$B$3))),IF($D$15="",INDEX(orderHistory[order_no],SMALL(IF(ISNUMBER(MATCH(orderHistory[customer],$D$9,0)*MATCH(orderHistory[order_type],$D$13,0)),MATCH(ROW(orderHistory[customer]),ROW(orderHistory[customer])),""),ROWS($A$15:A28)+$B$3)),INDEX(orderHistory[order_no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no],SMALL(IF(ISNUMBER(MATCH(orderHistory[customer],$D$9,0)*MATCH(orderHistory[status],$D$11,0)),MATCH(ROW(orderHistory[customer]),ROW(orderHistory[customer])),""),ROWS($A$15:A28)+$B$3)),INDEX(orderHistory[order_no],SMALL(IF(ISNUMBER(MATCH(orderHistory[customer],$D$9,0)*MATCH(orderHistory[status],$D$11,0)*MATCH(YEAR(orderHistory[invoice_date]),$D$15,0)),MATCH(ROW(orderHistory[customer]),ROW(orderHistory[customer])),""),ROWS($A$15:A28)+$B$3))),IF($D$15="",INDEX(orderHistory[order_no],SMALL(IF(ISNUMBER(MATCH(orderHistory[customer],$D$9,0)*MATCH(orderHistory[status],$D$11,0)*MATCH(orderHistory[order_type],$D$13,0)),MATCH(ROW(orderHistory[customer]),ROW(orderHistory[customer])),""),ROWS($A$15:A28)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N23" s="541" t="str">
        <f t="array" ref="N23">IFERROR(IF($D$9="",IF($D$11="",IF($D$13="",IF($D$15="",INDEX(orderHistory[order_type],SMALL(MATCH(ROW(orderHistory[customer]),ROW(orderHistory[customer])),ROWS($A$15:A28)+$B$3)),INDEX(orderHistory[order_type],SMALL(IF(ISNUMBER(MATCH(YEAR(orderHistory[invoice_date]),$D$15,0)),MATCH(ROW(orderHistory[customer]),ROW(orderHistory[customer])),""),ROWS($A$15:A28)+$B$3))),IF($D$15="",INDEX(orderHistory[order_type],SMALL(IF(ISNUMBER(MATCH(orderHistory[order_type],$D$13,0)),MATCH(ROW(orderHistory[customer]),ROW(orderHistory[customer])),""),ROWS($A$15:A28)+$B$3)),INDEX(orderHistory[order_type],SMALL(IF(ISNUMBER(MATCH(orderHistory[order_type],$D$13,0)*MATCH(YEAR(orderHistory[invoice_date]),$D$15,0)),MATCH(ROW(orderHistory[customer]),ROW(orderHistory[customer])),""),ROWS($A$15:A28)+$B$3)))),IF($D$13="",IF($D$15="",INDEX(orderHistory[order_type],SMALL(IF(ISNUMBER(MATCH(orderHistory[status],$D$11,0)),MATCH(ROW(orderHistory[customer]),ROW(orderHistory[customer])),""),ROWS($A$15:A28)+$B$3)),INDEX(orderHistory[order_type],SMALL(IF(ISNUMBER(MATCH(orderHistory[status],$D$11,0)*MATCH(YEAR(orderHistory[invoice_date]),$D$15,0)),MATCH(ROW(orderHistory[customer]),ROW(orderHistory[customer])),""),ROWS($A$15:A28)+$B$3))),IF($D$15="",INDEX(orderHistory[order_type],SMALL(IF(ISNUMBER(MATCH(orderHistory[status],$D$11,0)*MATCH(orderHistory[order_type],$D$13,0)),MATCH(ROW(orderHistory[customer]),ROW(orderHistory[customer])),""),ROWS($A$15:A28)+$B$3)),INDEX(orderHistory[order_typ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type],SMALL(IF(ISNUMBER(MATCH(orderHistory[customer],$D$9,0)),MATCH(ROW(orderHistory[customer]),ROW(orderHistory[customer])),""),ROWS($A$15:A28)+$B$3)),INDEX(orderHistory[order_type],SMALL(IF(ISNUMBER(MATCH(orderHistory[customer],$D$9,0)*MATCH(YEAR(orderHistory[invoice_date]),$D$15,0)),MATCH(ROW(orderHistory[customer]),ROW(orderHistory[customer])),""),ROWS($A$15:A28)+$B$3))),IF($D$15="",INDEX(orderHistory[order_type],SMALL(IF(ISNUMBER(MATCH(orderHistory[customer],$D$9,0)*MATCH(orderHistory[order_type],$D$13,0)),MATCH(ROW(orderHistory[customer]),ROW(orderHistory[customer])),""),ROWS($A$15:A28)+$B$3)),INDEX(orderHistory[order_typ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type],SMALL(IF(ISNUMBER(MATCH(orderHistory[customer],$D$9,0)*MATCH(orderHistory[status],$D$11,0)),MATCH(ROW(orderHistory[customer]),ROW(orderHistory[customer])),""),ROWS($A$15:A28)+$B$3)),INDEX(orderHistory[order_type],SMALL(IF(ISNUMBER(MATCH(orderHistory[customer],$D$9,0)*MATCH(orderHistory[status],$D$11,0)*MATCH(YEAR(orderHistory[invoice_date]),$D$15,0)),MATCH(ROW(orderHistory[customer]),ROW(orderHistory[customer])),""),ROWS($A$15:A28)+$B$3))),IF($D$15="",INDEX(orderHistory[order_type],SMALL(IF(ISNUMBER(MATCH(orderHistory[customer],$D$9,0)*MATCH(orderHistory[status],$D$11,0)*MATCH(orderHistory[order_type],$D$13,0)),MATCH(ROW(orderHistory[customer]),ROW(orderHistory[customer])),""),ROWS($A$15:A28)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O23" s="542" t="str">
        <f t="array" ref="O23">IFERROR(IF($D$9="",IF($D$11="",IF($D$13="",IF($D$15="",INDEX(orderHistory[order_date],SMALL(MATCH(ROW(orderHistory[customer]),ROW(orderHistory[customer])),ROWS($A$15:A28)+$B$3)),INDEX(orderHistory[order_date],SMALL(IF(ISNUMBER(MATCH(YEAR(orderHistory[invoice_date]),$D$15,0)),MATCH(ROW(orderHistory[customer]),ROW(orderHistory[customer])),""),ROWS($A$15:A28)+$B$3))),IF($D$15="",INDEX(orderHistory[order_date],SMALL(IF(ISNUMBER(MATCH(orderHistory[order_type],$D$13,0)),MATCH(ROW(orderHistory[customer]),ROW(orderHistory[customer])),""),ROWS($A$15:A28)+$B$3)),INDEX(orderHistory[order_date],SMALL(IF(ISNUMBER(MATCH(orderHistory[order_type],$D$13,0)*MATCH(YEAR(orderHistory[invoice_date]),$D$15,0)),MATCH(ROW(orderHistory[customer]),ROW(orderHistory[customer])),""),ROWS($A$15:A28)+$B$3)))),IF($D$13="",IF($D$15="",INDEX(orderHistory[order_date],SMALL(IF(ISNUMBER(MATCH(orderHistory[status],$D$11,0)),MATCH(ROW(orderHistory[customer]),ROW(orderHistory[customer])),""),ROWS($A$15:A28)+$B$3)),INDEX(orderHistory[order_date],SMALL(IF(ISNUMBER(MATCH(orderHistory[status],$D$11,0)*MATCH(YEAR(orderHistory[invoice_date]),$D$15,0)),MATCH(ROW(orderHistory[customer]),ROW(orderHistory[customer])),""),ROWS($A$15:A28)+$B$3))),IF($D$15="",INDEX(orderHistory[order_date],SMALL(IF(ISNUMBER(MATCH(orderHistory[status],$D$11,0)*MATCH(orderHistory[order_type],$D$13,0)),MATCH(ROW(orderHistory[customer]),ROW(orderHistory[customer])),""),ROWS($A$15:A28)+$B$3)),INDEX(orderHistory[order_dat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date],SMALL(IF(ISNUMBER(MATCH(orderHistory[customer],$D$9,0)),MATCH(ROW(orderHistory[customer]),ROW(orderHistory[customer])),""),ROWS($A$15:A28)+$B$3)),INDEX(orderHistory[order_date],SMALL(IF(ISNUMBER(MATCH(orderHistory[customer],$D$9,0)*MATCH(YEAR(orderHistory[invoice_date]),$D$15,0)),MATCH(ROW(orderHistory[customer]),ROW(orderHistory[customer])),""),ROWS($A$15:A28)+$B$3))),IF($D$15="",INDEX(orderHistory[order_date],SMALL(IF(ISNUMBER(MATCH(orderHistory[customer],$D$9,0)*MATCH(orderHistory[order_type],$D$13,0)),MATCH(ROW(orderHistory[customer]),ROW(orderHistory[customer])),""),ROWS($A$15:A28)+$B$3)),INDEX(orderHistory[order_dat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date],SMALL(IF(ISNUMBER(MATCH(orderHistory[customer],$D$9,0)*MATCH(orderHistory[status],$D$11,0)),MATCH(ROW(orderHistory[customer]),ROW(orderHistory[customer])),""),ROWS($A$15:A28)+$B$3)),INDEX(orderHistory[order_date],SMALL(IF(ISNUMBER(MATCH(orderHistory[customer],$D$9,0)*MATCH(orderHistory[status],$D$11,0)*MATCH(YEAR(orderHistory[invoice_date]),$D$15,0)),MATCH(ROW(orderHistory[customer]),ROW(orderHistory[customer])),""),ROWS($A$15:A28)+$B$3))),IF($D$15="",INDEX(orderHistory[order_date],SMALL(IF(ISNUMBER(MATCH(orderHistory[customer],$D$9,0)*MATCH(orderHistory[status],$D$11,0)*MATCH(orderHistory[order_type],$D$13,0)),MATCH(ROW(orderHistory[customer]),ROW(orderHistory[customer])),""),ROWS($A$15:A28)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P23" s="543" t="str">
        <f t="array" ref="P23">IFERROR(IF($D$9="",IF($D$11="",IF($D$13="",IF($D$15="",INDEX(orderHistory[invoice_no],SMALL(MATCH(ROW(orderHistory[customer]),ROW(orderHistory[customer])),ROWS($A$15:A28)+$B$3)),INDEX(orderHistory[invoice_no],SMALL(IF(ISNUMBER(MATCH(YEAR(orderHistory[invoice_date]),$D$15,0)),MATCH(ROW(orderHistory[customer]),ROW(orderHistory[customer])),""),ROWS($A$15:A28)+$B$3))),IF($D$15="",INDEX(orderHistory[invoice_no],SMALL(IF(ISNUMBER(MATCH(orderHistory[order_type],$D$13,0)),MATCH(ROW(orderHistory[customer]),ROW(orderHistory[customer])),""),ROWS($A$15:A28)+$B$3)),INDEX(orderHistory[invoice_no],SMALL(IF(ISNUMBER(MATCH(orderHistory[order_type],$D$13,0)*MATCH(YEAR(orderHistory[invoice_date]),$D$15,0)),MATCH(ROW(orderHistory[customer]),ROW(orderHistory[customer])),""),ROWS($A$15:A28)+$B$3)))),IF($D$13="",IF($D$15="",INDEX(orderHistory[invoice_no],SMALL(IF(ISNUMBER(MATCH(orderHistory[status],$D$11,0)),MATCH(ROW(orderHistory[customer]),ROW(orderHistory[customer])),""),ROWS($A$15:A28)+$B$3)),INDEX(orderHistory[invoice_no],SMALL(IF(ISNUMBER(MATCH(orderHistory[status],$D$11,0)*MATCH(YEAR(orderHistory[invoice_date]),$D$15,0)),MATCH(ROW(orderHistory[customer]),ROW(orderHistory[customer])),""),ROWS($A$15:A28)+$B$3))),IF($D$15="",INDEX(orderHistory[invoice_no],SMALL(IF(ISNUMBER(MATCH(orderHistory[status],$D$11,0)*MATCH(orderHistory[order_type],$D$13,0)),MATCH(ROW(orderHistory[customer]),ROW(orderHistory[customer])),""),ROWS($A$15:A28)+$B$3)),INDEX(orderHistory[invoice_no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oice_no],SMALL(IF(ISNUMBER(MATCH(orderHistory[customer],$D$9,0)),MATCH(ROW(orderHistory[customer]),ROW(orderHistory[customer])),""),ROWS($A$15:A28)+$B$3)),INDEX(orderHistory[invoice_no],SMALL(IF(ISNUMBER(MATCH(orderHistory[customer],$D$9,0)*MATCH(YEAR(orderHistory[invoice_date]),$D$15,0)),MATCH(ROW(orderHistory[customer]),ROW(orderHistory[customer])),""),ROWS($A$15:A28)+$B$3))),IF($D$15="",INDEX(orderHistory[invoice_no],SMALL(IF(ISNUMBER(MATCH(orderHistory[customer],$D$9,0)*MATCH(orderHistory[order_type],$D$13,0)),MATCH(ROW(orderHistory[customer]),ROW(orderHistory[customer])),""),ROWS($A$15:A28)+$B$3)),INDEX(orderHistory[invoice_no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YEAR(orderHistory[invoice_date]),$D$15,0)),MATCH(ROW(orderHistory[customer]),ROW(orderHistory[customer])),""),ROWS($A$15:A28)+$B$3))),IF($D$15="",INDEX(orderHistory[invoice_no],SMALL(IF(ISNUMBER(MATCH(orderHistory[customer],$D$9,0)*MATCH(orderHistory[status],$D$11,0)*MATCH(orderHistory[order_type],$D$13,0)),MATCH(ROW(orderHistory[customer]),ROW(orderHistory[customer])),""),ROWS($A$15:A28)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Q23" s="544" t="str">
        <f t="array" ref="Q23">IFERROR(IF($D$9="",IF($D$11="",IF($D$13="",IF($D$15="",INDEX(orderHistory[invoice_date],SMALL(MATCH(ROW(orderHistory[customer]),ROW(orderHistory[customer])),ROWS($A$15:A28)+$B$3)),INDEX(orderHistory[invoice_date],SMALL(IF(ISNUMBER(MATCH(YEAR(orderHistory[invoice_date]),$D$15,0)),MATCH(ROW(orderHistory[customer]),ROW(orderHistory[customer])),""),ROWS($A$15:A28)+$B$3))),IF($D$15="",INDEX(orderHistory[invoice_date],SMALL(IF(ISNUMBER(MATCH(orderHistory[order_type],$D$13,0)),MATCH(ROW(orderHistory[customer]),ROW(orderHistory[customer])),""),ROWS($A$15:A28)+$B$3)),INDEX(orderHistory[invoice_date],SMALL(IF(ISNUMBER(MATCH(orderHistory[order_type],$D$13,0)*MATCH(YEAR(orderHistory[invoice_date]),$D$15,0)),MATCH(ROW(orderHistory[customer]),ROW(orderHistory[customer])),""),ROWS($A$15:A28)+$B$3)))),IF($D$13="",IF($D$15="",INDEX(orderHistory[invoice_date],SMALL(IF(ISNUMBER(MATCH(orderHistory[status],$D$11,0)),MATCH(ROW(orderHistory[customer]),ROW(orderHistory[customer])),""),ROWS($A$15:A28)+$B$3)),INDEX(orderHistory[invoice_date],SMALL(IF(ISNUMBER(MATCH(orderHistory[status],$D$11,0)*MATCH(YEAR(orderHistory[invoice_date]),$D$15,0)),MATCH(ROW(orderHistory[customer]),ROW(orderHistory[customer])),""),ROWS($A$15:A28)+$B$3))),IF($D$15="",INDEX(orderHistory[invoice_date],SMALL(IF(ISNUMBER(MATCH(orderHistory[status],$D$11,0)*MATCH(orderHistory[order_type],$D$13,0)),MATCH(ROW(orderHistory[customer]),ROW(orderHistory[customer])),""),ROWS($A$15:A28)+$B$3)),INDEX(orderHistory[invoice_dat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oice_date],SMALL(IF(ISNUMBER(MATCH(orderHistory[customer],$D$9,0)),MATCH(ROW(orderHistory[customer]),ROW(orderHistory[customer])),""),ROWS($A$15:A28)+$B$3)),INDEX(orderHistory[invoice_date],SMALL(IF(ISNUMBER(MATCH(orderHistory[customer],$D$9,0)*MATCH(YEAR(orderHistory[invoice_date]),$D$15,0)),MATCH(ROW(orderHistory[customer]),ROW(orderHistory[customer])),""),ROWS($A$15:A28)+$B$3))),IF($D$15="",INDEX(orderHistory[invoice_date],SMALL(IF(ISNUMBER(MATCH(orderHistory[customer],$D$9,0)*MATCH(orderHistory[order_type],$D$13,0)),MATCH(ROW(orderHistory[customer]),ROW(orderHistory[customer])),""),ROWS($A$15:A28)+$B$3)),INDEX(orderHistory[invoice_dat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YEAR(orderHistory[invoice_date]),$D$15,0)),MATCH(ROW(orderHistory[customer]),ROW(orderHistory[customer])),""),ROWS($A$15:A28)+$B$3))),IF($D$15="",INDEX(orderHistory[invoice_date],SMALL(IF(ISNUMBER(MATCH(orderHistory[customer],$D$9,0)*MATCH(orderHistory[status],$D$11,0)*MATCH(orderHistory[order_type],$D$13,0)),MATCH(ROW(orderHistory[customer]),ROW(orderHistory[customer])),""),ROWS($A$15:A28)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R23" s="545" t="str">
        <f t="array" ref="R23">IFERROR(IF($D$9="",IF($D$11="",IF($D$13="",IF($D$15="",INDEX(orderHistory[inv_amount],SMALL(MATCH(ROW(orderHistory[customer]),ROW(orderHistory[customer])),ROWS($A$15:A28)+$B$3)),INDEX(orderHistory[inv_amount],SMALL(IF(ISNUMBER(MATCH(YEAR(orderHistory[invoice_date]),$D$15,0)),MATCH(ROW(orderHistory[customer]),ROW(orderHistory[customer])),""),ROWS($A$15:A28)+$B$3))),IF($D$15="",INDEX(orderHistory[inv_amount],SMALL(IF(ISNUMBER(MATCH(orderHistory[order_type],$D$13,0)),MATCH(ROW(orderHistory[customer]),ROW(orderHistory[customer])),""),ROWS($A$15:A28)+$B$3)),INDEX(orderHistory[inv_amount],SMALL(IF(ISNUMBER(MATCH(orderHistory[order_type],$D$13,0)*MATCH(YEAR(orderHistory[invoice_date]),$D$15,0)),MATCH(ROW(orderHistory[customer]),ROW(orderHistory[customer])),""),ROWS($A$15:A28)+$B$3)))),IF($D$13="",IF($D$15="",INDEX(orderHistory[inv_amount],SMALL(IF(ISNUMBER(MATCH(orderHistory[status],$D$11,0)),MATCH(ROW(orderHistory[customer]),ROW(orderHistory[customer])),""),ROWS($A$15:A28)+$B$3)),INDEX(orderHistory[inv_amount],SMALL(IF(ISNUMBER(MATCH(orderHistory[status],$D$11,0)*MATCH(YEAR(orderHistory[invoice_date]),$D$15,0)),MATCH(ROW(orderHistory[customer]),ROW(orderHistory[customer])),""),ROWS($A$15:A28)+$B$3))),IF($D$15="",INDEX(orderHistory[inv_amount],SMALL(IF(ISNUMBER(MATCH(orderHistory[status],$D$11,0)*MATCH(orderHistory[order_type],$D$13,0)),MATCH(ROW(orderHistory[customer]),ROW(orderHistory[customer])),""),ROWS($A$15:A28)+$B$3)),INDEX(orderHistory[inv_amount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_amount],SMALL(IF(ISNUMBER(MATCH(orderHistory[customer],$D$9,0)),MATCH(ROW(orderHistory[customer]),ROW(orderHistory[customer])),""),ROWS($A$15:A28)+$B$3)),INDEX(orderHistory[inv_amount],SMALL(IF(ISNUMBER(MATCH(orderHistory[customer],$D$9,0)*MATCH(YEAR(orderHistory[invoice_date]),$D$15,0)),MATCH(ROW(orderHistory[customer]),ROW(orderHistory[customer])),""),ROWS($A$15:A28)+$B$3))),IF($D$15="",INDEX(orderHistory[inv_amount],SMALL(IF(ISNUMBER(MATCH(orderHistory[customer],$D$9,0)*MATCH(orderHistory[order_type],$D$13,0)),MATCH(ROW(orderHistory[customer]),ROW(orderHistory[customer])),""),ROWS($A$15:A28)+$B$3)),INDEX(orderHistory[inv_amount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_amount],SMALL(IF(ISNUMBER(MATCH(orderHistory[customer],$D$9,0)*MATCH(orderHistory[status],$D$11,0)),MATCH(ROW(orderHistory[customer]),ROW(orderHistory[customer])),""),ROWS($A$15:A28)+$B$3)),INDEX(orderHistory[inv_amount],SMALL(IF(ISNUMBER(MATCH(orderHistory[customer],$D$9,0)*MATCH(orderHistory[status],$D$11,0)*MATCH(YEAR(orderHistory[inv_amount]),$D$15,0)),MATCH(ROW(orderHistory[customer]),ROW(orderHistory[customer])),""),ROWS($A$15:A28)+$B$3))),IF($D$15="",INDEX(orderHistory[inv_amount],SMALL(IF(ISNUMBER(MATCH(orderHistory[customer],$D$9,0)*MATCH(orderHistory[status],$D$11,0)*MATCH(orderHistory[order_type],$D$13,0)),MATCH(ROW(orderHistory[customer]),ROW(orderHistory[customer])),""),ROWS($A$15:A28)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S23" s="546" t="str">
        <f t="shared" si="2"/>
        <v/>
      </c>
      <c r="T23" s="547" t="str">
        <f t="array" ref="T23">IFERROR(IF($D$9="",IF($D$11="",IF($D$13="",IF($D$15="",INDEX(orderHistory[payed],SMALL(MATCH(ROW(orderHistory[customer]),ROW(orderHistory[customer])),ROWS($A$15:A28)+$B$3)),INDEX(orderHistory[payed],SMALL(IF(ISNUMBER(MATCH(YEAR(orderHistory[invoice_date]),$D$15,0)),MATCH(ROW(orderHistory[customer]),ROW(orderHistory[customer])),""),ROWS($A$15:A28)+$B$3))),IF($D$15="",INDEX(orderHistory[payed],SMALL(IF(ISNUMBER(MATCH(orderHistory[order_type],$D$13,0)),MATCH(ROW(orderHistory[customer]),ROW(orderHistory[customer])),""),ROWS($A$15:A28)+$B$3)),INDEX(orderHistory[payed],SMALL(IF(ISNUMBER(MATCH(orderHistory[order_type],$D$13,0)*MATCH(YEAR(orderHistory[invoice_date]),$D$15,0)),MATCH(ROW(orderHistory[customer]),ROW(orderHistory[customer])),""),ROWS($A$15:A28)+$B$3)))),IF($D$13="",IF($D$15="",INDEX(orderHistory[payed],SMALL(IF(ISNUMBER(MATCH(orderHistory[status],$D$11,0)),MATCH(ROW(orderHistory[customer]),ROW(orderHistory[customer])),""),ROWS($A$15:A28)+$B$3)),INDEX(orderHistory[payed],SMALL(IF(ISNUMBER(MATCH(orderHistory[status],$D$11,0)*MATCH(YEAR(orderHistory[invoice_date]),$D$15,0)),MATCH(ROW(orderHistory[customer]),ROW(orderHistory[customer])),""),ROWS($A$15:A28)+$B$3))),IF($D$15="",INDEX(orderHistory[payed],SMALL(IF(ISNUMBER(MATCH(orderHistory[status],$D$11,0)*MATCH(orderHistory[order_type],$D$13,0)),MATCH(ROW(orderHistory[customer]),ROW(orderHistory[customer])),""),ROWS($A$15:A28)+$B$3)),INDEX(orderHistory[payed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payed],SMALL(IF(ISNUMBER(MATCH(orderHistory[customer],$D$9,0)),MATCH(ROW(orderHistory[customer]),ROW(orderHistory[customer])),""),ROWS($A$15:A28)+$B$3)),INDEX(orderHistory[payed],SMALL(IF(ISNUMBER(MATCH(orderHistory[customer],$D$9,0)*MATCH(YEAR(orderHistory[invoice_date]),$D$15,0)),MATCH(ROW(orderHistory[customer]),ROW(orderHistory[customer])),""),ROWS($A$15:A28)+$B$3))),IF($D$15="",INDEX(orderHistory[payed],SMALL(IF(ISNUMBER(MATCH(orderHistory[customer],$D$9,0)*MATCH(orderHistory[order_type],$D$13,0)),MATCH(ROW(orderHistory[customer]),ROW(orderHistory[customer])),""),ROWS($A$15:A28)+$B$3)),INDEX(orderHistory[payed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payed],SMALL(IF(ISNUMBER(MATCH(orderHistory[customer],$D$9,0)*MATCH(orderHistory[status],$D$11,0)),MATCH(ROW(orderHistory[customer]),ROW(orderHistory[customer])),""),ROWS($A$15:A28)+$B$3)),INDEX(orderHistory[payed],SMALL(IF(ISNUMBER(MATCH(orderHistory[customer],$D$9,0)*MATCH(orderHistory[status],$D$11,0)*MATCH(YEAR(orderHistory[payed]),$D$15,0)),MATCH(ROW(orderHistory[customer]),ROW(orderHistory[customer])),""),ROWS($A$15:A28)+$B$3))),IF($D$15="",INDEX(orderHistory[payed],SMALL(IF(ISNUMBER(MATCH(orderHistory[customer],$D$9,0)*MATCH(orderHistory[status],$D$11,0)*MATCH(orderHistory[order_type],$D$13,0)),MATCH(ROW(orderHistory[customer]),ROW(orderHistory[customer])),""),ROWS($A$15:A28)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U23" s="541" t="str">
        <f t="array" ref="U23">IFERROR(IF($D$9="",IF($D$11="",IF($D$13="",IF($D$15="",INDEX(orderHistory[shipping_method],SMALL(MATCH(ROW(orderHistory[customer]),ROW(orderHistory[customer])),ROWS($A$15:A28)+$B$3)),INDEX(orderHistory[shipping_method],SMALL(IF(ISNUMBER(MATCH(YEAR(orderHistory[invoice_date]),$D$15,0)),MATCH(ROW(orderHistory[customer]),ROW(orderHistory[customer])),""),ROWS($A$15:A28)+$B$3))),IF($D$15="",INDEX(orderHistory[shipping_method],SMALL(IF(ISNUMBER(MATCH(orderHistory[order_type],$D$13,0)),MATCH(ROW(orderHistory[customer]),ROW(orderHistory[customer])),""),ROWS($A$15:A28)+$B$3)),INDEX(orderHistory[shipping_method],SMALL(IF(ISNUMBER(MATCH(orderHistory[order_type],$D$13,0)*MATCH(YEAR(orderHistory[invoice_date]),$D$15,0)),MATCH(ROW(orderHistory[customer]),ROW(orderHistory[customer])),""),ROWS($A$15:A28)+$B$3)))),IF($D$13="",IF($D$15="",INDEX(orderHistory[shipping_method],SMALL(IF(ISNUMBER(MATCH(orderHistory[status],$D$11,0)),MATCH(ROW(orderHistory[customer]),ROW(orderHistory[customer])),""),ROWS($A$15:A28)+$B$3)),INDEX(orderHistory[shipping_method],SMALL(IF(ISNUMBER(MATCH(orderHistory[status],$D$11,0)*MATCH(YEAR(orderHistory[invoice_date]),$D$15,0)),MATCH(ROW(orderHistory[customer]),ROW(orderHistory[customer])),""),ROWS($A$15:A28)+$B$3))),IF($D$15="",INDEX(orderHistory[shipping_method],SMALL(IF(ISNUMBER(MATCH(orderHistory[status],$D$11,0)*MATCH(orderHistory[order_type],$D$13,0)),MATCH(ROW(orderHistory[customer]),ROW(orderHistory[customer])),""),ROWS($A$15:A28)+$B$3)),INDEX(orderHistory[shipping_method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shipping_method],SMALL(IF(ISNUMBER(MATCH(orderHistory[customer],$D$9,0)),MATCH(ROW(orderHistory[customer]),ROW(orderHistory[customer])),""),ROWS($A$15:A28)+$B$3)),INDEX(orderHistory[shipping_method],SMALL(IF(ISNUMBER(MATCH(orderHistory[customer],$D$9,0)*MATCH(YEAR(orderHistory[invoice_date]),$D$15,0)),MATCH(ROW(orderHistory[customer]),ROW(orderHistory[customer])),""),ROWS($A$15:A28)+$B$3))),IF($D$15="",INDEX(orderHistory[shipping_method],SMALL(IF(ISNUMBER(MATCH(orderHistory[customer],$D$9,0)*MATCH(orderHistory[order_type],$D$13,0)),MATCH(ROW(orderHistory[customer]),ROW(orderHistory[customer])),""),ROWS($A$15:A28)+$B$3)),INDEX(orderHistory[shipping_method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shipping_method],SMALL(IF(ISNUMBER(MATCH(orderHistory[customer],$D$9,0)*MATCH(orderHistory[status],$D$11,0)),MATCH(ROW(orderHistory[customer]),ROW(orderHistory[customer])),""),ROWS($A$15:A28)+$B$3)),INDEX(orderHistory[shipping_method],SMALL(IF(ISNUMBER(MATCH(orderHistory[customer],$D$9,0)*MATCH(orderHistory[status],$D$11,0)*MATCH(YEAR(orderHistory[shipping_method]),$D$15,0)),MATCH(ROW(orderHistory[customer]),ROW(orderHistory[customer])),""),ROWS($A$15:A28)+$B$3))),IF($D$15="",INDEX(orderHistory[shipping_method],SMALL(IF(ISNUMBER(MATCH(orderHistory[customer],$D$9,0)*MATCH(orderHistory[status],$D$11,0)*MATCH(orderHistory[order_type],$D$13,0)),MATCH(ROW(orderHistory[customer]),ROW(orderHistory[customer])),""),ROWS($A$15:A28)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V23" s="548" t="str">
        <f t="array" ref="V23">IFERROR(IF($D$9="",IF($D$11="",IF($D$13="",IF($D$15="",INDEX(orderHistory[status],SMALL(MATCH(ROW(orderHistory[customer]),ROW(orderHistory[customer])),ROWS($A$15:A28)+$B$3)),INDEX(orderHistory[status],SMALL(IF(ISNUMBER(MATCH(YEAR(orderHistory[invoice_date]),$D$15,0)),MATCH(ROW(orderHistory[customer]),ROW(orderHistory[customer])),""),ROWS($A$15:A28)+$B$3))),IF($D$15="",INDEX(orderHistory[status],SMALL(IF(ISNUMBER(MATCH(orderHistory[order_type],$D$13,0)),MATCH(ROW(orderHistory[customer]),ROW(orderHistory[customer])),""),ROWS($A$15:A28)+$B$3)),INDEX(orderHistory[status],SMALL(IF(ISNUMBER(MATCH(orderHistory[order_type],$D$13,0)*MATCH(YEAR(orderHistory[invoice_date]),$D$15,0)),MATCH(ROW(orderHistory[customer]),ROW(orderHistory[customer])),""),ROWS($A$15:A28)+$B$3)))),IF($D$13="",IF($D$15="",INDEX(orderHistory[status],SMALL(IF(ISNUMBER(MATCH(orderHistory[status],$D$11,0)),MATCH(ROW(orderHistory[customer]),ROW(orderHistory[customer])),""),ROWS($A$15:A28)+$B$3)),INDEX(orderHistory[status],SMALL(IF(ISNUMBER(MATCH(orderHistory[status],$D$11,0)*MATCH(YEAR(orderHistory[invoice_date]),$D$15,0)),MATCH(ROW(orderHistory[customer]),ROW(orderHistory[customer])),""),ROWS($A$15:A28)+$B$3))),IF($D$15="",INDEX(orderHistory[status],SMALL(IF(ISNUMBER(MATCH(orderHistory[status],$D$11,0)*MATCH(orderHistory[order_type],$D$13,0)),MATCH(ROW(orderHistory[customer]),ROW(orderHistory[customer])),""),ROWS($A$15:A28)+$B$3)),INDEX(orderHistory[status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status],SMALL(IF(ISNUMBER(MATCH(orderHistory[customer],$D$9,0)),MATCH(ROW(orderHistory[customer]),ROW(orderHistory[customer])),""),ROWS($A$15:A28)+$B$3)),INDEX(orderHistory[status],SMALL(IF(ISNUMBER(MATCH(orderHistory[customer],$D$9,0)*MATCH(YEAR(orderHistory[invoice_date]),$D$15,0)),MATCH(ROW(orderHistory[customer]),ROW(orderHistory[customer])),""),ROWS($A$15:A28)+$B$3))),IF($D$15="",INDEX(orderHistory[status],SMALL(IF(ISNUMBER(MATCH(orderHistory[customer],$D$9,0)*MATCH(orderHistory[order_type],$D$13,0)),MATCH(ROW(orderHistory[customer]),ROW(orderHistory[customer])),""),ROWS($A$15:A28)+$B$3)),INDEX(orderHistory[status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status],SMALL(IF(ISNUMBER(MATCH(orderHistory[customer],$D$9,0)*MATCH(orderHistory[status],$D$11,0)),MATCH(ROW(orderHistory[customer]),ROW(orderHistory[customer])),""),ROWS($A$15:A28)+$B$3)),INDEX(orderHistory[status],SMALL(IF(ISNUMBER(MATCH(orderHistory[customer],$D$9,0)*MATCH(orderHistory[status],$D$11,0)*MATCH(YEAR(orderHistory[status]),$D$15,0)),MATCH(ROW(orderHistory[customer]),ROW(orderHistory[customer])),""),ROWS($A$15:A28)+$B$3))),IF($D$15="",INDEX(orderHistory[status],SMALL(IF(ISNUMBER(MATCH(orderHistory[customer],$D$9,0)*MATCH(orderHistory[status],$D$11,0)*MATCH(orderHistory[order_type],$D$13,0)),MATCH(ROW(orderHistory[customer]),ROW(orderHistory[customer])),""),ROWS($A$15:A28)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W23" s="107"/>
      <c r="AQ23" s="489"/>
      <c r="AR23" s="490"/>
      <c r="AS23" s="490"/>
      <c r="AT23" s="490"/>
      <c r="AU23" s="490"/>
      <c r="AW23" s="460"/>
      <c r="AX23" s="423"/>
      <c r="BD23" s="838"/>
      <c r="BE23" s="839"/>
      <c r="BF23" s="839"/>
      <c r="BG23" s="839"/>
      <c r="BH23" s="840"/>
      <c r="BJ23" s="421"/>
      <c r="BK23" s="450"/>
      <c r="BL23" s="451"/>
      <c r="BM23" s="452"/>
      <c r="BN23" s="451"/>
      <c r="BO23" s="452"/>
      <c r="BX23" s="518"/>
      <c r="BZ23" s="167"/>
      <c r="CA23" s="154" t="str">
        <f>IF(BZ23="","",INDEX(bhpc_data[description],MATCH(BZ23,bhpc_data[sku],0)))</f>
        <v/>
      </c>
      <c r="CB23" s="159"/>
      <c r="CC23" s="358"/>
      <c r="CD23" s="160"/>
      <c r="CE23" s="360"/>
      <c r="CF23" s="161"/>
      <c r="CG23" s="164" t="str">
        <f>IFERROR(ROUNDUP(CB23/INDEX(bhpc_data[units_per_carton],MATCH(BZ23,bhpc_data[sku],0)),0),"")</f>
        <v/>
      </c>
      <c r="CH23" s="165" t="str">
        <f>IFERROR(ROUNDUP(CD23/INDEX(bhpc_data[units_per_carton],MATCH(BZ23,bhpc_data[sku],0)),0),"")</f>
        <v/>
      </c>
      <c r="CI23" s="165" t="str">
        <f>IFERROR(ROUNDUP(CF23/INDEX(bhpc_data[units_per_carton],MATCH(BZ23,bhpc_data[sku])),0),"")</f>
        <v/>
      </c>
      <c r="CJ23" s="165" t="str">
        <f>IFERROR(((CB23+CD23+CF23)/INDEX(bhpc_data[units_per_carton],MATCH(BZ23,bhpc_data[sku],0)))*INDEX(bhpc_data[net_weight],MATCH(BZ23,bhpc_data[sku],0)),"")</f>
        <v/>
      </c>
      <c r="CK23" s="165" t="str">
        <f>IFERROR(((CB23+CD23+CF23)/INDEX(bhpc_data[units_per_carton],MATCH(BZ23,bhpc_data[sku],0)))*INDEX(bhpc_data[gross_weight],MATCH(BZ23,bhpc_data[sku],0)),"")</f>
        <v/>
      </c>
      <c r="CL23" s="180" t="str">
        <f>IFERROR((CB23+CD23+CF23)/INDEX(bhpc_data[units_per_carton],MATCH(BZ23,bhpc_data[sku],0))*INDEX(bhpc_data[lenght],MATCH(BZ23,bhpc_data[sku],0))*INDEX(bhpc_data[width],MATCH(BZ23,bhpc_data[sku],0))*INDEX(bhpc_data[height],MATCH(BZ23,bhpc_data[sku],0))/1000000000,"")</f>
        <v/>
      </c>
      <c r="CM23" s="189" t="str">
        <f>IFERROR(INDEX(bhpc_data[category],MATCH(BZ23,bhpc_data[sku],0)),"")</f>
        <v/>
      </c>
      <c r="CN23" s="189" t="str">
        <f>IFERROR(INDEX(bhpc_data[size1],MATCH(BZ23,bhpc_data[sku],0)),"")</f>
        <v/>
      </c>
      <c r="CO23" s="388" t="str">
        <f>IFERROR(INDEX(bhpc_data[hs_code],MATCH(BZ23,bhpc_data[sku],0)),"")</f>
        <v/>
      </c>
      <c r="CP23" s="377" t="str">
        <f>IFERROR(INDEX(inventory[ESISTENZA],MATCH(BZ23,inventory[ARTICOLO],0)),"")</f>
        <v/>
      </c>
      <c r="CQ23" s="364" t="str">
        <f>IFERROR(IF(BZ23="","",IF($BX$15="SALE",INDEX(inventory[COSTO UNITARIO],MATCH(BZ23,inventory[ARTICOLO],0)),IF($BX$15="SAMPLING",INDEX(inventory[COSTO UNITARIO],MATCH(BZ23,inventory[ARTICOLO],0)),""))),"")</f>
        <v/>
      </c>
      <c r="CR23" s="365" t="str">
        <f t="shared" si="0"/>
        <v/>
      </c>
      <c r="CS23" s="264" t="str">
        <f t="shared" si="1"/>
        <v/>
      </c>
      <c r="CU23" s="85"/>
      <c r="CV23" s="81"/>
      <c r="CW23" s="81"/>
      <c r="CX23" s="89"/>
      <c r="CY23" s="81"/>
      <c r="CZ23" s="82"/>
      <c r="DA23" s="432" t="str">
        <f>IFERROR(VLOOKUP(BZ23,bhpc_data[],22,FALSE),"")</f>
        <v/>
      </c>
      <c r="DH23" s="296"/>
      <c r="EE23" s="202" t="str" cm="1">
        <f t="array" ref="EE23">IFERROR(IF($EC$9="",IF($EC$11="",IF($EC$13="",INDEX(bhpc_data[sku],SMALL(MATCH(ROW(bhpc_data[sku]),ROW(bhpc_data[sku])),ROWS($A$15:A28)+$B$3)),INDEX(bhpc_data[sku],SMALL(IF(ISNUMBER(MATCH(bhpc_data[size1],$EC$13,0)),MATCH(ROW(bhpc_data[sku]),ROW(bhpc_data[sku])),""),ROWS($A$15:A28)+$B$3))),IF($EC$13="",INDEX(bhpc_data[sku],SMALL(IF(ISNUMBER(MATCH(bhpc_data[sex],$EC$11,0)),MATCH(ROW(bhpc_data[sku]),ROW(bhpc_data[sku])),""),ROWS($A$15:A28)+$B$3)),INDEX(bhpc_data[sku],SMALL(IF(ISNUMBER(MATCH(bhpc_data[sex],$EC$11,0)*MATCH(bhpc_data[size1],$EC$13,0)),MATCH(ROW(bhpc_data[sku]),ROW(bhpc_data[sku])),""),ROWS($A$15:A28)+$B$3)))),IF($EC$11="",IF($EC$13="",INDEX(bhpc_data[sku],SMALL(IF(ISNUMBER(MATCH(bhpc_data[category],$EC$9,0)),MATCH(ROW(bhpc_data[sku]),ROW(bhpc_data[sku])),""),ROWS($A$15:A28)+$B$3)),INDEX(bhpc_data[sku],SMALL(IF(ISNUMBER(MATCH(bhpc_data[category],$EC$9,0)*MATCH(bhpc_data[size1],$EC$13,0)),MATCH(ROW(bhpc_data[sku]),ROW(bhpc_data[sku])),""),ROWS($A$15:A28)+$B$3))),IF($EC$13="",INDEX(bhpc_data[sku],SMALL(IF(ISNUMBER(MATCH(bhpc_data[category],$EC$9,0)*MATCH(bhpc_data[sex],$EC$11,0)),MATCH(ROW(bhpc_data[sku]),ROW(bhpc_data[sku])),""),ROWS($A$15:A28)+$B$3)),INDEX(bhpc_data[sku],SMALL(IF(ISNUMBER(MATCH(bhpc_data[category],$EC$9,0)*MATCH(bhpc_data[sex],$EC$11,0)*MATCH(bhpc_data[size1],$EC$13,0)),MATCH(ROW(bhpc_data[sku]),ROW(bhpc_data[sku])),""),ROWS($A$15:A28)+$B$3))))),"")</f>
        <v>GS5051</v>
      </c>
      <c r="EF23" s="198" t="str" cm="1">
        <f t="array" ref="EF23">IFERROR(IF($EC$9="",IF($EC$11="",IF($EC$13="",INDEX(bhpc_data[description],SMALL(MATCH(ROW(bhpc_data[sku]),ROW(bhpc_data[sku])),ROWS($A$15:A28)+$B$3)),INDEX(bhpc_data[description],SMALL(IF(ISNUMBER(MATCH(bhpc_data[size1],$EC$13,0)),MATCH(ROW(bhpc_data[sku]),ROW(bhpc_data[sku])),""),ROWS($A$15:A28)+$B$3))),IF($EC$13="",INDEX(bhpc_data[description],SMALL(IF(ISNUMBER(MATCH(bhpc_data[sex],$EC$11,0)),MATCH(ROW(bhpc_data[sku]),ROW(bhpc_data[sku])),""),ROWS($A$15:A28)+$B$3)),INDEX(bhpc_data[description],SMALL(IF(ISNUMBER(MATCH(bhpc_data[sex],$EC$11,0)*MATCH(bhpc_data[size1],$EC$13,0)),MATCH(ROW(bhpc_data[sku]),ROW(bhpc_data[sku])),""),ROWS($A$15:A28)+$B$3)))),IF($EC$11="",IF($EC$13="",INDEX(bhpc_data[description],SMALL(IF(ISNUMBER(MATCH(bhpc_data[category],$EC$9,0)),MATCH(ROW(bhpc_data[sku]),ROW(bhpc_data[sku])),""),ROWS($A$15:A28)+$B$3)),INDEX(bhpc_data[description],SMALL(IF(ISNUMBER(MATCH(bhpc_data[category],$EC$9,0)*MATCH(bhpc_data[size1],$EC$13,0)),MATCH(ROW(bhpc_data[sku]),ROW(bhpc_data[sku])),""),ROWS($A$15:A28)+$B$3))),IF($EC$13="",INDEX(bhpc_data[description],SMALL(IF(ISNUMBER(MATCH(bhpc_data[category],$EC$9,0)*MATCH(bhpc_data[sex],$EC$11,0)),MATCH(ROW(bhpc_data[sku]),ROW(bhpc_data[sku])),""),ROWS($A$15:A28)+$B$3)),INDEX(bhpc_data[description],SMALL(IF(ISNUMBER(MATCH(bhpc_data[category],$EC$9,0)*MATCH(bhpc_data[sex],$EC$11,0)*MATCH(bhpc_data[size1],$EC$13,0)),MATCH(ROW(bhpc_data[sku]),ROW(bhpc_data[sku])),""),ROWS($A$15:A28)+$B$3))))),"")</f>
        <v>BHPC GIFT SET WOMEN 9 EDP 100ML + DEO 150ML</v>
      </c>
      <c r="EG23" s="263">
        <f>IFERROR(IF(warehouse[[#This Row],[SKU]]="","",INDEX(inventory[ESISTENZA],MATCH(warehouse[[#This Row],[SKU]],inventory[ARTICOLO],0))),"")</f>
        <v>0</v>
      </c>
      <c r="EH23" s="328"/>
      <c r="EI23" s="328"/>
      <c r="EJ23" s="263"/>
      <c r="EK23" s="113"/>
      <c r="FF23" s="413"/>
      <c r="FG23" s="413"/>
      <c r="FH23" s="413"/>
      <c r="FI23" s="413"/>
      <c r="FJ23" s="413"/>
      <c r="FK23" s="413"/>
      <c r="FL23" s="413"/>
      <c r="FM23" s="413"/>
      <c r="FN23" s="413"/>
      <c r="FO23" s="413"/>
      <c r="FP23" s="413"/>
      <c r="FQ23" s="413"/>
      <c r="FR23" s="413"/>
      <c r="FS23" s="413"/>
      <c r="FT23" s="413"/>
      <c r="FU23" s="413"/>
      <c r="FV23" s="413"/>
      <c r="FW23" s="413"/>
      <c r="FX23" s="413"/>
      <c r="FY23" s="413"/>
      <c r="FZ23" s="413"/>
      <c r="GA23" s="413"/>
      <c r="GB23" s="413"/>
      <c r="GC23" s="413"/>
      <c r="GD23" s="413"/>
      <c r="GE23" s="413"/>
      <c r="GF23" s="413"/>
      <c r="GG23" s="413"/>
      <c r="GH23" s="413"/>
      <c r="GI23" s="413"/>
      <c r="GJ23" s="413"/>
      <c r="GK23" s="413"/>
      <c r="GL23" s="413"/>
      <c r="GM23" s="413"/>
      <c r="GN23" s="413"/>
      <c r="GO23" s="413"/>
      <c r="GP23" s="413"/>
      <c r="GQ23" s="413"/>
      <c r="GR23" s="413"/>
      <c r="GS23" s="413"/>
      <c r="GT23" s="413"/>
      <c r="GU23" s="413"/>
      <c r="GV23" s="413"/>
      <c r="GW23" s="413"/>
      <c r="GX23" s="413"/>
      <c r="GY23" s="413"/>
      <c r="GZ23" s="413"/>
      <c r="HA23" s="413"/>
      <c r="HB23" s="413"/>
      <c r="HC23" s="413"/>
      <c r="HD23" s="413"/>
      <c r="HE23" s="413"/>
      <c r="HF23" s="413"/>
      <c r="HG23" s="413"/>
      <c r="HH23" s="413"/>
      <c r="HI23" s="413"/>
      <c r="HJ23" s="413"/>
      <c r="HK23" s="413"/>
      <c r="HL23" s="413"/>
      <c r="HM23" s="413"/>
      <c r="HN23" s="413"/>
      <c r="HO23" s="413"/>
      <c r="HP23" s="413"/>
      <c r="HQ23" s="413"/>
      <c r="HR23" s="413"/>
      <c r="HS23" s="413"/>
      <c r="HT23" s="413"/>
    </row>
    <row r="24" spans="1:228" ht="15" customHeight="1" thickBot="1" x14ac:dyDescent="0.4">
      <c r="D24" s="330" t="e">
        <f>VLOOKUP(VLOOKUP($B$4,orderHistory[],15,FALSE),carriers[],2,FALSE)</f>
        <v>#N/A</v>
      </c>
      <c r="F24" s="91"/>
      <c r="G24" s="811">
        <f>IFERROR(INDEX(clientData[hq_address3],MATCH($B$6,clientData[cod_cliente],0)),"")</f>
        <v>0</v>
      </c>
      <c r="H24" s="812"/>
      <c r="I24" s="813"/>
      <c r="J24" s="82"/>
      <c r="L24" s="539" t="str">
        <f t="array" ref="L24">IFERROR(IF($D$9="",IF($D$11="",IF($D$13="",IF($D$15="",INDEX(orderHistory[customer],SMALL(MATCH(ROW(orderHistory[customer]),ROW(orderHistory[customer])),ROWS($A$15:A29)+$B$3)),INDEX(orderHistory[customer],SMALL(IF(ISNUMBER(MATCH(YEAR(orderHistory[invoice_date]),$D$15,0)),MATCH(ROW(orderHistory[customer]),ROW(orderHistory[customer])),""),ROWS($A$15:A29)+$B$3))),IF($D$15="",INDEX(orderHistory[customer],SMALL(IF(ISNUMBER(MATCH(orderHistory[order_type],$D$13,0)),MATCH(ROW(orderHistory[customer]),ROW(orderHistory[customer])),""),ROWS($A$15:A29)+$B$3)),INDEX(orderHistory[customer],SMALL(IF(ISNUMBER(MATCH(orderHistory[order_type],$D$13,0)*MATCH(YEAR(orderHistory[invoice_date]),$D$15,0)),MATCH(ROW(orderHistory[customer]),ROW(orderHistory[customer])),""),ROWS($A$15:A29)+$B$3)))),IF($D$13="",IF($D$15="",INDEX(orderHistory[customer],SMALL(IF(ISNUMBER(MATCH(orderHistory[status],$D$11,0)),MATCH(ROW(orderHistory[customer]),ROW(orderHistory[customer])),""),ROWS($A$15:A29)+$B$3)),INDEX(orderHistory[customer],SMALL(IF(ISNUMBER(MATCH(orderHistory[status],$D$11,0)*MATCH(YEAR(orderHistory[invoice_date]),$D$15,0)),MATCH(ROW(orderHistory[customer]),ROW(orderHistory[customer])),""),ROWS($A$15:A29)+$B$3))),IF($D$15="",INDEX(orderHistory[customer],SMALL(IF(ISNUMBER(MATCH(orderHistory[status],$D$11,0)*MATCH(orderHistory[order_type],$D$13,0)),MATCH(ROW(orderHistory[customer]),ROW(orderHistory[customer])),""),ROWS($A$15:A29)+$B$3)),INDEX(orderHistory[customer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customer],SMALL(IF(ISNUMBER(MATCH(orderHistory[customer],$D$9,0)),MATCH(ROW(orderHistory[customer]),ROW(orderHistory[customer])),""),ROWS($A$15:A29)+$B$3)),INDEX(orderHistory[customer],SMALL(IF(ISNUMBER(MATCH(orderHistory[customer],$D$9,0)*MATCH(YEAR(orderHistory[invoice_date]),$D$15,0)),MATCH(ROW(orderHistory[customer]),ROW(orderHistory[customer])),""),ROWS($A$15:A29)+$B$3))),IF($D$15="",INDEX(orderHistory[customer],SMALL(IF(ISNUMBER(MATCH(orderHistory[customer],$D$9,0)*MATCH(orderHistory[order_type],$D$13,0)),MATCH(ROW(orderHistory[customer]),ROW(orderHistory[customer])),""),ROWS($A$15:A29)+$B$3)),INDEX(orderHistory[customer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customer],SMALL(IF(ISNUMBER(MATCH(orderHistory[customer],$D$9,0)*MATCH(orderHistory[status],$D$11,0)),MATCH(ROW(orderHistory[customer]),ROW(orderHistory[customer])),""),ROWS($A$15:A29)+$B$3)),INDEX(orderHistory[customer],SMALL(IF(ISNUMBER(MATCH(orderHistory[customer],$D$9,0)*MATCH(orderHistory[status],$D$11,0)*MATCH(YEAR(orderHistory[invoice_date]),$D$15,0)),MATCH(ROW(orderHistory[customer]),ROW(orderHistory[customer])),""),ROWS($A$15:A29)+$B$3))),IF($D$15="",INDEX(orderHistory[customer],SMALL(IF(ISNUMBER(MATCH(orderHistory[customer],$D$9,0)*MATCH(orderHistory[status],$D$11,0)*MATCH(orderHistory[order_type],$D$13,0)),MATCH(ROW(orderHistory[customer]),ROW(orderHistory[customer])),""),ROWS($A$15:A29)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M24" s="540" t="str">
        <f t="array" ref="M24">IFERROR(IF($D$9="",IF($D$11="",IF($D$13="",IF($D$15="",INDEX(orderHistory[order_no],SMALL(MATCH(ROW(orderHistory[customer]),ROW(orderHistory[customer])),ROWS($A$15:A29)+$B$3)),INDEX(orderHistory[order_no],SMALL(IF(ISNUMBER(MATCH(YEAR(orderHistory[invoice_date]),$D$15,0)),MATCH(ROW(orderHistory[customer]),ROW(orderHistory[customer])),""),ROWS($A$15:A29)+$B$3))),IF($D$15="",INDEX(orderHistory[order_no],SMALL(IF(ISNUMBER(MATCH(orderHistory[order_type],$D$13,0)),MATCH(ROW(orderHistory[customer]),ROW(orderHistory[customer])),""),ROWS($A$15:A29)+$B$3)),INDEX(orderHistory[order_no],SMALL(IF(ISNUMBER(MATCH(orderHistory[order_type],$D$13,0)*MATCH(YEAR(orderHistory[invoice_date]),$D$15,0)),MATCH(ROW(orderHistory[customer]),ROW(orderHistory[customer])),""),ROWS($A$15:A29)+$B$3)))),IF($D$13="",IF($D$15="",INDEX(orderHistory[order_no],SMALL(IF(ISNUMBER(MATCH(orderHistory[status],$D$11,0)),MATCH(ROW(orderHistory[customer]),ROW(orderHistory[customer])),""),ROWS($A$15:A29)+$B$3)),INDEX(orderHistory[order_no],SMALL(IF(ISNUMBER(MATCH(orderHistory[status],$D$11,0)*MATCH(YEAR(orderHistory[invoice_date]),$D$15,0)),MATCH(ROW(orderHistory[customer]),ROW(orderHistory[customer])),""),ROWS($A$15:A29)+$B$3))),IF($D$15="",INDEX(orderHistory[order_no],SMALL(IF(ISNUMBER(MATCH(orderHistory[status],$D$11,0)*MATCH(orderHistory[order_type],$D$13,0)),MATCH(ROW(orderHistory[customer]),ROW(orderHistory[customer])),""),ROWS($A$15:A29)+$B$3)),INDEX(orderHistory[order_no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no],SMALL(IF(ISNUMBER(MATCH(orderHistory[customer],$D$9,0)),MATCH(ROW(orderHistory[customer]),ROW(orderHistory[customer])),""),ROWS($A$15:A29)+$B$3)),INDEX(orderHistory[order_no],SMALL(IF(ISNUMBER(MATCH(orderHistory[customer],$D$9,0)*MATCH(YEAR(orderHistory[invoice_date]),$D$15,0)),MATCH(ROW(orderHistory[customer]),ROW(orderHistory[customer])),""),ROWS($A$15:A29)+$B$3))),IF($D$15="",INDEX(orderHistory[order_no],SMALL(IF(ISNUMBER(MATCH(orderHistory[customer],$D$9,0)*MATCH(orderHistory[order_type],$D$13,0)),MATCH(ROW(orderHistory[customer]),ROW(orderHistory[customer])),""),ROWS($A$15:A29)+$B$3)),INDEX(orderHistory[order_no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no],SMALL(IF(ISNUMBER(MATCH(orderHistory[customer],$D$9,0)*MATCH(orderHistory[status],$D$11,0)),MATCH(ROW(orderHistory[customer]),ROW(orderHistory[customer])),""),ROWS($A$15:A29)+$B$3)),INDEX(orderHistory[order_no],SMALL(IF(ISNUMBER(MATCH(orderHistory[customer],$D$9,0)*MATCH(orderHistory[status],$D$11,0)*MATCH(YEAR(orderHistory[invoice_date]),$D$15,0)),MATCH(ROW(orderHistory[customer]),ROW(orderHistory[customer])),""),ROWS($A$15:A29)+$B$3))),IF($D$15="",INDEX(orderHistory[order_no],SMALL(IF(ISNUMBER(MATCH(orderHistory[customer],$D$9,0)*MATCH(orderHistory[status],$D$11,0)*MATCH(orderHistory[order_type],$D$13,0)),MATCH(ROW(orderHistory[customer]),ROW(orderHistory[customer])),""),ROWS($A$15:A29)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N24" s="541" t="str">
        <f t="array" ref="N24">IFERROR(IF($D$9="",IF($D$11="",IF($D$13="",IF($D$15="",INDEX(orderHistory[order_type],SMALL(MATCH(ROW(orderHistory[customer]),ROW(orderHistory[customer])),ROWS($A$15:A29)+$B$3)),INDEX(orderHistory[order_type],SMALL(IF(ISNUMBER(MATCH(YEAR(orderHistory[invoice_date]),$D$15,0)),MATCH(ROW(orderHistory[customer]),ROW(orderHistory[customer])),""),ROWS($A$15:A29)+$B$3))),IF($D$15="",INDEX(orderHistory[order_type],SMALL(IF(ISNUMBER(MATCH(orderHistory[order_type],$D$13,0)),MATCH(ROW(orderHistory[customer]),ROW(orderHistory[customer])),""),ROWS($A$15:A29)+$B$3)),INDEX(orderHistory[order_type],SMALL(IF(ISNUMBER(MATCH(orderHistory[order_type],$D$13,0)*MATCH(YEAR(orderHistory[invoice_date]),$D$15,0)),MATCH(ROW(orderHistory[customer]),ROW(orderHistory[customer])),""),ROWS($A$15:A29)+$B$3)))),IF($D$13="",IF($D$15="",INDEX(orderHistory[order_type],SMALL(IF(ISNUMBER(MATCH(orderHistory[status],$D$11,0)),MATCH(ROW(orderHistory[customer]),ROW(orderHistory[customer])),""),ROWS($A$15:A29)+$B$3)),INDEX(orderHistory[order_type],SMALL(IF(ISNUMBER(MATCH(orderHistory[status],$D$11,0)*MATCH(YEAR(orderHistory[invoice_date]),$D$15,0)),MATCH(ROW(orderHistory[customer]),ROW(orderHistory[customer])),""),ROWS($A$15:A29)+$B$3))),IF($D$15="",INDEX(orderHistory[order_type],SMALL(IF(ISNUMBER(MATCH(orderHistory[status],$D$11,0)*MATCH(orderHistory[order_type],$D$13,0)),MATCH(ROW(orderHistory[customer]),ROW(orderHistory[customer])),""),ROWS($A$15:A29)+$B$3)),INDEX(orderHistory[order_typ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type],SMALL(IF(ISNUMBER(MATCH(orderHistory[customer],$D$9,0)),MATCH(ROW(orderHistory[customer]),ROW(orderHistory[customer])),""),ROWS($A$15:A29)+$B$3)),INDEX(orderHistory[order_type],SMALL(IF(ISNUMBER(MATCH(orderHistory[customer],$D$9,0)*MATCH(YEAR(orderHistory[invoice_date]),$D$15,0)),MATCH(ROW(orderHistory[customer]),ROW(orderHistory[customer])),""),ROWS($A$15:A29)+$B$3))),IF($D$15="",INDEX(orderHistory[order_type],SMALL(IF(ISNUMBER(MATCH(orderHistory[customer],$D$9,0)*MATCH(orderHistory[order_type],$D$13,0)),MATCH(ROW(orderHistory[customer]),ROW(orderHistory[customer])),""),ROWS($A$15:A29)+$B$3)),INDEX(orderHistory[order_typ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type],SMALL(IF(ISNUMBER(MATCH(orderHistory[customer],$D$9,0)*MATCH(orderHistory[status],$D$11,0)),MATCH(ROW(orderHistory[customer]),ROW(orderHistory[customer])),""),ROWS($A$15:A29)+$B$3)),INDEX(orderHistory[order_type],SMALL(IF(ISNUMBER(MATCH(orderHistory[customer],$D$9,0)*MATCH(orderHistory[status],$D$11,0)*MATCH(YEAR(orderHistory[invoice_date]),$D$15,0)),MATCH(ROW(orderHistory[customer]),ROW(orderHistory[customer])),""),ROWS($A$15:A29)+$B$3))),IF($D$15="",INDEX(orderHistory[order_type],SMALL(IF(ISNUMBER(MATCH(orderHistory[customer],$D$9,0)*MATCH(orderHistory[status],$D$11,0)*MATCH(orderHistory[order_type],$D$13,0)),MATCH(ROW(orderHistory[customer]),ROW(orderHistory[customer])),""),ROWS($A$15:A29)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O24" s="542" t="str">
        <f t="array" ref="O24">IFERROR(IF($D$9="",IF($D$11="",IF($D$13="",IF($D$15="",INDEX(orderHistory[order_date],SMALL(MATCH(ROW(orderHistory[customer]),ROW(orderHistory[customer])),ROWS($A$15:A29)+$B$3)),INDEX(orderHistory[order_date],SMALL(IF(ISNUMBER(MATCH(YEAR(orderHistory[invoice_date]),$D$15,0)),MATCH(ROW(orderHistory[customer]),ROW(orderHistory[customer])),""),ROWS($A$15:A29)+$B$3))),IF($D$15="",INDEX(orderHistory[order_date],SMALL(IF(ISNUMBER(MATCH(orderHistory[order_type],$D$13,0)),MATCH(ROW(orderHistory[customer]),ROW(orderHistory[customer])),""),ROWS($A$15:A29)+$B$3)),INDEX(orderHistory[order_date],SMALL(IF(ISNUMBER(MATCH(orderHistory[order_type],$D$13,0)*MATCH(YEAR(orderHistory[invoice_date]),$D$15,0)),MATCH(ROW(orderHistory[customer]),ROW(orderHistory[customer])),""),ROWS($A$15:A29)+$B$3)))),IF($D$13="",IF($D$15="",INDEX(orderHistory[order_date],SMALL(IF(ISNUMBER(MATCH(orderHistory[status],$D$11,0)),MATCH(ROW(orderHistory[customer]),ROW(orderHistory[customer])),""),ROWS($A$15:A29)+$B$3)),INDEX(orderHistory[order_date],SMALL(IF(ISNUMBER(MATCH(orderHistory[status],$D$11,0)*MATCH(YEAR(orderHistory[invoice_date]),$D$15,0)),MATCH(ROW(orderHistory[customer]),ROW(orderHistory[customer])),""),ROWS($A$15:A29)+$B$3))),IF($D$15="",INDEX(orderHistory[order_date],SMALL(IF(ISNUMBER(MATCH(orderHistory[status],$D$11,0)*MATCH(orderHistory[order_type],$D$13,0)),MATCH(ROW(orderHistory[customer]),ROW(orderHistory[customer])),""),ROWS($A$15:A29)+$B$3)),INDEX(orderHistory[order_dat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date],SMALL(IF(ISNUMBER(MATCH(orderHistory[customer],$D$9,0)),MATCH(ROW(orderHistory[customer]),ROW(orderHistory[customer])),""),ROWS($A$15:A29)+$B$3)),INDEX(orderHistory[order_date],SMALL(IF(ISNUMBER(MATCH(orderHistory[customer],$D$9,0)*MATCH(YEAR(orderHistory[invoice_date]),$D$15,0)),MATCH(ROW(orderHistory[customer]),ROW(orderHistory[customer])),""),ROWS($A$15:A29)+$B$3))),IF($D$15="",INDEX(orderHistory[order_date],SMALL(IF(ISNUMBER(MATCH(orderHistory[customer],$D$9,0)*MATCH(orderHistory[order_type],$D$13,0)),MATCH(ROW(orderHistory[customer]),ROW(orderHistory[customer])),""),ROWS($A$15:A29)+$B$3)),INDEX(orderHistory[order_dat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date],SMALL(IF(ISNUMBER(MATCH(orderHistory[customer],$D$9,0)*MATCH(orderHistory[status],$D$11,0)),MATCH(ROW(orderHistory[customer]),ROW(orderHistory[customer])),""),ROWS($A$15:A29)+$B$3)),INDEX(orderHistory[order_date],SMALL(IF(ISNUMBER(MATCH(orderHistory[customer],$D$9,0)*MATCH(orderHistory[status],$D$11,0)*MATCH(YEAR(orderHistory[invoice_date]),$D$15,0)),MATCH(ROW(orderHistory[customer]),ROW(orderHistory[customer])),""),ROWS($A$15:A29)+$B$3))),IF($D$15="",INDEX(orderHistory[order_date],SMALL(IF(ISNUMBER(MATCH(orderHistory[customer],$D$9,0)*MATCH(orderHistory[status],$D$11,0)*MATCH(orderHistory[order_type],$D$13,0)),MATCH(ROW(orderHistory[customer]),ROW(orderHistory[customer])),""),ROWS($A$15:A29)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P24" s="543" t="str">
        <f t="array" ref="P24">IFERROR(IF($D$9="",IF($D$11="",IF($D$13="",IF($D$15="",INDEX(orderHistory[invoice_no],SMALL(MATCH(ROW(orderHistory[customer]),ROW(orderHistory[customer])),ROWS($A$15:A29)+$B$3)),INDEX(orderHistory[invoice_no],SMALL(IF(ISNUMBER(MATCH(YEAR(orderHistory[invoice_date]),$D$15,0)),MATCH(ROW(orderHistory[customer]),ROW(orderHistory[customer])),""),ROWS($A$15:A29)+$B$3))),IF($D$15="",INDEX(orderHistory[invoice_no],SMALL(IF(ISNUMBER(MATCH(orderHistory[order_type],$D$13,0)),MATCH(ROW(orderHistory[customer]),ROW(orderHistory[customer])),""),ROWS($A$15:A29)+$B$3)),INDEX(orderHistory[invoice_no],SMALL(IF(ISNUMBER(MATCH(orderHistory[order_type],$D$13,0)*MATCH(YEAR(orderHistory[invoice_date]),$D$15,0)),MATCH(ROW(orderHistory[customer]),ROW(orderHistory[customer])),""),ROWS($A$15:A29)+$B$3)))),IF($D$13="",IF($D$15="",INDEX(orderHistory[invoice_no],SMALL(IF(ISNUMBER(MATCH(orderHistory[status],$D$11,0)),MATCH(ROW(orderHistory[customer]),ROW(orderHistory[customer])),""),ROWS($A$15:A29)+$B$3)),INDEX(orderHistory[invoice_no],SMALL(IF(ISNUMBER(MATCH(orderHistory[status],$D$11,0)*MATCH(YEAR(orderHistory[invoice_date]),$D$15,0)),MATCH(ROW(orderHistory[customer]),ROW(orderHistory[customer])),""),ROWS($A$15:A29)+$B$3))),IF($D$15="",INDEX(orderHistory[invoice_no],SMALL(IF(ISNUMBER(MATCH(orderHistory[status],$D$11,0)*MATCH(orderHistory[order_type],$D$13,0)),MATCH(ROW(orderHistory[customer]),ROW(orderHistory[customer])),""),ROWS($A$15:A29)+$B$3)),INDEX(orderHistory[invoice_no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oice_no],SMALL(IF(ISNUMBER(MATCH(orderHistory[customer],$D$9,0)),MATCH(ROW(orderHistory[customer]),ROW(orderHistory[customer])),""),ROWS($A$15:A29)+$B$3)),INDEX(orderHistory[invoice_no],SMALL(IF(ISNUMBER(MATCH(orderHistory[customer],$D$9,0)*MATCH(YEAR(orderHistory[invoice_date]),$D$15,0)),MATCH(ROW(orderHistory[customer]),ROW(orderHistory[customer])),""),ROWS($A$15:A29)+$B$3))),IF($D$15="",INDEX(orderHistory[invoice_no],SMALL(IF(ISNUMBER(MATCH(orderHistory[customer],$D$9,0)*MATCH(orderHistory[order_type],$D$13,0)),MATCH(ROW(orderHistory[customer]),ROW(orderHistory[customer])),""),ROWS($A$15:A29)+$B$3)),INDEX(orderHistory[invoice_no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YEAR(orderHistory[invoice_date]),$D$15,0)),MATCH(ROW(orderHistory[customer]),ROW(orderHistory[customer])),""),ROWS($A$15:A29)+$B$3))),IF($D$15="",INDEX(orderHistory[invoice_no],SMALL(IF(ISNUMBER(MATCH(orderHistory[customer],$D$9,0)*MATCH(orderHistory[status],$D$11,0)*MATCH(orderHistory[order_type],$D$13,0)),MATCH(ROW(orderHistory[customer]),ROW(orderHistory[customer])),""),ROWS($A$15:A29)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Q24" s="544" t="str">
        <f t="array" ref="Q24">IFERROR(IF($D$9="",IF($D$11="",IF($D$13="",IF($D$15="",INDEX(orderHistory[invoice_date],SMALL(MATCH(ROW(orderHistory[customer]),ROW(orderHistory[customer])),ROWS($A$15:A29)+$B$3)),INDEX(orderHistory[invoice_date],SMALL(IF(ISNUMBER(MATCH(YEAR(orderHistory[invoice_date]),$D$15,0)),MATCH(ROW(orderHistory[customer]),ROW(orderHistory[customer])),""),ROWS($A$15:A29)+$B$3))),IF($D$15="",INDEX(orderHistory[invoice_date],SMALL(IF(ISNUMBER(MATCH(orderHistory[order_type],$D$13,0)),MATCH(ROW(orderHistory[customer]),ROW(orderHistory[customer])),""),ROWS($A$15:A29)+$B$3)),INDEX(orderHistory[invoice_date],SMALL(IF(ISNUMBER(MATCH(orderHistory[order_type],$D$13,0)*MATCH(YEAR(orderHistory[invoice_date]),$D$15,0)),MATCH(ROW(orderHistory[customer]),ROW(orderHistory[customer])),""),ROWS($A$15:A29)+$B$3)))),IF($D$13="",IF($D$15="",INDEX(orderHistory[invoice_date],SMALL(IF(ISNUMBER(MATCH(orderHistory[status],$D$11,0)),MATCH(ROW(orderHistory[customer]),ROW(orderHistory[customer])),""),ROWS($A$15:A29)+$B$3)),INDEX(orderHistory[invoice_date],SMALL(IF(ISNUMBER(MATCH(orderHistory[status],$D$11,0)*MATCH(YEAR(orderHistory[invoice_date]),$D$15,0)),MATCH(ROW(orderHistory[customer]),ROW(orderHistory[customer])),""),ROWS($A$15:A29)+$B$3))),IF($D$15="",INDEX(orderHistory[invoice_date],SMALL(IF(ISNUMBER(MATCH(orderHistory[status],$D$11,0)*MATCH(orderHistory[order_type],$D$13,0)),MATCH(ROW(orderHistory[customer]),ROW(orderHistory[customer])),""),ROWS($A$15:A29)+$B$3)),INDEX(orderHistory[invoice_dat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oice_date],SMALL(IF(ISNUMBER(MATCH(orderHistory[customer],$D$9,0)),MATCH(ROW(orderHistory[customer]),ROW(orderHistory[customer])),""),ROWS($A$15:A29)+$B$3)),INDEX(orderHistory[invoice_date],SMALL(IF(ISNUMBER(MATCH(orderHistory[customer],$D$9,0)*MATCH(YEAR(orderHistory[invoice_date]),$D$15,0)),MATCH(ROW(orderHistory[customer]),ROW(orderHistory[customer])),""),ROWS($A$15:A29)+$B$3))),IF($D$15="",INDEX(orderHistory[invoice_date],SMALL(IF(ISNUMBER(MATCH(orderHistory[customer],$D$9,0)*MATCH(orderHistory[order_type],$D$13,0)),MATCH(ROW(orderHistory[customer]),ROW(orderHistory[customer])),""),ROWS($A$15:A29)+$B$3)),INDEX(orderHistory[invoice_dat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YEAR(orderHistory[invoice_date]),$D$15,0)),MATCH(ROW(orderHistory[customer]),ROW(orderHistory[customer])),""),ROWS($A$15:A29)+$B$3))),IF($D$15="",INDEX(orderHistory[invoice_date],SMALL(IF(ISNUMBER(MATCH(orderHistory[customer],$D$9,0)*MATCH(orderHistory[status],$D$11,0)*MATCH(orderHistory[order_type],$D$13,0)),MATCH(ROW(orderHistory[customer]),ROW(orderHistory[customer])),""),ROWS($A$15:A29)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R24" s="545" t="str">
        <f t="array" ref="R24">IFERROR(IF($D$9="",IF($D$11="",IF($D$13="",IF($D$15="",INDEX(orderHistory[inv_amount],SMALL(MATCH(ROW(orderHistory[customer]),ROW(orderHistory[customer])),ROWS($A$15:A29)+$B$3)),INDEX(orderHistory[inv_amount],SMALL(IF(ISNUMBER(MATCH(YEAR(orderHistory[invoice_date]),$D$15,0)),MATCH(ROW(orderHistory[customer]),ROW(orderHistory[customer])),""),ROWS($A$15:A29)+$B$3))),IF($D$15="",INDEX(orderHistory[inv_amount],SMALL(IF(ISNUMBER(MATCH(orderHistory[order_type],$D$13,0)),MATCH(ROW(orderHistory[customer]),ROW(orderHistory[customer])),""),ROWS($A$15:A29)+$B$3)),INDEX(orderHistory[inv_amount],SMALL(IF(ISNUMBER(MATCH(orderHistory[order_type],$D$13,0)*MATCH(YEAR(orderHistory[invoice_date]),$D$15,0)),MATCH(ROW(orderHistory[customer]),ROW(orderHistory[customer])),""),ROWS($A$15:A29)+$B$3)))),IF($D$13="",IF($D$15="",INDEX(orderHistory[inv_amount],SMALL(IF(ISNUMBER(MATCH(orderHistory[status],$D$11,0)),MATCH(ROW(orderHistory[customer]),ROW(orderHistory[customer])),""),ROWS($A$15:A29)+$B$3)),INDEX(orderHistory[inv_amount],SMALL(IF(ISNUMBER(MATCH(orderHistory[status],$D$11,0)*MATCH(YEAR(orderHistory[invoice_date]),$D$15,0)),MATCH(ROW(orderHistory[customer]),ROW(orderHistory[customer])),""),ROWS($A$15:A29)+$B$3))),IF($D$15="",INDEX(orderHistory[inv_amount],SMALL(IF(ISNUMBER(MATCH(orderHistory[status],$D$11,0)*MATCH(orderHistory[order_type],$D$13,0)),MATCH(ROW(orderHistory[customer]),ROW(orderHistory[customer])),""),ROWS($A$15:A29)+$B$3)),INDEX(orderHistory[inv_amount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_amount],SMALL(IF(ISNUMBER(MATCH(orderHistory[customer],$D$9,0)),MATCH(ROW(orderHistory[customer]),ROW(orderHistory[customer])),""),ROWS($A$15:A29)+$B$3)),INDEX(orderHistory[inv_amount],SMALL(IF(ISNUMBER(MATCH(orderHistory[customer],$D$9,0)*MATCH(YEAR(orderHistory[invoice_date]),$D$15,0)),MATCH(ROW(orderHistory[customer]),ROW(orderHistory[customer])),""),ROWS($A$15:A29)+$B$3))),IF($D$15="",INDEX(orderHistory[inv_amount],SMALL(IF(ISNUMBER(MATCH(orderHistory[customer],$D$9,0)*MATCH(orderHistory[order_type],$D$13,0)),MATCH(ROW(orderHistory[customer]),ROW(orderHistory[customer])),""),ROWS($A$15:A29)+$B$3)),INDEX(orderHistory[inv_amount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_amount],SMALL(IF(ISNUMBER(MATCH(orderHistory[customer],$D$9,0)*MATCH(orderHistory[status],$D$11,0)),MATCH(ROW(orderHistory[customer]),ROW(orderHistory[customer])),""),ROWS($A$15:A29)+$B$3)),INDEX(orderHistory[inv_amount],SMALL(IF(ISNUMBER(MATCH(orderHistory[customer],$D$9,0)*MATCH(orderHistory[status],$D$11,0)*MATCH(YEAR(orderHistory[inv_amount]),$D$15,0)),MATCH(ROW(orderHistory[customer]),ROW(orderHistory[customer])),""),ROWS($A$15:A29)+$B$3))),IF($D$15="",INDEX(orderHistory[inv_amount],SMALL(IF(ISNUMBER(MATCH(orderHistory[customer],$D$9,0)*MATCH(orderHistory[status],$D$11,0)*MATCH(orderHistory[order_type],$D$13,0)),MATCH(ROW(orderHistory[customer]),ROW(orderHistory[customer])),""),ROWS($A$15:A29)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S24" s="546" t="str">
        <f t="shared" si="2"/>
        <v/>
      </c>
      <c r="T24" s="547" t="str">
        <f t="array" ref="T24">IFERROR(IF($D$9="",IF($D$11="",IF($D$13="",IF($D$15="",INDEX(orderHistory[payed],SMALL(MATCH(ROW(orderHistory[customer]),ROW(orderHistory[customer])),ROWS($A$15:A29)+$B$3)),INDEX(orderHistory[payed],SMALL(IF(ISNUMBER(MATCH(YEAR(orderHistory[invoice_date]),$D$15,0)),MATCH(ROW(orderHistory[customer]),ROW(orderHistory[customer])),""),ROWS($A$15:A29)+$B$3))),IF($D$15="",INDEX(orderHistory[payed],SMALL(IF(ISNUMBER(MATCH(orderHistory[order_type],$D$13,0)),MATCH(ROW(orderHistory[customer]),ROW(orderHistory[customer])),""),ROWS($A$15:A29)+$B$3)),INDEX(orderHistory[payed],SMALL(IF(ISNUMBER(MATCH(orderHistory[order_type],$D$13,0)*MATCH(YEAR(orderHistory[invoice_date]),$D$15,0)),MATCH(ROW(orderHistory[customer]),ROW(orderHistory[customer])),""),ROWS($A$15:A29)+$B$3)))),IF($D$13="",IF($D$15="",INDEX(orderHistory[payed],SMALL(IF(ISNUMBER(MATCH(orderHistory[status],$D$11,0)),MATCH(ROW(orderHistory[customer]),ROW(orderHistory[customer])),""),ROWS($A$15:A29)+$B$3)),INDEX(orderHistory[payed],SMALL(IF(ISNUMBER(MATCH(orderHistory[status],$D$11,0)*MATCH(YEAR(orderHistory[invoice_date]),$D$15,0)),MATCH(ROW(orderHistory[customer]),ROW(orderHistory[customer])),""),ROWS($A$15:A29)+$B$3))),IF($D$15="",INDEX(orderHistory[payed],SMALL(IF(ISNUMBER(MATCH(orderHistory[status],$D$11,0)*MATCH(orderHistory[order_type],$D$13,0)),MATCH(ROW(orderHistory[customer]),ROW(orderHistory[customer])),""),ROWS($A$15:A29)+$B$3)),INDEX(orderHistory[payed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payed],SMALL(IF(ISNUMBER(MATCH(orderHistory[customer],$D$9,0)),MATCH(ROW(orderHistory[customer]),ROW(orderHistory[customer])),""),ROWS($A$15:A29)+$B$3)),INDEX(orderHistory[payed],SMALL(IF(ISNUMBER(MATCH(orderHistory[customer],$D$9,0)*MATCH(YEAR(orderHistory[invoice_date]),$D$15,0)),MATCH(ROW(orderHistory[customer]),ROW(orderHistory[customer])),""),ROWS($A$15:A29)+$B$3))),IF($D$15="",INDEX(orderHistory[payed],SMALL(IF(ISNUMBER(MATCH(orderHistory[customer],$D$9,0)*MATCH(orderHistory[order_type],$D$13,0)),MATCH(ROW(orderHistory[customer]),ROW(orderHistory[customer])),""),ROWS($A$15:A29)+$B$3)),INDEX(orderHistory[payed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payed],SMALL(IF(ISNUMBER(MATCH(orderHistory[customer],$D$9,0)*MATCH(orderHistory[status],$D$11,0)),MATCH(ROW(orderHistory[customer]),ROW(orderHistory[customer])),""),ROWS($A$15:A29)+$B$3)),INDEX(orderHistory[payed],SMALL(IF(ISNUMBER(MATCH(orderHistory[customer],$D$9,0)*MATCH(orderHistory[status],$D$11,0)*MATCH(YEAR(orderHistory[payed]),$D$15,0)),MATCH(ROW(orderHistory[customer]),ROW(orderHistory[customer])),""),ROWS($A$15:A29)+$B$3))),IF($D$15="",INDEX(orderHistory[payed],SMALL(IF(ISNUMBER(MATCH(orderHistory[customer],$D$9,0)*MATCH(orderHistory[status],$D$11,0)*MATCH(orderHistory[order_type],$D$13,0)),MATCH(ROW(orderHistory[customer]),ROW(orderHistory[customer])),""),ROWS($A$15:A29)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U24" s="541" t="str">
        <f t="array" ref="U24">IFERROR(IF($D$9="",IF($D$11="",IF($D$13="",IF($D$15="",INDEX(orderHistory[shipping_method],SMALL(MATCH(ROW(orderHistory[customer]),ROW(orderHistory[customer])),ROWS($A$15:A29)+$B$3)),INDEX(orderHistory[shipping_method],SMALL(IF(ISNUMBER(MATCH(YEAR(orderHistory[invoice_date]),$D$15,0)),MATCH(ROW(orderHistory[customer]),ROW(orderHistory[customer])),""),ROWS($A$15:A29)+$B$3))),IF($D$15="",INDEX(orderHistory[shipping_method],SMALL(IF(ISNUMBER(MATCH(orderHistory[order_type],$D$13,0)),MATCH(ROW(orderHistory[customer]),ROW(orderHistory[customer])),""),ROWS($A$15:A29)+$B$3)),INDEX(orderHistory[shipping_method],SMALL(IF(ISNUMBER(MATCH(orderHistory[order_type],$D$13,0)*MATCH(YEAR(orderHistory[invoice_date]),$D$15,0)),MATCH(ROW(orderHistory[customer]),ROW(orderHistory[customer])),""),ROWS($A$15:A29)+$B$3)))),IF($D$13="",IF($D$15="",INDEX(orderHistory[shipping_method],SMALL(IF(ISNUMBER(MATCH(orderHistory[status],$D$11,0)),MATCH(ROW(orderHistory[customer]),ROW(orderHistory[customer])),""),ROWS($A$15:A29)+$B$3)),INDEX(orderHistory[shipping_method],SMALL(IF(ISNUMBER(MATCH(orderHistory[status],$D$11,0)*MATCH(YEAR(orderHistory[invoice_date]),$D$15,0)),MATCH(ROW(orderHistory[customer]),ROW(orderHistory[customer])),""),ROWS($A$15:A29)+$B$3))),IF($D$15="",INDEX(orderHistory[shipping_method],SMALL(IF(ISNUMBER(MATCH(orderHistory[status],$D$11,0)*MATCH(orderHistory[order_type],$D$13,0)),MATCH(ROW(orderHistory[customer]),ROW(orderHistory[customer])),""),ROWS($A$15:A29)+$B$3)),INDEX(orderHistory[shipping_method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shipping_method],SMALL(IF(ISNUMBER(MATCH(orderHistory[customer],$D$9,0)),MATCH(ROW(orderHistory[customer]),ROW(orderHistory[customer])),""),ROWS($A$15:A29)+$B$3)),INDEX(orderHistory[shipping_method],SMALL(IF(ISNUMBER(MATCH(orderHistory[customer],$D$9,0)*MATCH(YEAR(orderHistory[invoice_date]),$D$15,0)),MATCH(ROW(orderHistory[customer]),ROW(orderHistory[customer])),""),ROWS($A$15:A29)+$B$3))),IF($D$15="",INDEX(orderHistory[shipping_method],SMALL(IF(ISNUMBER(MATCH(orderHistory[customer],$D$9,0)*MATCH(orderHistory[order_type],$D$13,0)),MATCH(ROW(orderHistory[customer]),ROW(orderHistory[customer])),""),ROWS($A$15:A29)+$B$3)),INDEX(orderHistory[shipping_method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shipping_method],SMALL(IF(ISNUMBER(MATCH(orderHistory[customer],$D$9,0)*MATCH(orderHistory[status],$D$11,0)),MATCH(ROW(orderHistory[customer]),ROW(orderHistory[customer])),""),ROWS($A$15:A29)+$B$3)),INDEX(orderHistory[shipping_method],SMALL(IF(ISNUMBER(MATCH(orderHistory[customer],$D$9,0)*MATCH(orderHistory[status],$D$11,0)*MATCH(YEAR(orderHistory[shipping_method]),$D$15,0)),MATCH(ROW(orderHistory[customer]),ROW(orderHistory[customer])),""),ROWS($A$15:A29)+$B$3))),IF($D$15="",INDEX(orderHistory[shipping_method],SMALL(IF(ISNUMBER(MATCH(orderHistory[customer],$D$9,0)*MATCH(orderHistory[status],$D$11,0)*MATCH(orderHistory[order_type],$D$13,0)),MATCH(ROW(orderHistory[customer]),ROW(orderHistory[customer])),""),ROWS($A$15:A29)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V24" s="548" t="str">
        <f t="array" ref="V24">IFERROR(IF($D$9="",IF($D$11="",IF($D$13="",IF($D$15="",INDEX(orderHistory[status],SMALL(MATCH(ROW(orderHistory[customer]),ROW(orderHistory[customer])),ROWS($A$15:A29)+$B$3)),INDEX(orderHistory[status],SMALL(IF(ISNUMBER(MATCH(YEAR(orderHistory[invoice_date]),$D$15,0)),MATCH(ROW(orderHistory[customer]),ROW(orderHistory[customer])),""),ROWS($A$15:A29)+$B$3))),IF($D$15="",INDEX(orderHistory[status],SMALL(IF(ISNUMBER(MATCH(orderHistory[order_type],$D$13,0)),MATCH(ROW(orderHistory[customer]),ROW(orderHistory[customer])),""),ROWS($A$15:A29)+$B$3)),INDEX(orderHistory[status],SMALL(IF(ISNUMBER(MATCH(orderHistory[order_type],$D$13,0)*MATCH(YEAR(orderHistory[invoice_date]),$D$15,0)),MATCH(ROW(orderHistory[customer]),ROW(orderHistory[customer])),""),ROWS($A$15:A29)+$B$3)))),IF($D$13="",IF($D$15="",INDEX(orderHistory[status],SMALL(IF(ISNUMBER(MATCH(orderHistory[status],$D$11,0)),MATCH(ROW(orderHistory[customer]),ROW(orderHistory[customer])),""),ROWS($A$15:A29)+$B$3)),INDEX(orderHistory[status],SMALL(IF(ISNUMBER(MATCH(orderHistory[status],$D$11,0)*MATCH(YEAR(orderHistory[invoice_date]),$D$15,0)),MATCH(ROW(orderHistory[customer]),ROW(orderHistory[customer])),""),ROWS($A$15:A29)+$B$3))),IF($D$15="",INDEX(orderHistory[status],SMALL(IF(ISNUMBER(MATCH(orderHistory[status],$D$11,0)*MATCH(orderHistory[order_type],$D$13,0)),MATCH(ROW(orderHistory[customer]),ROW(orderHistory[customer])),""),ROWS($A$15:A29)+$B$3)),INDEX(orderHistory[status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status],SMALL(IF(ISNUMBER(MATCH(orderHistory[customer],$D$9,0)),MATCH(ROW(orderHistory[customer]),ROW(orderHistory[customer])),""),ROWS($A$15:A29)+$B$3)),INDEX(orderHistory[status],SMALL(IF(ISNUMBER(MATCH(orderHistory[customer],$D$9,0)*MATCH(YEAR(orderHistory[invoice_date]),$D$15,0)),MATCH(ROW(orderHistory[customer]),ROW(orderHistory[customer])),""),ROWS($A$15:A29)+$B$3))),IF($D$15="",INDEX(orderHistory[status],SMALL(IF(ISNUMBER(MATCH(orderHistory[customer],$D$9,0)*MATCH(orderHistory[order_type],$D$13,0)),MATCH(ROW(orderHistory[customer]),ROW(orderHistory[customer])),""),ROWS($A$15:A29)+$B$3)),INDEX(orderHistory[status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status],SMALL(IF(ISNUMBER(MATCH(orderHistory[customer],$D$9,0)*MATCH(orderHistory[status],$D$11,0)),MATCH(ROW(orderHistory[customer]),ROW(orderHistory[customer])),""),ROWS($A$15:A29)+$B$3)),INDEX(orderHistory[status],SMALL(IF(ISNUMBER(MATCH(orderHistory[customer],$D$9,0)*MATCH(orderHistory[status],$D$11,0)*MATCH(YEAR(orderHistory[status]),$D$15,0)),MATCH(ROW(orderHistory[customer]),ROW(orderHistory[customer])),""),ROWS($A$15:A29)+$B$3))),IF($D$15="",INDEX(orderHistory[status],SMALL(IF(ISNUMBER(MATCH(orderHistory[customer],$D$9,0)*MATCH(orderHistory[status],$D$11,0)*MATCH(orderHistory[order_type],$D$13,0)),MATCH(ROW(orderHistory[customer]),ROW(orderHistory[customer])),""),ROWS($A$15:A29)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W24" s="107"/>
      <c r="AQ24" s="491"/>
      <c r="AT24" s="466"/>
      <c r="AU24" s="492"/>
      <c r="AV24" s="466"/>
      <c r="AW24" s="482"/>
      <c r="AX24" s="493"/>
      <c r="AY24" s="428"/>
      <c r="AZ24" s="428"/>
      <c r="BA24" s="428"/>
      <c r="BB24" s="428"/>
      <c r="BC24" s="428"/>
      <c r="BD24" s="428"/>
      <c r="BE24" s="428"/>
      <c r="BF24" s="428"/>
      <c r="BG24" s="483"/>
      <c r="BH24" s="428"/>
      <c r="BI24" s="428"/>
      <c r="BJ24" s="429"/>
      <c r="BK24" s="450"/>
      <c r="BL24" s="451"/>
      <c r="BM24" s="452"/>
      <c r="BN24" s="451"/>
      <c r="BO24" s="452"/>
      <c r="BX24" s="518"/>
      <c r="BZ24" s="167"/>
      <c r="CA24" s="154" t="str">
        <f>IF(BZ24="","",INDEX(bhpc_data[description],MATCH(BZ24,bhpc_data[sku],0)))</f>
        <v/>
      </c>
      <c r="CB24" s="166"/>
      <c r="CC24" s="358"/>
      <c r="CD24" s="160"/>
      <c r="CE24" s="360"/>
      <c r="CF24" s="161"/>
      <c r="CG24" s="164" t="str">
        <f>IFERROR(ROUNDUP(CB24/INDEX(bhpc_data[units_per_carton],MATCH(BZ24,bhpc_data[sku],0)),0),"")</f>
        <v/>
      </c>
      <c r="CH24" s="165" t="str">
        <f>IFERROR(ROUNDUP(CD24/INDEX(bhpc_data[units_per_carton],MATCH(BZ24,bhpc_data[sku],0)),0),"")</f>
        <v/>
      </c>
      <c r="CI24" s="165" t="str">
        <f>IFERROR(ROUNDUP(CF24/INDEX(bhpc_data[units_per_carton],MATCH(BZ24,bhpc_data[sku])),0),"")</f>
        <v/>
      </c>
      <c r="CJ24" s="165" t="str">
        <f>IFERROR(((CB24+CD24+CF24)/INDEX(bhpc_data[units_per_carton],MATCH(BZ24,bhpc_data[sku],0)))*INDEX(bhpc_data[net_weight],MATCH(BZ24,bhpc_data[sku],0)),"")</f>
        <v/>
      </c>
      <c r="CK24" s="165" t="str">
        <f>IFERROR(((CB24+CD24+CF24)/INDEX(bhpc_data[units_per_carton],MATCH(BZ24,bhpc_data[sku],0)))*INDEX(bhpc_data[gross_weight],MATCH(BZ24,bhpc_data[sku],0)),"")</f>
        <v/>
      </c>
      <c r="CL24" s="180" t="str">
        <f>IFERROR((CB24+CD24+CF24)/INDEX(bhpc_data[units_per_carton],MATCH(BZ24,bhpc_data[sku],0))*INDEX(bhpc_data[lenght],MATCH(BZ24,bhpc_data[sku],0))*INDEX(bhpc_data[width],MATCH(BZ24,bhpc_data[sku],0))*INDEX(bhpc_data[height],MATCH(BZ24,bhpc_data[sku],0))/1000000000,"")</f>
        <v/>
      </c>
      <c r="CM24" s="189" t="str">
        <f>IFERROR(INDEX(bhpc_data[category],MATCH(BZ24,bhpc_data[sku],0)),"")</f>
        <v/>
      </c>
      <c r="CN24" s="189" t="str">
        <f>IFERROR(INDEX(bhpc_data[size1],MATCH(BZ24,bhpc_data[sku],0)),"")</f>
        <v/>
      </c>
      <c r="CO24" s="388" t="str">
        <f>IFERROR(INDEX(bhpc_data[hs_code],MATCH(BZ24,bhpc_data[sku],0)),"")</f>
        <v/>
      </c>
      <c r="CP24" s="377" t="str">
        <f>IFERROR(INDEX(inventory[ESISTENZA],MATCH(BZ24,inventory[ARTICOLO],0)),"")</f>
        <v/>
      </c>
      <c r="CQ24" s="367" t="str">
        <f>IFERROR(IF(BZ24="","",IF($BX$15="SALE",INDEX(inventory[COSTO UNITARIO],MATCH(BZ24,inventory[ARTICOLO],0)),IF($BX$15="SAMPLING",INDEX(inventory[COSTO UNITARIO],MATCH(BZ24,inventory[ARTICOLO],0)),""))),"")</f>
        <v/>
      </c>
      <c r="CR24" s="368" t="str">
        <f t="shared" si="0"/>
        <v/>
      </c>
      <c r="CS24" s="264" t="str">
        <f t="shared" si="1"/>
        <v/>
      </c>
      <c r="CU24" s="85"/>
      <c r="CV24" s="118" t="s">
        <v>616</v>
      </c>
      <c r="CW24" s="356">
        <f>SUM(CJ10:CJ109)</f>
        <v>18.96</v>
      </c>
      <c r="CX24" s="89" t="s">
        <v>23</v>
      </c>
      <c r="CY24" s="286">
        <f>SUM(productsCbm)</f>
        <v>3.5062500000000003E-2</v>
      </c>
      <c r="CZ24" s="82"/>
      <c r="DA24" s="432" t="str">
        <f>IFERROR(VLOOKUP(BZ24,bhpc_data[],22,FALSE),"")</f>
        <v/>
      </c>
      <c r="DH24" s="296"/>
      <c r="EE24" s="202" t="str" cm="1">
        <f t="array" ref="EE24">IFERROR(IF($EC$9="",IF($EC$11="",IF($EC$13="",INDEX(bhpc_data[sku],SMALL(MATCH(ROW(bhpc_data[sku]),ROW(bhpc_data[sku])),ROWS($A$15:A29)+$B$3)),INDEX(bhpc_data[sku],SMALL(IF(ISNUMBER(MATCH(bhpc_data[size1],$EC$13,0)),MATCH(ROW(bhpc_data[sku]),ROW(bhpc_data[sku])),""),ROWS($A$15:A29)+$B$3))),IF($EC$13="",INDEX(bhpc_data[sku],SMALL(IF(ISNUMBER(MATCH(bhpc_data[sex],$EC$11,0)),MATCH(ROW(bhpc_data[sku]),ROW(bhpc_data[sku])),""),ROWS($A$15:A29)+$B$3)),INDEX(bhpc_data[sku],SMALL(IF(ISNUMBER(MATCH(bhpc_data[sex],$EC$11,0)*MATCH(bhpc_data[size1],$EC$13,0)),MATCH(ROW(bhpc_data[sku]),ROW(bhpc_data[sku])),""),ROWS($A$15:A29)+$B$3)))),IF($EC$11="",IF($EC$13="",INDEX(bhpc_data[sku],SMALL(IF(ISNUMBER(MATCH(bhpc_data[category],$EC$9,0)),MATCH(ROW(bhpc_data[sku]),ROW(bhpc_data[sku])),""),ROWS($A$15:A29)+$B$3)),INDEX(bhpc_data[sku],SMALL(IF(ISNUMBER(MATCH(bhpc_data[category],$EC$9,0)*MATCH(bhpc_data[size1],$EC$13,0)),MATCH(ROW(bhpc_data[sku]),ROW(bhpc_data[sku])),""),ROWS($A$15:A29)+$B$3))),IF($EC$13="",INDEX(bhpc_data[sku],SMALL(IF(ISNUMBER(MATCH(bhpc_data[category],$EC$9,0)*MATCH(bhpc_data[sex],$EC$11,0)),MATCH(ROW(bhpc_data[sku]),ROW(bhpc_data[sku])),""),ROWS($A$15:A29)+$B$3)),INDEX(bhpc_data[sku],SMALL(IF(ISNUMBER(MATCH(bhpc_data[category],$EC$9,0)*MATCH(bhpc_data[sex],$EC$11,0)*MATCH(bhpc_data[size1],$EC$13,0)),MATCH(ROW(bhpc_data[sku]),ROW(bhpc_data[sku])),""),ROWS($A$15:A29)+$B$3))))),"")</f>
        <v>GS5052</v>
      </c>
      <c r="EF24" s="198" t="str" cm="1">
        <f t="array" ref="EF24">IFERROR(IF($EC$9="",IF($EC$11="",IF($EC$13="",INDEX(bhpc_data[description],SMALL(MATCH(ROW(bhpc_data[sku]),ROW(bhpc_data[sku])),ROWS($A$15:A29)+$B$3)),INDEX(bhpc_data[description],SMALL(IF(ISNUMBER(MATCH(bhpc_data[size1],$EC$13,0)),MATCH(ROW(bhpc_data[sku]),ROW(bhpc_data[sku])),""),ROWS($A$15:A29)+$B$3))),IF($EC$13="",INDEX(bhpc_data[description],SMALL(IF(ISNUMBER(MATCH(bhpc_data[sex],$EC$11,0)),MATCH(ROW(bhpc_data[sku]),ROW(bhpc_data[sku])),""),ROWS($A$15:A29)+$B$3)),INDEX(bhpc_data[description],SMALL(IF(ISNUMBER(MATCH(bhpc_data[sex],$EC$11,0)*MATCH(bhpc_data[size1],$EC$13,0)),MATCH(ROW(bhpc_data[sku]),ROW(bhpc_data[sku])),""),ROWS($A$15:A29)+$B$3)))),IF($EC$11="",IF($EC$13="",INDEX(bhpc_data[description],SMALL(IF(ISNUMBER(MATCH(bhpc_data[category],$EC$9,0)),MATCH(ROW(bhpc_data[sku]),ROW(bhpc_data[sku])),""),ROWS($A$15:A29)+$B$3)),INDEX(bhpc_data[description],SMALL(IF(ISNUMBER(MATCH(bhpc_data[category],$EC$9,0)*MATCH(bhpc_data[size1],$EC$13,0)),MATCH(ROW(bhpc_data[sku]),ROW(bhpc_data[sku])),""),ROWS($A$15:A29)+$B$3))),IF($EC$13="",INDEX(bhpc_data[description],SMALL(IF(ISNUMBER(MATCH(bhpc_data[category],$EC$9,0)*MATCH(bhpc_data[sex],$EC$11,0)),MATCH(ROW(bhpc_data[sku]),ROW(bhpc_data[sku])),""),ROWS($A$15:A29)+$B$3)),INDEX(bhpc_data[description],SMALL(IF(ISNUMBER(MATCH(bhpc_data[category],$EC$9,0)*MATCH(bhpc_data[sex],$EC$11,0)*MATCH(bhpc_data[size1],$EC$13,0)),MATCH(ROW(bhpc_data[sku]),ROW(bhpc_data[sku])),""),ROWS($A$15:A29)+$B$3))))),"")</f>
        <v>BHPC GIFT SET WOMEN 8 EDP 100ML + DEO 150ML</v>
      </c>
      <c r="EG24" s="263">
        <f>IFERROR(IF(warehouse[[#This Row],[SKU]]="","",INDEX(inventory[ESISTENZA],MATCH(warehouse[[#This Row],[SKU]],inventory[ARTICOLO],0))),"")</f>
        <v>0</v>
      </c>
      <c r="EH24" s="328"/>
      <c r="EI24" s="328"/>
      <c r="EJ24" s="263"/>
      <c r="EK24" s="113"/>
      <c r="FF24" s="413"/>
      <c r="FG24" s="413"/>
      <c r="FH24" s="413"/>
      <c r="FI24" s="413"/>
      <c r="FJ24" s="413"/>
      <c r="FK24" s="413"/>
      <c r="FL24" s="413"/>
      <c r="FM24" s="413"/>
      <c r="FN24" s="413"/>
      <c r="FO24" s="413"/>
      <c r="FP24" s="413"/>
      <c r="FQ24" s="413"/>
      <c r="FR24" s="413"/>
      <c r="FS24" s="413"/>
      <c r="FT24" s="413"/>
      <c r="FU24" s="413"/>
      <c r="FV24" s="413"/>
      <c r="FW24" s="413"/>
      <c r="FX24" s="413"/>
      <c r="FY24" s="413"/>
      <c r="FZ24" s="413"/>
      <c r="GA24" s="413"/>
      <c r="GB24" s="413"/>
      <c r="GC24" s="413"/>
      <c r="GD24" s="413"/>
      <c r="GE24" s="413"/>
      <c r="GF24" s="413"/>
      <c r="GG24" s="413"/>
      <c r="GH24" s="413"/>
      <c r="GI24" s="413"/>
      <c r="GJ24" s="413"/>
      <c r="GK24" s="413"/>
      <c r="GL24" s="413"/>
      <c r="GM24" s="413"/>
      <c r="GN24" s="413"/>
      <c r="GO24" s="413"/>
      <c r="GP24" s="413"/>
      <c r="GQ24" s="413"/>
      <c r="GR24" s="413"/>
      <c r="GS24" s="413"/>
      <c r="GT24" s="413"/>
      <c r="GU24" s="413"/>
      <c r="GV24" s="413"/>
      <c r="GW24" s="413"/>
      <c r="GX24" s="413"/>
      <c r="GY24" s="413"/>
      <c r="GZ24" s="413"/>
      <c r="HA24" s="413"/>
      <c r="HB24" s="413"/>
      <c r="HC24" s="413"/>
      <c r="HD24" s="413"/>
      <c r="HE24" s="413"/>
      <c r="HF24" s="413"/>
      <c r="HG24" s="413"/>
      <c r="HH24" s="413"/>
      <c r="HI24" s="413"/>
      <c r="HJ24" s="413"/>
      <c r="HK24" s="413"/>
      <c r="HL24" s="413"/>
      <c r="HM24" s="413"/>
      <c r="HN24" s="413"/>
      <c r="HO24" s="413"/>
      <c r="HP24" s="413"/>
      <c r="HQ24" s="413"/>
      <c r="HR24" s="413"/>
      <c r="HS24" s="413"/>
      <c r="HT24" s="413"/>
    </row>
    <row r="25" spans="1:228" ht="15" customHeight="1" thickBot="1" x14ac:dyDescent="0.4">
      <c r="D25" s="331" t="e">
        <f>VLOOKUP(VLOOKUP($B$4,orderHistory[],15,FALSE),carriers[],3,FALSE)</f>
        <v>#N/A</v>
      </c>
      <c r="F25" s="91"/>
      <c r="G25" s="99" t="s">
        <v>618</v>
      </c>
      <c r="H25" s="81"/>
      <c r="I25" s="81"/>
      <c r="J25" s="82"/>
      <c r="L25" s="539" t="str">
        <f t="array" ref="L25">IFERROR(IF($D$9="",IF($D$11="",IF($D$13="",IF($D$15="",INDEX(orderHistory[customer],SMALL(MATCH(ROW(orderHistory[customer]),ROW(orderHistory[customer])),ROWS($A$15:A30)+$B$3)),INDEX(orderHistory[customer],SMALL(IF(ISNUMBER(MATCH(YEAR(orderHistory[invoice_date]),$D$15,0)),MATCH(ROW(orderHistory[customer]),ROW(orderHistory[customer])),""),ROWS($A$15:A30)+$B$3))),IF($D$15="",INDEX(orderHistory[customer],SMALL(IF(ISNUMBER(MATCH(orderHistory[order_type],$D$13,0)),MATCH(ROW(orderHistory[customer]),ROW(orderHistory[customer])),""),ROWS($A$15:A30)+$B$3)),INDEX(orderHistory[customer],SMALL(IF(ISNUMBER(MATCH(orderHistory[order_type],$D$13,0)*MATCH(YEAR(orderHistory[invoice_date]),$D$15,0)),MATCH(ROW(orderHistory[customer]),ROW(orderHistory[customer])),""),ROWS($A$15:A30)+$B$3)))),IF($D$13="",IF($D$15="",INDEX(orderHistory[customer],SMALL(IF(ISNUMBER(MATCH(orderHistory[status],$D$11,0)),MATCH(ROW(orderHistory[customer]),ROW(orderHistory[customer])),""),ROWS($A$15:A30)+$B$3)),INDEX(orderHistory[customer],SMALL(IF(ISNUMBER(MATCH(orderHistory[status],$D$11,0)*MATCH(YEAR(orderHistory[invoice_date]),$D$15,0)),MATCH(ROW(orderHistory[customer]),ROW(orderHistory[customer])),""),ROWS($A$15:A30)+$B$3))),IF($D$15="",INDEX(orderHistory[customer],SMALL(IF(ISNUMBER(MATCH(orderHistory[status],$D$11,0)*MATCH(orderHistory[order_type],$D$13,0)),MATCH(ROW(orderHistory[customer]),ROW(orderHistory[customer])),""),ROWS($A$15:A30)+$B$3)),INDEX(orderHistory[customer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customer],SMALL(IF(ISNUMBER(MATCH(orderHistory[customer],$D$9,0)),MATCH(ROW(orderHistory[customer]),ROW(orderHistory[customer])),""),ROWS($A$15:A30)+$B$3)),INDEX(orderHistory[customer],SMALL(IF(ISNUMBER(MATCH(orderHistory[customer],$D$9,0)*MATCH(YEAR(orderHistory[invoice_date]),$D$15,0)),MATCH(ROW(orderHistory[customer]),ROW(orderHistory[customer])),""),ROWS($A$15:A30)+$B$3))),IF($D$15="",INDEX(orderHistory[customer],SMALL(IF(ISNUMBER(MATCH(orderHistory[customer],$D$9,0)*MATCH(orderHistory[order_type],$D$13,0)),MATCH(ROW(orderHistory[customer]),ROW(orderHistory[customer])),""),ROWS($A$15:A30)+$B$3)),INDEX(orderHistory[customer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customer],SMALL(IF(ISNUMBER(MATCH(orderHistory[customer],$D$9,0)*MATCH(orderHistory[status],$D$11,0)),MATCH(ROW(orderHistory[customer]),ROW(orderHistory[customer])),""),ROWS($A$15:A30)+$B$3)),INDEX(orderHistory[customer],SMALL(IF(ISNUMBER(MATCH(orderHistory[customer],$D$9,0)*MATCH(orderHistory[status],$D$11,0)*MATCH(YEAR(orderHistory[invoice_date]),$D$15,0)),MATCH(ROW(orderHistory[customer]),ROW(orderHistory[customer])),""),ROWS($A$15:A30)+$B$3))),IF($D$15="",INDEX(orderHistory[customer],SMALL(IF(ISNUMBER(MATCH(orderHistory[customer],$D$9,0)*MATCH(orderHistory[status],$D$11,0)*MATCH(orderHistory[order_type],$D$13,0)),MATCH(ROW(orderHistory[customer]),ROW(orderHistory[customer])),""),ROWS($A$15:A30)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M25" s="540" t="str">
        <f t="array" ref="M25">IFERROR(IF($D$9="",IF($D$11="",IF($D$13="",IF($D$15="",INDEX(orderHistory[order_no],SMALL(MATCH(ROW(orderHistory[customer]),ROW(orderHistory[customer])),ROWS($A$15:A30)+$B$3)),INDEX(orderHistory[order_no],SMALL(IF(ISNUMBER(MATCH(YEAR(orderHistory[invoice_date]),$D$15,0)),MATCH(ROW(orderHistory[customer]),ROW(orderHistory[customer])),""),ROWS($A$15:A30)+$B$3))),IF($D$15="",INDEX(orderHistory[order_no],SMALL(IF(ISNUMBER(MATCH(orderHistory[order_type],$D$13,0)),MATCH(ROW(orderHistory[customer]),ROW(orderHistory[customer])),""),ROWS($A$15:A30)+$B$3)),INDEX(orderHistory[order_no],SMALL(IF(ISNUMBER(MATCH(orderHistory[order_type],$D$13,0)*MATCH(YEAR(orderHistory[invoice_date]),$D$15,0)),MATCH(ROW(orderHistory[customer]),ROW(orderHistory[customer])),""),ROWS($A$15:A30)+$B$3)))),IF($D$13="",IF($D$15="",INDEX(orderHistory[order_no],SMALL(IF(ISNUMBER(MATCH(orderHistory[status],$D$11,0)),MATCH(ROW(orderHistory[customer]),ROW(orderHistory[customer])),""),ROWS($A$15:A30)+$B$3)),INDEX(orderHistory[order_no],SMALL(IF(ISNUMBER(MATCH(orderHistory[status],$D$11,0)*MATCH(YEAR(orderHistory[invoice_date]),$D$15,0)),MATCH(ROW(orderHistory[customer]),ROW(orderHistory[customer])),""),ROWS($A$15:A30)+$B$3))),IF($D$15="",INDEX(orderHistory[order_no],SMALL(IF(ISNUMBER(MATCH(orderHistory[status],$D$11,0)*MATCH(orderHistory[order_type],$D$13,0)),MATCH(ROW(orderHistory[customer]),ROW(orderHistory[customer])),""),ROWS($A$15:A30)+$B$3)),INDEX(orderHistory[order_no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no],SMALL(IF(ISNUMBER(MATCH(orderHistory[customer],$D$9,0)),MATCH(ROW(orderHistory[customer]),ROW(orderHistory[customer])),""),ROWS($A$15:A30)+$B$3)),INDEX(orderHistory[order_no],SMALL(IF(ISNUMBER(MATCH(orderHistory[customer],$D$9,0)*MATCH(YEAR(orderHistory[invoice_date]),$D$15,0)),MATCH(ROW(orderHistory[customer]),ROW(orderHistory[customer])),""),ROWS($A$15:A30)+$B$3))),IF($D$15="",INDEX(orderHistory[order_no],SMALL(IF(ISNUMBER(MATCH(orderHistory[customer],$D$9,0)*MATCH(orderHistory[order_type],$D$13,0)),MATCH(ROW(orderHistory[customer]),ROW(orderHistory[customer])),""),ROWS($A$15:A30)+$B$3)),INDEX(orderHistory[order_no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no],SMALL(IF(ISNUMBER(MATCH(orderHistory[customer],$D$9,0)*MATCH(orderHistory[status],$D$11,0)),MATCH(ROW(orderHistory[customer]),ROW(orderHistory[customer])),""),ROWS($A$15:A30)+$B$3)),INDEX(orderHistory[order_no],SMALL(IF(ISNUMBER(MATCH(orderHistory[customer],$D$9,0)*MATCH(orderHistory[status],$D$11,0)*MATCH(YEAR(orderHistory[invoice_date]),$D$15,0)),MATCH(ROW(orderHistory[customer]),ROW(orderHistory[customer])),""),ROWS($A$15:A30)+$B$3))),IF($D$15="",INDEX(orderHistory[order_no],SMALL(IF(ISNUMBER(MATCH(orderHistory[customer],$D$9,0)*MATCH(orderHistory[status],$D$11,0)*MATCH(orderHistory[order_type],$D$13,0)),MATCH(ROW(orderHistory[customer]),ROW(orderHistory[customer])),""),ROWS($A$15:A30)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N25" s="541" t="str">
        <f t="array" ref="N25">IFERROR(IF($D$9="",IF($D$11="",IF($D$13="",IF($D$15="",INDEX(orderHistory[order_type],SMALL(MATCH(ROW(orderHistory[customer]),ROW(orderHistory[customer])),ROWS($A$15:A30)+$B$3)),INDEX(orderHistory[order_type],SMALL(IF(ISNUMBER(MATCH(YEAR(orderHistory[invoice_date]),$D$15,0)),MATCH(ROW(orderHistory[customer]),ROW(orderHistory[customer])),""),ROWS($A$15:A30)+$B$3))),IF($D$15="",INDEX(orderHistory[order_type],SMALL(IF(ISNUMBER(MATCH(orderHistory[order_type],$D$13,0)),MATCH(ROW(orderHistory[customer]),ROW(orderHistory[customer])),""),ROWS($A$15:A30)+$B$3)),INDEX(orderHistory[order_type],SMALL(IF(ISNUMBER(MATCH(orderHistory[order_type],$D$13,0)*MATCH(YEAR(orderHistory[invoice_date]),$D$15,0)),MATCH(ROW(orderHistory[customer]),ROW(orderHistory[customer])),""),ROWS($A$15:A30)+$B$3)))),IF($D$13="",IF($D$15="",INDEX(orderHistory[order_type],SMALL(IF(ISNUMBER(MATCH(orderHistory[status],$D$11,0)),MATCH(ROW(orderHistory[customer]),ROW(orderHistory[customer])),""),ROWS($A$15:A30)+$B$3)),INDEX(orderHistory[order_type],SMALL(IF(ISNUMBER(MATCH(orderHistory[status],$D$11,0)*MATCH(YEAR(orderHistory[invoice_date]),$D$15,0)),MATCH(ROW(orderHistory[customer]),ROW(orderHistory[customer])),""),ROWS($A$15:A30)+$B$3))),IF($D$15="",INDEX(orderHistory[order_type],SMALL(IF(ISNUMBER(MATCH(orderHistory[status],$D$11,0)*MATCH(orderHistory[order_type],$D$13,0)),MATCH(ROW(orderHistory[customer]),ROW(orderHistory[customer])),""),ROWS($A$15:A30)+$B$3)),INDEX(orderHistory[order_typ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type],SMALL(IF(ISNUMBER(MATCH(orderHistory[customer],$D$9,0)),MATCH(ROW(orderHistory[customer]),ROW(orderHistory[customer])),""),ROWS($A$15:A30)+$B$3)),INDEX(orderHistory[order_type],SMALL(IF(ISNUMBER(MATCH(orderHistory[customer],$D$9,0)*MATCH(YEAR(orderHistory[invoice_date]),$D$15,0)),MATCH(ROW(orderHistory[customer]),ROW(orderHistory[customer])),""),ROWS($A$15:A30)+$B$3))),IF($D$15="",INDEX(orderHistory[order_type],SMALL(IF(ISNUMBER(MATCH(orderHistory[customer],$D$9,0)*MATCH(orderHistory[order_type],$D$13,0)),MATCH(ROW(orderHistory[customer]),ROW(orderHistory[customer])),""),ROWS($A$15:A30)+$B$3)),INDEX(orderHistory[order_typ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type],SMALL(IF(ISNUMBER(MATCH(orderHistory[customer],$D$9,0)*MATCH(orderHistory[status],$D$11,0)),MATCH(ROW(orderHistory[customer]),ROW(orderHistory[customer])),""),ROWS($A$15:A30)+$B$3)),INDEX(orderHistory[order_type],SMALL(IF(ISNUMBER(MATCH(orderHistory[customer],$D$9,0)*MATCH(orderHistory[status],$D$11,0)*MATCH(YEAR(orderHistory[invoice_date]),$D$15,0)),MATCH(ROW(orderHistory[customer]),ROW(orderHistory[customer])),""),ROWS($A$15:A30)+$B$3))),IF($D$15="",INDEX(orderHistory[order_type],SMALL(IF(ISNUMBER(MATCH(orderHistory[customer],$D$9,0)*MATCH(orderHistory[status],$D$11,0)*MATCH(orderHistory[order_type],$D$13,0)),MATCH(ROW(orderHistory[customer]),ROW(orderHistory[customer])),""),ROWS($A$15:A30)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O25" s="542" t="str">
        <f t="array" ref="O25">IFERROR(IF($D$9="",IF($D$11="",IF($D$13="",IF($D$15="",INDEX(orderHistory[order_date],SMALL(MATCH(ROW(orderHistory[customer]),ROW(orderHistory[customer])),ROWS($A$15:A30)+$B$3)),INDEX(orderHistory[order_date],SMALL(IF(ISNUMBER(MATCH(YEAR(orderHistory[invoice_date]),$D$15,0)),MATCH(ROW(orderHistory[customer]),ROW(orderHistory[customer])),""),ROWS($A$15:A30)+$B$3))),IF($D$15="",INDEX(orderHistory[order_date],SMALL(IF(ISNUMBER(MATCH(orderHistory[order_type],$D$13,0)),MATCH(ROW(orderHistory[customer]),ROW(orderHistory[customer])),""),ROWS($A$15:A30)+$B$3)),INDEX(orderHistory[order_date],SMALL(IF(ISNUMBER(MATCH(orderHistory[order_type],$D$13,0)*MATCH(YEAR(orderHistory[invoice_date]),$D$15,0)),MATCH(ROW(orderHistory[customer]),ROW(orderHistory[customer])),""),ROWS($A$15:A30)+$B$3)))),IF($D$13="",IF($D$15="",INDEX(orderHistory[order_date],SMALL(IF(ISNUMBER(MATCH(orderHistory[status],$D$11,0)),MATCH(ROW(orderHistory[customer]),ROW(orderHistory[customer])),""),ROWS($A$15:A30)+$B$3)),INDEX(orderHistory[order_date],SMALL(IF(ISNUMBER(MATCH(orderHistory[status],$D$11,0)*MATCH(YEAR(orderHistory[invoice_date]),$D$15,0)),MATCH(ROW(orderHistory[customer]),ROW(orderHistory[customer])),""),ROWS($A$15:A30)+$B$3))),IF($D$15="",INDEX(orderHistory[order_date],SMALL(IF(ISNUMBER(MATCH(orderHistory[status],$D$11,0)*MATCH(orderHistory[order_type],$D$13,0)),MATCH(ROW(orderHistory[customer]),ROW(orderHistory[customer])),""),ROWS($A$15:A30)+$B$3)),INDEX(orderHistory[order_dat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date],SMALL(IF(ISNUMBER(MATCH(orderHistory[customer],$D$9,0)),MATCH(ROW(orderHistory[customer]),ROW(orderHistory[customer])),""),ROWS($A$15:A30)+$B$3)),INDEX(orderHistory[order_date],SMALL(IF(ISNUMBER(MATCH(orderHistory[customer],$D$9,0)*MATCH(YEAR(orderHistory[invoice_date]),$D$15,0)),MATCH(ROW(orderHistory[customer]),ROW(orderHistory[customer])),""),ROWS($A$15:A30)+$B$3))),IF($D$15="",INDEX(orderHistory[order_date],SMALL(IF(ISNUMBER(MATCH(orderHistory[customer],$D$9,0)*MATCH(orderHistory[order_type],$D$13,0)),MATCH(ROW(orderHistory[customer]),ROW(orderHistory[customer])),""),ROWS($A$15:A30)+$B$3)),INDEX(orderHistory[order_dat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date],SMALL(IF(ISNUMBER(MATCH(orderHistory[customer],$D$9,0)*MATCH(orderHistory[status],$D$11,0)),MATCH(ROW(orderHistory[customer]),ROW(orderHistory[customer])),""),ROWS($A$15:A30)+$B$3)),INDEX(orderHistory[order_date],SMALL(IF(ISNUMBER(MATCH(orderHistory[customer],$D$9,0)*MATCH(orderHistory[status],$D$11,0)*MATCH(YEAR(orderHistory[invoice_date]),$D$15,0)),MATCH(ROW(orderHistory[customer]),ROW(orderHistory[customer])),""),ROWS($A$15:A30)+$B$3))),IF($D$15="",INDEX(orderHistory[order_date],SMALL(IF(ISNUMBER(MATCH(orderHistory[customer],$D$9,0)*MATCH(orderHistory[status],$D$11,0)*MATCH(orderHistory[order_type],$D$13,0)),MATCH(ROW(orderHistory[customer]),ROW(orderHistory[customer])),""),ROWS($A$15:A30)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P25" s="543" t="str">
        <f t="array" ref="P25">IFERROR(IF($D$9="",IF($D$11="",IF($D$13="",IF($D$15="",INDEX(orderHistory[invoice_no],SMALL(MATCH(ROW(orderHistory[customer]),ROW(orderHistory[customer])),ROWS($A$15:A30)+$B$3)),INDEX(orderHistory[invoice_no],SMALL(IF(ISNUMBER(MATCH(YEAR(orderHistory[invoice_date]),$D$15,0)),MATCH(ROW(orderHistory[customer]),ROW(orderHistory[customer])),""),ROWS($A$15:A30)+$B$3))),IF($D$15="",INDEX(orderHistory[invoice_no],SMALL(IF(ISNUMBER(MATCH(orderHistory[order_type],$D$13,0)),MATCH(ROW(orderHistory[customer]),ROW(orderHistory[customer])),""),ROWS($A$15:A30)+$B$3)),INDEX(orderHistory[invoice_no],SMALL(IF(ISNUMBER(MATCH(orderHistory[order_type],$D$13,0)*MATCH(YEAR(orderHistory[invoice_date]),$D$15,0)),MATCH(ROW(orderHistory[customer]),ROW(orderHistory[customer])),""),ROWS($A$15:A30)+$B$3)))),IF($D$13="",IF($D$15="",INDEX(orderHistory[invoice_no],SMALL(IF(ISNUMBER(MATCH(orderHistory[status],$D$11,0)),MATCH(ROW(orderHistory[customer]),ROW(orderHistory[customer])),""),ROWS($A$15:A30)+$B$3)),INDEX(orderHistory[invoice_no],SMALL(IF(ISNUMBER(MATCH(orderHistory[status],$D$11,0)*MATCH(YEAR(orderHistory[invoice_date]),$D$15,0)),MATCH(ROW(orderHistory[customer]),ROW(orderHistory[customer])),""),ROWS($A$15:A30)+$B$3))),IF($D$15="",INDEX(orderHistory[invoice_no],SMALL(IF(ISNUMBER(MATCH(orderHistory[status],$D$11,0)*MATCH(orderHistory[order_type],$D$13,0)),MATCH(ROW(orderHistory[customer]),ROW(orderHistory[customer])),""),ROWS($A$15:A30)+$B$3)),INDEX(orderHistory[invoice_no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oice_no],SMALL(IF(ISNUMBER(MATCH(orderHistory[customer],$D$9,0)),MATCH(ROW(orderHistory[customer]),ROW(orderHistory[customer])),""),ROWS($A$15:A30)+$B$3)),INDEX(orderHistory[invoice_no],SMALL(IF(ISNUMBER(MATCH(orderHistory[customer],$D$9,0)*MATCH(YEAR(orderHistory[invoice_date]),$D$15,0)),MATCH(ROW(orderHistory[customer]),ROW(orderHistory[customer])),""),ROWS($A$15:A30)+$B$3))),IF($D$15="",INDEX(orderHistory[invoice_no],SMALL(IF(ISNUMBER(MATCH(orderHistory[customer],$D$9,0)*MATCH(orderHistory[order_type],$D$13,0)),MATCH(ROW(orderHistory[customer]),ROW(orderHistory[customer])),""),ROWS($A$15:A30)+$B$3)),INDEX(orderHistory[invoice_no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YEAR(orderHistory[invoice_date]),$D$15,0)),MATCH(ROW(orderHistory[customer]),ROW(orderHistory[customer])),""),ROWS($A$15:A30)+$B$3))),IF($D$15="",INDEX(orderHistory[invoice_no],SMALL(IF(ISNUMBER(MATCH(orderHistory[customer],$D$9,0)*MATCH(orderHistory[status],$D$11,0)*MATCH(orderHistory[order_type],$D$13,0)),MATCH(ROW(orderHistory[customer]),ROW(orderHistory[customer])),""),ROWS($A$15:A30)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Q25" s="544" t="str">
        <f t="array" ref="Q25">IFERROR(IF($D$9="",IF($D$11="",IF($D$13="",IF($D$15="",INDEX(orderHistory[invoice_date],SMALL(MATCH(ROW(orderHistory[customer]),ROW(orderHistory[customer])),ROWS($A$15:A30)+$B$3)),INDEX(orderHistory[invoice_date],SMALL(IF(ISNUMBER(MATCH(YEAR(orderHistory[invoice_date]),$D$15,0)),MATCH(ROW(orderHistory[customer]),ROW(orderHistory[customer])),""),ROWS($A$15:A30)+$B$3))),IF($D$15="",INDEX(orderHistory[invoice_date],SMALL(IF(ISNUMBER(MATCH(orderHistory[order_type],$D$13,0)),MATCH(ROW(orderHistory[customer]),ROW(orderHistory[customer])),""),ROWS($A$15:A30)+$B$3)),INDEX(orderHistory[invoice_date],SMALL(IF(ISNUMBER(MATCH(orderHistory[order_type],$D$13,0)*MATCH(YEAR(orderHistory[invoice_date]),$D$15,0)),MATCH(ROW(orderHistory[customer]),ROW(orderHistory[customer])),""),ROWS($A$15:A30)+$B$3)))),IF($D$13="",IF($D$15="",INDEX(orderHistory[invoice_date],SMALL(IF(ISNUMBER(MATCH(orderHistory[status],$D$11,0)),MATCH(ROW(orderHistory[customer]),ROW(orderHistory[customer])),""),ROWS($A$15:A30)+$B$3)),INDEX(orderHistory[invoice_date],SMALL(IF(ISNUMBER(MATCH(orderHistory[status],$D$11,0)*MATCH(YEAR(orderHistory[invoice_date]),$D$15,0)),MATCH(ROW(orderHistory[customer]),ROW(orderHistory[customer])),""),ROWS($A$15:A30)+$B$3))),IF($D$15="",INDEX(orderHistory[invoice_date],SMALL(IF(ISNUMBER(MATCH(orderHistory[status],$D$11,0)*MATCH(orderHistory[order_type],$D$13,0)),MATCH(ROW(orderHistory[customer]),ROW(orderHistory[customer])),""),ROWS($A$15:A30)+$B$3)),INDEX(orderHistory[invoice_dat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oice_date],SMALL(IF(ISNUMBER(MATCH(orderHistory[customer],$D$9,0)),MATCH(ROW(orderHistory[customer]),ROW(orderHistory[customer])),""),ROWS($A$15:A30)+$B$3)),INDEX(orderHistory[invoice_date],SMALL(IF(ISNUMBER(MATCH(orderHistory[customer],$D$9,0)*MATCH(YEAR(orderHistory[invoice_date]),$D$15,0)),MATCH(ROW(orderHistory[customer]),ROW(orderHistory[customer])),""),ROWS($A$15:A30)+$B$3))),IF($D$15="",INDEX(orderHistory[invoice_date],SMALL(IF(ISNUMBER(MATCH(orderHistory[customer],$D$9,0)*MATCH(orderHistory[order_type],$D$13,0)),MATCH(ROW(orderHistory[customer]),ROW(orderHistory[customer])),""),ROWS($A$15:A30)+$B$3)),INDEX(orderHistory[invoice_dat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YEAR(orderHistory[invoice_date]),$D$15,0)),MATCH(ROW(orderHistory[customer]),ROW(orderHistory[customer])),""),ROWS($A$15:A30)+$B$3))),IF($D$15="",INDEX(orderHistory[invoice_date],SMALL(IF(ISNUMBER(MATCH(orderHistory[customer],$D$9,0)*MATCH(orderHistory[status],$D$11,0)*MATCH(orderHistory[order_type],$D$13,0)),MATCH(ROW(orderHistory[customer]),ROW(orderHistory[customer])),""),ROWS($A$15:A30)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R25" s="545" t="str">
        <f t="array" ref="R25">IFERROR(IF($D$9="",IF($D$11="",IF($D$13="",IF($D$15="",INDEX(orderHistory[inv_amount],SMALL(MATCH(ROW(orderHistory[customer]),ROW(orderHistory[customer])),ROWS($A$15:A30)+$B$3)),INDEX(orderHistory[inv_amount],SMALL(IF(ISNUMBER(MATCH(YEAR(orderHistory[invoice_date]),$D$15,0)),MATCH(ROW(orderHistory[customer]),ROW(orderHistory[customer])),""),ROWS($A$15:A30)+$B$3))),IF($D$15="",INDEX(orderHistory[inv_amount],SMALL(IF(ISNUMBER(MATCH(orderHistory[order_type],$D$13,0)),MATCH(ROW(orderHistory[customer]),ROW(orderHistory[customer])),""),ROWS($A$15:A30)+$B$3)),INDEX(orderHistory[inv_amount],SMALL(IF(ISNUMBER(MATCH(orderHistory[order_type],$D$13,0)*MATCH(YEAR(orderHistory[invoice_date]),$D$15,0)),MATCH(ROW(orderHistory[customer]),ROW(orderHistory[customer])),""),ROWS($A$15:A30)+$B$3)))),IF($D$13="",IF($D$15="",INDEX(orderHistory[inv_amount],SMALL(IF(ISNUMBER(MATCH(orderHistory[status],$D$11,0)),MATCH(ROW(orderHistory[customer]),ROW(orderHistory[customer])),""),ROWS($A$15:A30)+$B$3)),INDEX(orderHistory[inv_amount],SMALL(IF(ISNUMBER(MATCH(orderHistory[status],$D$11,0)*MATCH(YEAR(orderHistory[invoice_date]),$D$15,0)),MATCH(ROW(orderHistory[customer]),ROW(orderHistory[customer])),""),ROWS($A$15:A30)+$B$3))),IF($D$15="",INDEX(orderHistory[inv_amount],SMALL(IF(ISNUMBER(MATCH(orderHistory[status],$D$11,0)*MATCH(orderHistory[order_type],$D$13,0)),MATCH(ROW(orderHistory[customer]),ROW(orderHistory[customer])),""),ROWS($A$15:A30)+$B$3)),INDEX(orderHistory[inv_amount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_amount],SMALL(IF(ISNUMBER(MATCH(orderHistory[customer],$D$9,0)),MATCH(ROW(orderHistory[customer]),ROW(orderHistory[customer])),""),ROWS($A$15:A30)+$B$3)),INDEX(orderHistory[inv_amount],SMALL(IF(ISNUMBER(MATCH(orderHistory[customer],$D$9,0)*MATCH(YEAR(orderHistory[invoice_date]),$D$15,0)),MATCH(ROW(orderHistory[customer]),ROW(orderHistory[customer])),""),ROWS($A$15:A30)+$B$3))),IF($D$15="",INDEX(orderHistory[inv_amount],SMALL(IF(ISNUMBER(MATCH(orderHistory[customer],$D$9,0)*MATCH(orderHistory[order_type],$D$13,0)),MATCH(ROW(orderHistory[customer]),ROW(orderHistory[customer])),""),ROWS($A$15:A30)+$B$3)),INDEX(orderHistory[inv_amount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_amount],SMALL(IF(ISNUMBER(MATCH(orderHistory[customer],$D$9,0)*MATCH(orderHistory[status],$D$11,0)),MATCH(ROW(orderHistory[customer]),ROW(orderHistory[customer])),""),ROWS($A$15:A30)+$B$3)),INDEX(orderHistory[inv_amount],SMALL(IF(ISNUMBER(MATCH(orderHistory[customer],$D$9,0)*MATCH(orderHistory[status],$D$11,0)*MATCH(YEAR(orderHistory[inv_amount]),$D$15,0)),MATCH(ROW(orderHistory[customer]),ROW(orderHistory[customer])),""),ROWS($A$15:A30)+$B$3))),IF($D$15="",INDEX(orderHistory[inv_amount],SMALL(IF(ISNUMBER(MATCH(orderHistory[customer],$D$9,0)*MATCH(orderHistory[status],$D$11,0)*MATCH(orderHistory[order_type],$D$13,0)),MATCH(ROW(orderHistory[customer]),ROW(orderHistory[customer])),""),ROWS($A$15:A30)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S25" s="546" t="str">
        <f t="shared" si="2"/>
        <v/>
      </c>
      <c r="T25" s="547" t="str">
        <f t="array" ref="T25">IFERROR(IF($D$9="",IF($D$11="",IF($D$13="",IF($D$15="",INDEX(orderHistory[payed],SMALL(MATCH(ROW(orderHistory[customer]),ROW(orderHistory[customer])),ROWS($A$15:A30)+$B$3)),INDEX(orderHistory[payed],SMALL(IF(ISNUMBER(MATCH(YEAR(orderHistory[invoice_date]),$D$15,0)),MATCH(ROW(orderHistory[customer]),ROW(orderHistory[customer])),""),ROWS($A$15:A30)+$B$3))),IF($D$15="",INDEX(orderHistory[payed],SMALL(IF(ISNUMBER(MATCH(orderHistory[order_type],$D$13,0)),MATCH(ROW(orderHistory[customer]),ROW(orderHistory[customer])),""),ROWS($A$15:A30)+$B$3)),INDEX(orderHistory[payed],SMALL(IF(ISNUMBER(MATCH(orderHistory[order_type],$D$13,0)*MATCH(YEAR(orderHistory[invoice_date]),$D$15,0)),MATCH(ROW(orderHistory[customer]),ROW(orderHistory[customer])),""),ROWS($A$15:A30)+$B$3)))),IF($D$13="",IF($D$15="",INDEX(orderHistory[payed],SMALL(IF(ISNUMBER(MATCH(orderHistory[status],$D$11,0)),MATCH(ROW(orderHistory[customer]),ROW(orderHistory[customer])),""),ROWS($A$15:A30)+$B$3)),INDEX(orderHistory[payed],SMALL(IF(ISNUMBER(MATCH(orderHistory[status],$D$11,0)*MATCH(YEAR(orderHistory[invoice_date]),$D$15,0)),MATCH(ROW(orderHistory[customer]),ROW(orderHistory[customer])),""),ROWS($A$15:A30)+$B$3))),IF($D$15="",INDEX(orderHistory[payed],SMALL(IF(ISNUMBER(MATCH(orderHistory[status],$D$11,0)*MATCH(orderHistory[order_type],$D$13,0)),MATCH(ROW(orderHistory[customer]),ROW(orderHistory[customer])),""),ROWS($A$15:A30)+$B$3)),INDEX(orderHistory[payed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payed],SMALL(IF(ISNUMBER(MATCH(orderHistory[customer],$D$9,0)),MATCH(ROW(orderHistory[customer]),ROW(orderHistory[customer])),""),ROWS($A$15:A30)+$B$3)),INDEX(orderHistory[payed],SMALL(IF(ISNUMBER(MATCH(orderHistory[customer],$D$9,0)*MATCH(YEAR(orderHistory[invoice_date]),$D$15,0)),MATCH(ROW(orderHistory[customer]),ROW(orderHistory[customer])),""),ROWS($A$15:A30)+$B$3))),IF($D$15="",INDEX(orderHistory[payed],SMALL(IF(ISNUMBER(MATCH(orderHistory[customer],$D$9,0)*MATCH(orderHistory[order_type],$D$13,0)),MATCH(ROW(orderHistory[customer]),ROW(orderHistory[customer])),""),ROWS($A$15:A30)+$B$3)),INDEX(orderHistory[payed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payed],SMALL(IF(ISNUMBER(MATCH(orderHistory[customer],$D$9,0)*MATCH(orderHistory[status],$D$11,0)),MATCH(ROW(orderHistory[customer]),ROW(orderHistory[customer])),""),ROWS($A$15:A30)+$B$3)),INDEX(orderHistory[payed],SMALL(IF(ISNUMBER(MATCH(orderHistory[customer],$D$9,0)*MATCH(orderHistory[status],$D$11,0)*MATCH(YEAR(orderHistory[payed]),$D$15,0)),MATCH(ROW(orderHistory[customer]),ROW(orderHistory[customer])),""),ROWS($A$15:A30)+$B$3))),IF($D$15="",INDEX(orderHistory[payed],SMALL(IF(ISNUMBER(MATCH(orderHistory[customer],$D$9,0)*MATCH(orderHistory[status],$D$11,0)*MATCH(orderHistory[order_type],$D$13,0)),MATCH(ROW(orderHistory[customer]),ROW(orderHistory[customer])),""),ROWS($A$15:A30)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U25" s="541" t="str">
        <f t="array" ref="U25">IFERROR(IF($D$9="",IF($D$11="",IF($D$13="",IF($D$15="",INDEX(orderHistory[shipping_method],SMALL(MATCH(ROW(orderHistory[customer]),ROW(orderHistory[customer])),ROWS($A$15:A30)+$B$3)),INDEX(orderHistory[shipping_method],SMALL(IF(ISNUMBER(MATCH(YEAR(orderHistory[invoice_date]),$D$15,0)),MATCH(ROW(orderHistory[customer]),ROW(orderHistory[customer])),""),ROWS($A$15:A30)+$B$3))),IF($D$15="",INDEX(orderHistory[shipping_method],SMALL(IF(ISNUMBER(MATCH(orderHistory[order_type],$D$13,0)),MATCH(ROW(orderHistory[customer]),ROW(orderHistory[customer])),""),ROWS($A$15:A30)+$B$3)),INDEX(orderHistory[shipping_method],SMALL(IF(ISNUMBER(MATCH(orderHistory[order_type],$D$13,0)*MATCH(YEAR(orderHistory[invoice_date]),$D$15,0)),MATCH(ROW(orderHistory[customer]),ROW(orderHistory[customer])),""),ROWS($A$15:A30)+$B$3)))),IF($D$13="",IF($D$15="",INDEX(orderHistory[shipping_method],SMALL(IF(ISNUMBER(MATCH(orderHistory[status],$D$11,0)),MATCH(ROW(orderHistory[customer]),ROW(orderHistory[customer])),""),ROWS($A$15:A30)+$B$3)),INDEX(orderHistory[shipping_method],SMALL(IF(ISNUMBER(MATCH(orderHistory[status],$D$11,0)*MATCH(YEAR(orderHistory[invoice_date]),$D$15,0)),MATCH(ROW(orderHistory[customer]),ROW(orderHistory[customer])),""),ROWS($A$15:A30)+$B$3))),IF($D$15="",INDEX(orderHistory[shipping_method],SMALL(IF(ISNUMBER(MATCH(orderHistory[status],$D$11,0)*MATCH(orderHistory[order_type],$D$13,0)),MATCH(ROW(orderHistory[customer]),ROW(orderHistory[customer])),""),ROWS($A$15:A30)+$B$3)),INDEX(orderHistory[shipping_method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shipping_method],SMALL(IF(ISNUMBER(MATCH(orderHistory[customer],$D$9,0)),MATCH(ROW(orderHistory[customer]),ROW(orderHistory[customer])),""),ROWS($A$15:A30)+$B$3)),INDEX(orderHistory[shipping_method],SMALL(IF(ISNUMBER(MATCH(orderHistory[customer],$D$9,0)*MATCH(YEAR(orderHistory[invoice_date]),$D$15,0)),MATCH(ROW(orderHistory[customer]),ROW(orderHistory[customer])),""),ROWS($A$15:A30)+$B$3))),IF($D$15="",INDEX(orderHistory[shipping_method],SMALL(IF(ISNUMBER(MATCH(orderHistory[customer],$D$9,0)*MATCH(orderHistory[order_type],$D$13,0)),MATCH(ROW(orderHistory[customer]),ROW(orderHistory[customer])),""),ROWS($A$15:A30)+$B$3)),INDEX(orderHistory[shipping_method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shipping_method],SMALL(IF(ISNUMBER(MATCH(orderHistory[customer],$D$9,0)*MATCH(orderHistory[status],$D$11,0)),MATCH(ROW(orderHistory[customer]),ROW(orderHistory[customer])),""),ROWS($A$15:A30)+$B$3)),INDEX(orderHistory[shipping_method],SMALL(IF(ISNUMBER(MATCH(orderHistory[customer],$D$9,0)*MATCH(orderHistory[status],$D$11,0)*MATCH(YEAR(orderHistory[shipping_method]),$D$15,0)),MATCH(ROW(orderHistory[customer]),ROW(orderHistory[customer])),""),ROWS($A$15:A30)+$B$3))),IF($D$15="",INDEX(orderHistory[shipping_method],SMALL(IF(ISNUMBER(MATCH(orderHistory[customer],$D$9,0)*MATCH(orderHistory[status],$D$11,0)*MATCH(orderHistory[order_type],$D$13,0)),MATCH(ROW(orderHistory[customer]),ROW(orderHistory[customer])),""),ROWS($A$15:A30)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V25" s="548" t="str">
        <f t="array" ref="V25">IFERROR(IF($D$9="",IF($D$11="",IF($D$13="",IF($D$15="",INDEX(orderHistory[status],SMALL(MATCH(ROW(orderHistory[customer]),ROW(orderHistory[customer])),ROWS($A$15:A30)+$B$3)),INDEX(orderHistory[status],SMALL(IF(ISNUMBER(MATCH(YEAR(orderHistory[invoice_date]),$D$15,0)),MATCH(ROW(orderHistory[customer]),ROW(orderHistory[customer])),""),ROWS($A$15:A30)+$B$3))),IF($D$15="",INDEX(orderHistory[status],SMALL(IF(ISNUMBER(MATCH(orderHistory[order_type],$D$13,0)),MATCH(ROW(orderHistory[customer]),ROW(orderHistory[customer])),""),ROWS($A$15:A30)+$B$3)),INDEX(orderHistory[status],SMALL(IF(ISNUMBER(MATCH(orderHistory[order_type],$D$13,0)*MATCH(YEAR(orderHistory[invoice_date]),$D$15,0)),MATCH(ROW(orderHistory[customer]),ROW(orderHistory[customer])),""),ROWS($A$15:A30)+$B$3)))),IF($D$13="",IF($D$15="",INDEX(orderHistory[status],SMALL(IF(ISNUMBER(MATCH(orderHistory[status],$D$11,0)),MATCH(ROW(orderHistory[customer]),ROW(orderHistory[customer])),""),ROWS($A$15:A30)+$B$3)),INDEX(orderHistory[status],SMALL(IF(ISNUMBER(MATCH(orderHistory[status],$D$11,0)*MATCH(YEAR(orderHistory[invoice_date]),$D$15,0)),MATCH(ROW(orderHistory[customer]),ROW(orderHistory[customer])),""),ROWS($A$15:A30)+$B$3))),IF($D$15="",INDEX(orderHistory[status],SMALL(IF(ISNUMBER(MATCH(orderHistory[status],$D$11,0)*MATCH(orderHistory[order_type],$D$13,0)),MATCH(ROW(orderHistory[customer]),ROW(orderHistory[customer])),""),ROWS($A$15:A30)+$B$3)),INDEX(orderHistory[status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status],SMALL(IF(ISNUMBER(MATCH(orderHistory[customer],$D$9,0)),MATCH(ROW(orderHistory[customer]),ROW(orderHistory[customer])),""),ROWS($A$15:A30)+$B$3)),INDEX(orderHistory[status],SMALL(IF(ISNUMBER(MATCH(orderHistory[customer],$D$9,0)*MATCH(YEAR(orderHistory[invoice_date]),$D$15,0)),MATCH(ROW(orderHistory[customer]),ROW(orderHistory[customer])),""),ROWS($A$15:A30)+$B$3))),IF($D$15="",INDEX(orderHistory[status],SMALL(IF(ISNUMBER(MATCH(orderHistory[customer],$D$9,0)*MATCH(orderHistory[order_type],$D$13,0)),MATCH(ROW(orderHistory[customer]),ROW(orderHistory[customer])),""),ROWS($A$15:A30)+$B$3)),INDEX(orderHistory[status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status],SMALL(IF(ISNUMBER(MATCH(orderHistory[customer],$D$9,0)*MATCH(orderHistory[status],$D$11,0)),MATCH(ROW(orderHistory[customer]),ROW(orderHistory[customer])),""),ROWS($A$15:A30)+$B$3)),INDEX(orderHistory[status],SMALL(IF(ISNUMBER(MATCH(orderHistory[customer],$D$9,0)*MATCH(orderHistory[status],$D$11,0)*MATCH(YEAR(orderHistory[status]),$D$15,0)),MATCH(ROW(orderHistory[customer]),ROW(orderHistory[customer])),""),ROWS($A$15:A30)+$B$3))),IF($D$15="",INDEX(orderHistory[status],SMALL(IF(ISNUMBER(MATCH(orderHistory[customer],$D$9,0)*MATCH(orderHistory[status],$D$11,0)*MATCH(orderHistory[order_type],$D$13,0)),MATCH(ROW(orderHistory[customer]),ROW(orderHistory[customer])),""),ROWS($A$15:A30)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W25" s="107"/>
      <c r="AQ25" s="462"/>
      <c r="AR25" s="826"/>
      <c r="AS25" s="826"/>
      <c r="AT25" s="826"/>
      <c r="AU25" s="492"/>
      <c r="AV25" s="466"/>
      <c r="AW25" s="416"/>
      <c r="BK25" s="450"/>
      <c r="BL25" s="451"/>
      <c r="BM25" s="452"/>
      <c r="BN25" s="451"/>
      <c r="BO25" s="452"/>
      <c r="BX25" s="519"/>
      <c r="BZ25" s="167"/>
      <c r="CA25" s="154" t="str">
        <f>IF(BZ25="","",INDEX(bhpc_data[description],MATCH(BZ25,bhpc_data[sku],0)))</f>
        <v/>
      </c>
      <c r="CB25" s="159"/>
      <c r="CC25" s="357"/>
      <c r="CD25" s="160"/>
      <c r="CE25" s="360"/>
      <c r="CF25" s="161"/>
      <c r="CG25" s="164" t="str">
        <f>IFERROR(ROUNDUP(CB25/INDEX(bhpc_data[units_per_carton],MATCH(BZ25,bhpc_data[sku],0)),0),"")</f>
        <v/>
      </c>
      <c r="CH25" s="165" t="str">
        <f>IFERROR(ROUNDUP(CD25/INDEX(bhpc_data[units_per_carton],MATCH(BZ25,bhpc_data[sku],0)),0),"")</f>
        <v/>
      </c>
      <c r="CI25" s="165" t="str">
        <f>IFERROR(ROUNDUP(CF25/INDEX(bhpc_data[units_per_carton],MATCH(BZ25,bhpc_data[sku])),0),"")</f>
        <v/>
      </c>
      <c r="CJ25" s="165" t="str">
        <f>IFERROR(((CB25+CD25+CF25)/INDEX(bhpc_data[units_per_carton],MATCH(BZ25,bhpc_data[sku],0)))*INDEX(bhpc_data[net_weight],MATCH(BZ25,bhpc_data[sku],0)),"")</f>
        <v/>
      </c>
      <c r="CK25" s="165" t="str">
        <f>IFERROR(((CB25+CD25+CF25)/INDEX(bhpc_data[units_per_carton],MATCH(BZ25,bhpc_data[sku],0)))*INDEX(bhpc_data[gross_weight],MATCH(BZ25,bhpc_data[sku],0)),"")</f>
        <v/>
      </c>
      <c r="CL25" s="180" t="str">
        <f>IFERROR((CB25+CD25+CF25)/INDEX(bhpc_data[units_per_carton],MATCH(BZ25,bhpc_data[sku],0))*INDEX(bhpc_data[lenght],MATCH(BZ25,bhpc_data[sku],0))*INDEX(bhpc_data[width],MATCH(BZ25,bhpc_data[sku],0))*INDEX(bhpc_data[height],MATCH(BZ25,bhpc_data[sku],0))/1000000000,"")</f>
        <v/>
      </c>
      <c r="CM25" s="189" t="str">
        <f>IFERROR(INDEX(bhpc_data[category],MATCH(BZ25,bhpc_data[sku],0)),"")</f>
        <v/>
      </c>
      <c r="CN25" s="189" t="str">
        <f>IFERROR(INDEX(bhpc_data[size1],MATCH(BZ25,bhpc_data[sku],0)),"")</f>
        <v/>
      </c>
      <c r="CO25" s="388" t="str">
        <f>IFERROR(INDEX(bhpc_data[hs_code],MATCH(BZ25,bhpc_data[sku],0)),"")</f>
        <v/>
      </c>
      <c r="CP25" s="377" t="str">
        <f>IFERROR(INDEX(inventory[ESISTENZA],MATCH(BZ25,inventory[ARTICOLO],0)),"")</f>
        <v/>
      </c>
      <c r="CQ25" s="364" t="str">
        <f>IFERROR(IF(BZ25="","",IF($BX$15="SALE",INDEX(inventory[COSTO UNITARIO],MATCH(BZ25,inventory[ARTICOLO],0)),IF($BX$15="SAMPLING",INDEX(inventory[COSTO UNITARIO],MATCH(BZ25,inventory[ARTICOLO],0)),""))),"")</f>
        <v/>
      </c>
      <c r="CR25" s="365" t="str">
        <f t="shared" si="0"/>
        <v/>
      </c>
      <c r="CS25" s="264" t="str">
        <f t="shared" si="1"/>
        <v/>
      </c>
      <c r="CU25" s="85"/>
      <c r="CV25" s="118" t="s">
        <v>617</v>
      </c>
      <c r="CW25" s="356">
        <f>SUM(CK10:CK109)</f>
        <v>19.8</v>
      </c>
      <c r="CX25" s="89"/>
      <c r="CY25" s="81"/>
      <c r="CZ25" s="82"/>
      <c r="DA25" s="432" t="str">
        <f>IFERROR(VLOOKUP(BZ25,bhpc_data[],22,FALSE),"")</f>
        <v/>
      </c>
      <c r="DH25" s="296"/>
      <c r="EE25" s="202" t="str" cm="1">
        <f t="array" ref="EE25">IFERROR(IF($EC$9="",IF($EC$11="",IF($EC$13="",INDEX(bhpc_data[sku],SMALL(MATCH(ROW(bhpc_data[sku]),ROW(bhpc_data[sku])),ROWS($A$15:A30)+$B$3)),INDEX(bhpc_data[sku],SMALL(IF(ISNUMBER(MATCH(bhpc_data[size1],$EC$13,0)),MATCH(ROW(bhpc_data[sku]),ROW(bhpc_data[sku])),""),ROWS($A$15:A30)+$B$3))),IF($EC$13="",INDEX(bhpc_data[sku],SMALL(IF(ISNUMBER(MATCH(bhpc_data[sex],$EC$11,0)),MATCH(ROW(bhpc_data[sku]),ROW(bhpc_data[sku])),""),ROWS($A$15:A30)+$B$3)),INDEX(bhpc_data[sku],SMALL(IF(ISNUMBER(MATCH(bhpc_data[sex],$EC$11,0)*MATCH(bhpc_data[size1],$EC$13,0)),MATCH(ROW(bhpc_data[sku]),ROW(bhpc_data[sku])),""),ROWS($A$15:A30)+$B$3)))),IF($EC$11="",IF($EC$13="",INDEX(bhpc_data[sku],SMALL(IF(ISNUMBER(MATCH(bhpc_data[category],$EC$9,0)),MATCH(ROW(bhpc_data[sku]),ROW(bhpc_data[sku])),""),ROWS($A$15:A30)+$B$3)),INDEX(bhpc_data[sku],SMALL(IF(ISNUMBER(MATCH(bhpc_data[category],$EC$9,0)*MATCH(bhpc_data[size1],$EC$13,0)),MATCH(ROW(bhpc_data[sku]),ROW(bhpc_data[sku])),""),ROWS($A$15:A30)+$B$3))),IF($EC$13="",INDEX(bhpc_data[sku],SMALL(IF(ISNUMBER(MATCH(bhpc_data[category],$EC$9,0)*MATCH(bhpc_data[sex],$EC$11,0)),MATCH(ROW(bhpc_data[sku]),ROW(bhpc_data[sku])),""),ROWS($A$15:A30)+$B$3)),INDEX(bhpc_data[sku],SMALL(IF(ISNUMBER(MATCH(bhpc_data[category],$EC$9,0)*MATCH(bhpc_data[sex],$EC$11,0)*MATCH(bhpc_data[size1],$EC$13,0)),MATCH(ROW(bhpc_data[sku]),ROW(bhpc_data[sku])),""),ROWS($A$15:A30)+$B$3))))),"")</f>
        <v>GS5053</v>
      </c>
      <c r="EF25" s="198" t="str" cm="1">
        <f t="array" ref="EF25">IFERROR(IF($EC$9="",IF($EC$11="",IF($EC$13="",INDEX(bhpc_data[description],SMALL(MATCH(ROW(bhpc_data[sku]),ROW(bhpc_data[sku])),ROWS($A$15:A30)+$B$3)),INDEX(bhpc_data[description],SMALL(IF(ISNUMBER(MATCH(bhpc_data[size1],$EC$13,0)),MATCH(ROW(bhpc_data[sku]),ROW(bhpc_data[sku])),""),ROWS($A$15:A30)+$B$3))),IF($EC$13="",INDEX(bhpc_data[description],SMALL(IF(ISNUMBER(MATCH(bhpc_data[sex],$EC$11,0)),MATCH(ROW(bhpc_data[sku]),ROW(bhpc_data[sku])),""),ROWS($A$15:A30)+$B$3)),INDEX(bhpc_data[description],SMALL(IF(ISNUMBER(MATCH(bhpc_data[sex],$EC$11,0)*MATCH(bhpc_data[size1],$EC$13,0)),MATCH(ROW(bhpc_data[sku]),ROW(bhpc_data[sku])),""),ROWS($A$15:A30)+$B$3)))),IF($EC$11="",IF($EC$13="",INDEX(bhpc_data[description],SMALL(IF(ISNUMBER(MATCH(bhpc_data[category],$EC$9,0)),MATCH(ROW(bhpc_data[sku]),ROW(bhpc_data[sku])),""),ROWS($A$15:A30)+$B$3)),INDEX(bhpc_data[description],SMALL(IF(ISNUMBER(MATCH(bhpc_data[category],$EC$9,0)*MATCH(bhpc_data[size1],$EC$13,0)),MATCH(ROW(bhpc_data[sku]),ROW(bhpc_data[sku])),""),ROWS($A$15:A30)+$B$3))),IF($EC$13="",INDEX(bhpc_data[description],SMALL(IF(ISNUMBER(MATCH(bhpc_data[category],$EC$9,0)*MATCH(bhpc_data[sex],$EC$11,0)),MATCH(ROW(bhpc_data[sku]),ROW(bhpc_data[sku])),""),ROWS($A$15:A30)+$B$3)),INDEX(bhpc_data[description],SMALL(IF(ISNUMBER(MATCH(bhpc_data[category],$EC$9,0)*MATCH(bhpc_data[sex],$EC$11,0)*MATCH(bhpc_data[size1],$EC$13,0)),MATCH(ROW(bhpc_data[sku]),ROW(bhpc_data[sku])),""),ROWS($A$15:A30)+$B$3))))),"")</f>
        <v>BHPC GIFT SET WOMEN 2 EDP 100ML + DEO 150ML</v>
      </c>
      <c r="EG25" s="263">
        <f>IFERROR(IF(warehouse[[#This Row],[SKU]]="","",INDEX(inventory[ESISTENZA],MATCH(warehouse[[#This Row],[SKU]],inventory[ARTICOLO],0))),"")</f>
        <v>0</v>
      </c>
      <c r="EH25" s="328"/>
      <c r="EI25" s="328"/>
      <c r="EJ25" s="263"/>
      <c r="EK25" s="113"/>
      <c r="FF25" s="413"/>
      <c r="FG25" s="413"/>
      <c r="FH25" s="413"/>
      <c r="FI25" s="413"/>
      <c r="FJ25" s="413"/>
      <c r="FK25" s="413"/>
      <c r="FL25" s="413"/>
      <c r="FM25" s="413"/>
      <c r="FN25" s="413"/>
      <c r="FO25" s="413"/>
      <c r="FP25" s="413"/>
      <c r="FQ25" s="413"/>
      <c r="FR25" s="413"/>
      <c r="FS25" s="413"/>
      <c r="FT25" s="413"/>
      <c r="FU25" s="413"/>
      <c r="FV25" s="413"/>
      <c r="FW25" s="413"/>
      <c r="FX25" s="413"/>
      <c r="FY25" s="413"/>
      <c r="FZ25" s="413"/>
      <c r="GA25" s="413"/>
      <c r="GB25" s="413"/>
      <c r="GC25" s="413"/>
      <c r="GD25" s="413"/>
      <c r="GE25" s="413"/>
      <c r="GF25" s="413"/>
      <c r="GG25" s="413"/>
      <c r="GH25" s="413"/>
      <c r="GI25" s="413"/>
      <c r="GJ25" s="413"/>
      <c r="GK25" s="413"/>
      <c r="GL25" s="413"/>
      <c r="GM25" s="413"/>
      <c r="GN25" s="413"/>
      <c r="GO25" s="413"/>
      <c r="GP25" s="413"/>
      <c r="GQ25" s="413"/>
      <c r="GR25" s="413"/>
      <c r="GS25" s="413"/>
      <c r="GT25" s="413"/>
      <c r="GU25" s="413"/>
      <c r="GV25" s="413"/>
      <c r="GW25" s="413"/>
      <c r="GX25" s="413"/>
      <c r="GY25" s="413"/>
      <c r="GZ25" s="413"/>
      <c r="HA25" s="413"/>
      <c r="HB25" s="413"/>
      <c r="HC25" s="413"/>
      <c r="HD25" s="413"/>
      <c r="HE25" s="413"/>
      <c r="HF25" s="413"/>
      <c r="HG25" s="413"/>
      <c r="HH25" s="413"/>
      <c r="HI25" s="413"/>
      <c r="HJ25" s="413"/>
      <c r="HK25" s="413"/>
      <c r="HL25" s="413"/>
      <c r="HM25" s="413"/>
      <c r="HN25" s="413"/>
      <c r="HO25" s="413"/>
      <c r="HP25" s="413"/>
      <c r="HQ25" s="413"/>
      <c r="HR25" s="413"/>
      <c r="HS25" s="413"/>
      <c r="HT25" s="413"/>
    </row>
    <row r="26" spans="1:228" ht="15" customHeight="1" thickBot="1" x14ac:dyDescent="0.4">
      <c r="D26" s="331" t="e">
        <f>VLOOKUP(VLOOKUP($B$4,orderHistory[],15,FALSE),carriers[],4,FALSE)</f>
        <v>#N/A</v>
      </c>
      <c r="F26" s="91"/>
      <c r="G26" s="805" t="str">
        <f>IFERROR(INDEX(clientData[logistic_address1],MATCH($B$6,clientData[cod_cliente],0)),"")</f>
        <v>LOB 4 UNIT 4G07</v>
      </c>
      <c r="H26" s="806"/>
      <c r="I26" s="807"/>
      <c r="J26" s="82"/>
      <c r="L26" s="539" t="str">
        <f t="array" ref="L26">IFERROR(IF($D$9="",IF($D$11="",IF($D$13="",IF($D$15="",INDEX(orderHistory[customer],SMALL(MATCH(ROW(orderHistory[customer]),ROW(orderHistory[customer])),ROWS($A$15:A31)+$B$3)),INDEX(orderHistory[customer],SMALL(IF(ISNUMBER(MATCH(YEAR(orderHistory[invoice_date]),$D$15,0)),MATCH(ROW(orderHistory[customer]),ROW(orderHistory[customer])),""),ROWS($A$15:A31)+$B$3))),IF($D$15="",INDEX(orderHistory[customer],SMALL(IF(ISNUMBER(MATCH(orderHistory[order_type],$D$13,0)),MATCH(ROW(orderHistory[customer]),ROW(orderHistory[customer])),""),ROWS($A$15:A31)+$B$3)),INDEX(orderHistory[customer],SMALL(IF(ISNUMBER(MATCH(orderHistory[order_type],$D$13,0)*MATCH(YEAR(orderHistory[invoice_date]),$D$15,0)),MATCH(ROW(orderHistory[customer]),ROW(orderHistory[customer])),""),ROWS($A$15:A31)+$B$3)))),IF($D$13="",IF($D$15="",INDEX(orderHistory[customer],SMALL(IF(ISNUMBER(MATCH(orderHistory[status],$D$11,0)),MATCH(ROW(orderHistory[customer]),ROW(orderHistory[customer])),""),ROWS($A$15:A31)+$B$3)),INDEX(orderHistory[customer],SMALL(IF(ISNUMBER(MATCH(orderHistory[status],$D$11,0)*MATCH(YEAR(orderHistory[invoice_date]),$D$15,0)),MATCH(ROW(orderHistory[customer]),ROW(orderHistory[customer])),""),ROWS($A$15:A31)+$B$3))),IF($D$15="",INDEX(orderHistory[customer],SMALL(IF(ISNUMBER(MATCH(orderHistory[status],$D$11,0)*MATCH(orderHistory[order_type],$D$13,0)),MATCH(ROW(orderHistory[customer]),ROW(orderHistory[customer])),""),ROWS($A$15:A31)+$B$3)),INDEX(orderHistory[customer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customer],SMALL(IF(ISNUMBER(MATCH(orderHistory[customer],$D$9,0)),MATCH(ROW(orderHistory[customer]),ROW(orderHistory[customer])),""),ROWS($A$15:A31)+$B$3)),INDEX(orderHistory[customer],SMALL(IF(ISNUMBER(MATCH(orderHistory[customer],$D$9,0)*MATCH(YEAR(orderHistory[invoice_date]),$D$15,0)),MATCH(ROW(orderHistory[customer]),ROW(orderHistory[customer])),""),ROWS($A$15:A31)+$B$3))),IF($D$15="",INDEX(orderHistory[customer],SMALL(IF(ISNUMBER(MATCH(orderHistory[customer],$D$9,0)*MATCH(orderHistory[order_type],$D$13,0)),MATCH(ROW(orderHistory[customer]),ROW(orderHistory[customer])),""),ROWS($A$15:A31)+$B$3)),INDEX(orderHistory[customer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customer],SMALL(IF(ISNUMBER(MATCH(orderHistory[customer],$D$9,0)*MATCH(orderHistory[status],$D$11,0)),MATCH(ROW(orderHistory[customer]),ROW(orderHistory[customer])),""),ROWS($A$15:A31)+$B$3)),INDEX(orderHistory[customer],SMALL(IF(ISNUMBER(MATCH(orderHistory[customer],$D$9,0)*MATCH(orderHistory[status],$D$11,0)*MATCH(YEAR(orderHistory[invoice_date]),$D$15,0)),MATCH(ROW(orderHistory[customer]),ROW(orderHistory[customer])),""),ROWS($A$15:A31)+$B$3))),IF($D$15="",INDEX(orderHistory[customer],SMALL(IF(ISNUMBER(MATCH(orderHistory[customer],$D$9,0)*MATCH(orderHistory[status],$D$11,0)*MATCH(orderHistory[order_type],$D$13,0)),MATCH(ROW(orderHistory[customer]),ROW(orderHistory[customer])),""),ROWS($A$15:A31)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M26" s="540" t="str">
        <f t="array" ref="M26">IFERROR(IF($D$9="",IF($D$11="",IF($D$13="",IF($D$15="",INDEX(orderHistory[order_no],SMALL(MATCH(ROW(orderHistory[customer]),ROW(orderHistory[customer])),ROWS($A$15:A31)+$B$3)),INDEX(orderHistory[order_no],SMALL(IF(ISNUMBER(MATCH(YEAR(orderHistory[invoice_date]),$D$15,0)),MATCH(ROW(orderHistory[customer]),ROW(orderHistory[customer])),""),ROWS($A$15:A31)+$B$3))),IF($D$15="",INDEX(orderHistory[order_no],SMALL(IF(ISNUMBER(MATCH(orderHistory[order_type],$D$13,0)),MATCH(ROW(orderHistory[customer]),ROW(orderHistory[customer])),""),ROWS($A$15:A31)+$B$3)),INDEX(orderHistory[order_no],SMALL(IF(ISNUMBER(MATCH(orderHistory[order_type],$D$13,0)*MATCH(YEAR(orderHistory[invoice_date]),$D$15,0)),MATCH(ROW(orderHistory[customer]),ROW(orderHistory[customer])),""),ROWS($A$15:A31)+$B$3)))),IF($D$13="",IF($D$15="",INDEX(orderHistory[order_no],SMALL(IF(ISNUMBER(MATCH(orderHistory[status],$D$11,0)),MATCH(ROW(orderHistory[customer]),ROW(orderHistory[customer])),""),ROWS($A$15:A31)+$B$3)),INDEX(orderHistory[order_no],SMALL(IF(ISNUMBER(MATCH(orderHistory[status],$D$11,0)*MATCH(YEAR(orderHistory[invoice_date]),$D$15,0)),MATCH(ROW(orderHistory[customer]),ROW(orderHistory[customer])),""),ROWS($A$15:A31)+$B$3))),IF($D$15="",INDEX(orderHistory[order_no],SMALL(IF(ISNUMBER(MATCH(orderHistory[status],$D$11,0)*MATCH(orderHistory[order_type],$D$13,0)),MATCH(ROW(orderHistory[customer]),ROW(orderHistory[customer])),""),ROWS($A$15:A31)+$B$3)),INDEX(orderHistory[order_no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no],SMALL(IF(ISNUMBER(MATCH(orderHistory[customer],$D$9,0)),MATCH(ROW(orderHistory[customer]),ROW(orderHistory[customer])),""),ROWS($A$15:A31)+$B$3)),INDEX(orderHistory[order_no],SMALL(IF(ISNUMBER(MATCH(orderHistory[customer],$D$9,0)*MATCH(YEAR(orderHistory[invoice_date]),$D$15,0)),MATCH(ROW(orderHistory[customer]),ROW(orderHistory[customer])),""),ROWS($A$15:A31)+$B$3))),IF($D$15="",INDEX(orderHistory[order_no],SMALL(IF(ISNUMBER(MATCH(orderHistory[customer],$D$9,0)*MATCH(orderHistory[order_type],$D$13,0)),MATCH(ROW(orderHistory[customer]),ROW(orderHistory[customer])),""),ROWS($A$15:A31)+$B$3)),INDEX(orderHistory[order_no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no],SMALL(IF(ISNUMBER(MATCH(orderHistory[customer],$D$9,0)*MATCH(orderHistory[status],$D$11,0)),MATCH(ROW(orderHistory[customer]),ROW(orderHistory[customer])),""),ROWS($A$15:A31)+$B$3)),INDEX(orderHistory[order_no],SMALL(IF(ISNUMBER(MATCH(orderHistory[customer],$D$9,0)*MATCH(orderHistory[status],$D$11,0)*MATCH(YEAR(orderHistory[invoice_date]),$D$15,0)),MATCH(ROW(orderHistory[customer]),ROW(orderHistory[customer])),""),ROWS($A$15:A31)+$B$3))),IF($D$15="",INDEX(orderHistory[order_no],SMALL(IF(ISNUMBER(MATCH(orderHistory[customer],$D$9,0)*MATCH(orderHistory[status],$D$11,0)*MATCH(orderHistory[order_type],$D$13,0)),MATCH(ROW(orderHistory[customer]),ROW(orderHistory[customer])),""),ROWS($A$15:A31)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N26" s="541" t="str">
        <f t="array" ref="N26">IFERROR(IF($D$9="",IF($D$11="",IF($D$13="",IF($D$15="",INDEX(orderHistory[order_type],SMALL(MATCH(ROW(orderHistory[customer]),ROW(orderHistory[customer])),ROWS($A$15:A31)+$B$3)),INDEX(orderHistory[order_type],SMALL(IF(ISNUMBER(MATCH(YEAR(orderHistory[invoice_date]),$D$15,0)),MATCH(ROW(orderHistory[customer]),ROW(orderHistory[customer])),""),ROWS($A$15:A31)+$B$3))),IF($D$15="",INDEX(orderHistory[order_type],SMALL(IF(ISNUMBER(MATCH(orderHistory[order_type],$D$13,0)),MATCH(ROW(orderHistory[customer]),ROW(orderHistory[customer])),""),ROWS($A$15:A31)+$B$3)),INDEX(orderHistory[order_type],SMALL(IF(ISNUMBER(MATCH(orderHistory[order_type],$D$13,0)*MATCH(YEAR(orderHistory[invoice_date]),$D$15,0)),MATCH(ROW(orderHistory[customer]),ROW(orderHistory[customer])),""),ROWS($A$15:A31)+$B$3)))),IF($D$13="",IF($D$15="",INDEX(orderHistory[order_type],SMALL(IF(ISNUMBER(MATCH(orderHistory[status],$D$11,0)),MATCH(ROW(orderHistory[customer]),ROW(orderHistory[customer])),""),ROWS($A$15:A31)+$B$3)),INDEX(orderHistory[order_type],SMALL(IF(ISNUMBER(MATCH(orderHistory[status],$D$11,0)*MATCH(YEAR(orderHistory[invoice_date]),$D$15,0)),MATCH(ROW(orderHistory[customer]),ROW(orderHistory[customer])),""),ROWS($A$15:A31)+$B$3))),IF($D$15="",INDEX(orderHistory[order_type],SMALL(IF(ISNUMBER(MATCH(orderHistory[status],$D$11,0)*MATCH(orderHistory[order_type],$D$13,0)),MATCH(ROW(orderHistory[customer]),ROW(orderHistory[customer])),""),ROWS($A$15:A31)+$B$3)),INDEX(orderHistory[order_typ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type],SMALL(IF(ISNUMBER(MATCH(orderHistory[customer],$D$9,0)),MATCH(ROW(orderHistory[customer]),ROW(orderHistory[customer])),""),ROWS($A$15:A31)+$B$3)),INDEX(orderHistory[order_type],SMALL(IF(ISNUMBER(MATCH(orderHistory[customer],$D$9,0)*MATCH(YEAR(orderHistory[invoice_date]),$D$15,0)),MATCH(ROW(orderHistory[customer]),ROW(orderHistory[customer])),""),ROWS($A$15:A31)+$B$3))),IF($D$15="",INDEX(orderHistory[order_type],SMALL(IF(ISNUMBER(MATCH(orderHistory[customer],$D$9,0)*MATCH(orderHistory[order_type],$D$13,0)),MATCH(ROW(orderHistory[customer]),ROW(orderHistory[customer])),""),ROWS($A$15:A31)+$B$3)),INDEX(orderHistory[order_typ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type],SMALL(IF(ISNUMBER(MATCH(orderHistory[customer],$D$9,0)*MATCH(orderHistory[status],$D$11,0)),MATCH(ROW(orderHistory[customer]),ROW(orderHistory[customer])),""),ROWS($A$15:A31)+$B$3)),INDEX(orderHistory[order_type],SMALL(IF(ISNUMBER(MATCH(orderHistory[customer],$D$9,0)*MATCH(orderHistory[status],$D$11,0)*MATCH(YEAR(orderHistory[invoice_date]),$D$15,0)),MATCH(ROW(orderHistory[customer]),ROW(orderHistory[customer])),""),ROWS($A$15:A31)+$B$3))),IF($D$15="",INDEX(orderHistory[order_type],SMALL(IF(ISNUMBER(MATCH(orderHistory[customer],$D$9,0)*MATCH(orderHistory[status],$D$11,0)*MATCH(orderHistory[order_type],$D$13,0)),MATCH(ROW(orderHistory[customer]),ROW(orderHistory[customer])),""),ROWS($A$15:A31)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O26" s="542" t="str">
        <f t="array" ref="O26">IFERROR(IF($D$9="",IF($D$11="",IF($D$13="",IF($D$15="",INDEX(orderHistory[order_date],SMALL(MATCH(ROW(orderHistory[customer]),ROW(orderHistory[customer])),ROWS($A$15:A31)+$B$3)),INDEX(orderHistory[order_date],SMALL(IF(ISNUMBER(MATCH(YEAR(orderHistory[invoice_date]),$D$15,0)),MATCH(ROW(orderHistory[customer]),ROW(orderHistory[customer])),""),ROWS($A$15:A31)+$B$3))),IF($D$15="",INDEX(orderHistory[order_date],SMALL(IF(ISNUMBER(MATCH(orderHistory[order_type],$D$13,0)),MATCH(ROW(orderHistory[customer]),ROW(orderHistory[customer])),""),ROWS($A$15:A31)+$B$3)),INDEX(orderHistory[order_date],SMALL(IF(ISNUMBER(MATCH(orderHistory[order_type],$D$13,0)*MATCH(YEAR(orderHistory[invoice_date]),$D$15,0)),MATCH(ROW(orderHistory[customer]),ROW(orderHistory[customer])),""),ROWS($A$15:A31)+$B$3)))),IF($D$13="",IF($D$15="",INDEX(orderHistory[order_date],SMALL(IF(ISNUMBER(MATCH(orderHistory[status],$D$11,0)),MATCH(ROW(orderHistory[customer]),ROW(orderHistory[customer])),""),ROWS($A$15:A31)+$B$3)),INDEX(orderHistory[order_date],SMALL(IF(ISNUMBER(MATCH(orderHistory[status],$D$11,0)*MATCH(YEAR(orderHistory[invoice_date]),$D$15,0)),MATCH(ROW(orderHistory[customer]),ROW(orderHistory[customer])),""),ROWS($A$15:A31)+$B$3))),IF($D$15="",INDEX(orderHistory[order_date],SMALL(IF(ISNUMBER(MATCH(orderHistory[status],$D$11,0)*MATCH(orderHistory[order_type],$D$13,0)),MATCH(ROW(orderHistory[customer]),ROW(orderHistory[customer])),""),ROWS($A$15:A31)+$B$3)),INDEX(orderHistory[order_dat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date],SMALL(IF(ISNUMBER(MATCH(orderHistory[customer],$D$9,0)),MATCH(ROW(orderHistory[customer]),ROW(orderHistory[customer])),""),ROWS($A$15:A31)+$B$3)),INDEX(orderHistory[order_date],SMALL(IF(ISNUMBER(MATCH(orderHistory[customer],$D$9,0)*MATCH(YEAR(orderHistory[invoice_date]),$D$15,0)),MATCH(ROW(orderHistory[customer]),ROW(orderHistory[customer])),""),ROWS($A$15:A31)+$B$3))),IF($D$15="",INDEX(orderHistory[order_date],SMALL(IF(ISNUMBER(MATCH(orderHistory[customer],$D$9,0)*MATCH(orderHistory[order_type],$D$13,0)),MATCH(ROW(orderHistory[customer]),ROW(orderHistory[customer])),""),ROWS($A$15:A31)+$B$3)),INDEX(orderHistory[order_dat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date],SMALL(IF(ISNUMBER(MATCH(orderHistory[customer],$D$9,0)*MATCH(orderHistory[status],$D$11,0)),MATCH(ROW(orderHistory[customer]),ROW(orderHistory[customer])),""),ROWS($A$15:A31)+$B$3)),INDEX(orderHistory[order_date],SMALL(IF(ISNUMBER(MATCH(orderHistory[customer],$D$9,0)*MATCH(orderHistory[status],$D$11,0)*MATCH(YEAR(orderHistory[invoice_date]),$D$15,0)),MATCH(ROW(orderHistory[customer]),ROW(orderHistory[customer])),""),ROWS($A$15:A31)+$B$3))),IF($D$15="",INDEX(orderHistory[order_date],SMALL(IF(ISNUMBER(MATCH(orderHistory[customer],$D$9,0)*MATCH(orderHistory[status],$D$11,0)*MATCH(orderHistory[order_type],$D$13,0)),MATCH(ROW(orderHistory[customer]),ROW(orderHistory[customer])),""),ROWS($A$15:A31)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P26" s="543" t="str">
        <f t="array" ref="P26">IFERROR(IF($D$9="",IF($D$11="",IF($D$13="",IF($D$15="",INDEX(orderHistory[invoice_no],SMALL(MATCH(ROW(orderHistory[customer]),ROW(orderHistory[customer])),ROWS($A$15:A31)+$B$3)),INDEX(orderHistory[invoice_no],SMALL(IF(ISNUMBER(MATCH(YEAR(orderHistory[invoice_date]),$D$15,0)),MATCH(ROW(orderHistory[customer]),ROW(orderHistory[customer])),""),ROWS($A$15:A31)+$B$3))),IF($D$15="",INDEX(orderHistory[invoice_no],SMALL(IF(ISNUMBER(MATCH(orderHistory[order_type],$D$13,0)),MATCH(ROW(orderHistory[customer]),ROW(orderHistory[customer])),""),ROWS($A$15:A31)+$B$3)),INDEX(orderHistory[invoice_no],SMALL(IF(ISNUMBER(MATCH(orderHistory[order_type],$D$13,0)*MATCH(YEAR(orderHistory[invoice_date]),$D$15,0)),MATCH(ROW(orderHistory[customer]),ROW(orderHistory[customer])),""),ROWS($A$15:A31)+$B$3)))),IF($D$13="",IF($D$15="",INDEX(orderHistory[invoice_no],SMALL(IF(ISNUMBER(MATCH(orderHistory[status],$D$11,0)),MATCH(ROW(orderHistory[customer]),ROW(orderHistory[customer])),""),ROWS($A$15:A31)+$B$3)),INDEX(orderHistory[invoice_no],SMALL(IF(ISNUMBER(MATCH(orderHistory[status],$D$11,0)*MATCH(YEAR(orderHistory[invoice_date]),$D$15,0)),MATCH(ROW(orderHistory[customer]),ROW(orderHistory[customer])),""),ROWS($A$15:A31)+$B$3))),IF($D$15="",INDEX(orderHistory[invoice_no],SMALL(IF(ISNUMBER(MATCH(orderHistory[status],$D$11,0)*MATCH(orderHistory[order_type],$D$13,0)),MATCH(ROW(orderHistory[customer]),ROW(orderHistory[customer])),""),ROWS($A$15:A31)+$B$3)),INDEX(orderHistory[invoice_no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oice_no],SMALL(IF(ISNUMBER(MATCH(orderHistory[customer],$D$9,0)),MATCH(ROW(orderHistory[customer]),ROW(orderHistory[customer])),""),ROWS($A$15:A31)+$B$3)),INDEX(orderHistory[invoice_no],SMALL(IF(ISNUMBER(MATCH(orderHistory[customer],$D$9,0)*MATCH(YEAR(orderHistory[invoice_date]),$D$15,0)),MATCH(ROW(orderHistory[customer]),ROW(orderHistory[customer])),""),ROWS($A$15:A31)+$B$3))),IF($D$15="",INDEX(orderHistory[invoice_no],SMALL(IF(ISNUMBER(MATCH(orderHistory[customer],$D$9,0)*MATCH(orderHistory[order_type],$D$13,0)),MATCH(ROW(orderHistory[customer]),ROW(orderHistory[customer])),""),ROWS($A$15:A31)+$B$3)),INDEX(orderHistory[invoice_no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YEAR(orderHistory[invoice_date]),$D$15,0)),MATCH(ROW(orderHistory[customer]),ROW(orderHistory[customer])),""),ROWS($A$15:A31)+$B$3))),IF($D$15="",INDEX(orderHistory[invoice_no],SMALL(IF(ISNUMBER(MATCH(orderHistory[customer],$D$9,0)*MATCH(orderHistory[status],$D$11,0)*MATCH(orderHistory[order_type],$D$13,0)),MATCH(ROW(orderHistory[customer]),ROW(orderHistory[customer])),""),ROWS($A$15:A31)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Q26" s="544" t="str">
        <f t="array" ref="Q26">IFERROR(IF($D$9="",IF($D$11="",IF($D$13="",IF($D$15="",INDEX(orderHistory[invoice_date],SMALL(MATCH(ROW(orderHistory[customer]),ROW(orderHistory[customer])),ROWS($A$15:A31)+$B$3)),INDEX(orderHistory[invoice_date],SMALL(IF(ISNUMBER(MATCH(YEAR(orderHistory[invoice_date]),$D$15,0)),MATCH(ROW(orderHistory[customer]),ROW(orderHistory[customer])),""),ROWS($A$15:A31)+$B$3))),IF($D$15="",INDEX(orderHistory[invoice_date],SMALL(IF(ISNUMBER(MATCH(orderHistory[order_type],$D$13,0)),MATCH(ROW(orderHistory[customer]),ROW(orderHistory[customer])),""),ROWS($A$15:A31)+$B$3)),INDEX(orderHistory[invoice_date],SMALL(IF(ISNUMBER(MATCH(orderHistory[order_type],$D$13,0)*MATCH(YEAR(orderHistory[invoice_date]),$D$15,0)),MATCH(ROW(orderHistory[customer]),ROW(orderHistory[customer])),""),ROWS($A$15:A31)+$B$3)))),IF($D$13="",IF($D$15="",INDEX(orderHistory[invoice_date],SMALL(IF(ISNUMBER(MATCH(orderHistory[status],$D$11,0)),MATCH(ROW(orderHistory[customer]),ROW(orderHistory[customer])),""),ROWS($A$15:A31)+$B$3)),INDEX(orderHistory[invoice_date],SMALL(IF(ISNUMBER(MATCH(orderHistory[status],$D$11,0)*MATCH(YEAR(orderHistory[invoice_date]),$D$15,0)),MATCH(ROW(orderHistory[customer]),ROW(orderHistory[customer])),""),ROWS($A$15:A31)+$B$3))),IF($D$15="",INDEX(orderHistory[invoice_date],SMALL(IF(ISNUMBER(MATCH(orderHistory[status],$D$11,0)*MATCH(orderHistory[order_type],$D$13,0)),MATCH(ROW(orderHistory[customer]),ROW(orderHistory[customer])),""),ROWS($A$15:A31)+$B$3)),INDEX(orderHistory[invoice_dat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oice_date],SMALL(IF(ISNUMBER(MATCH(orderHistory[customer],$D$9,0)),MATCH(ROW(orderHistory[customer]),ROW(orderHistory[customer])),""),ROWS($A$15:A31)+$B$3)),INDEX(orderHistory[invoice_date],SMALL(IF(ISNUMBER(MATCH(orderHistory[customer],$D$9,0)*MATCH(YEAR(orderHistory[invoice_date]),$D$15,0)),MATCH(ROW(orderHistory[customer]),ROW(orderHistory[customer])),""),ROWS($A$15:A31)+$B$3))),IF($D$15="",INDEX(orderHistory[invoice_date],SMALL(IF(ISNUMBER(MATCH(orderHistory[customer],$D$9,0)*MATCH(orderHistory[order_type],$D$13,0)),MATCH(ROW(orderHistory[customer]),ROW(orderHistory[customer])),""),ROWS($A$15:A31)+$B$3)),INDEX(orderHistory[invoice_dat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YEAR(orderHistory[invoice_date]),$D$15,0)),MATCH(ROW(orderHistory[customer]),ROW(orderHistory[customer])),""),ROWS($A$15:A31)+$B$3))),IF($D$15="",INDEX(orderHistory[invoice_date],SMALL(IF(ISNUMBER(MATCH(orderHistory[customer],$D$9,0)*MATCH(orderHistory[status],$D$11,0)*MATCH(orderHistory[order_type],$D$13,0)),MATCH(ROW(orderHistory[customer]),ROW(orderHistory[customer])),""),ROWS($A$15:A31)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R26" s="545" t="str">
        <f t="array" ref="R26">IFERROR(IF($D$9="",IF($D$11="",IF($D$13="",IF($D$15="",INDEX(orderHistory[inv_amount],SMALL(MATCH(ROW(orderHistory[customer]),ROW(orderHistory[customer])),ROWS($A$15:A31)+$B$3)),INDEX(orderHistory[inv_amount],SMALL(IF(ISNUMBER(MATCH(YEAR(orderHistory[invoice_date]),$D$15,0)),MATCH(ROW(orderHistory[customer]),ROW(orderHistory[customer])),""),ROWS($A$15:A31)+$B$3))),IF($D$15="",INDEX(orderHistory[inv_amount],SMALL(IF(ISNUMBER(MATCH(orderHistory[order_type],$D$13,0)),MATCH(ROW(orderHistory[customer]),ROW(orderHistory[customer])),""),ROWS($A$15:A31)+$B$3)),INDEX(orderHistory[inv_amount],SMALL(IF(ISNUMBER(MATCH(orderHistory[order_type],$D$13,0)*MATCH(YEAR(orderHistory[invoice_date]),$D$15,0)),MATCH(ROW(orderHistory[customer]),ROW(orderHistory[customer])),""),ROWS($A$15:A31)+$B$3)))),IF($D$13="",IF($D$15="",INDEX(orderHistory[inv_amount],SMALL(IF(ISNUMBER(MATCH(orderHistory[status],$D$11,0)),MATCH(ROW(orderHistory[customer]),ROW(orderHistory[customer])),""),ROWS($A$15:A31)+$B$3)),INDEX(orderHistory[inv_amount],SMALL(IF(ISNUMBER(MATCH(orderHistory[status],$D$11,0)*MATCH(YEAR(orderHistory[invoice_date]),$D$15,0)),MATCH(ROW(orderHistory[customer]),ROW(orderHistory[customer])),""),ROWS($A$15:A31)+$B$3))),IF($D$15="",INDEX(orderHistory[inv_amount],SMALL(IF(ISNUMBER(MATCH(orderHistory[status],$D$11,0)*MATCH(orderHistory[order_type],$D$13,0)),MATCH(ROW(orderHistory[customer]),ROW(orderHistory[customer])),""),ROWS($A$15:A31)+$B$3)),INDEX(orderHistory[inv_amount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_amount],SMALL(IF(ISNUMBER(MATCH(orderHistory[customer],$D$9,0)),MATCH(ROW(orderHistory[customer]),ROW(orderHistory[customer])),""),ROWS($A$15:A31)+$B$3)),INDEX(orderHistory[inv_amount],SMALL(IF(ISNUMBER(MATCH(orderHistory[customer],$D$9,0)*MATCH(YEAR(orderHistory[invoice_date]),$D$15,0)),MATCH(ROW(orderHistory[customer]),ROW(orderHistory[customer])),""),ROWS($A$15:A31)+$B$3))),IF($D$15="",INDEX(orderHistory[inv_amount],SMALL(IF(ISNUMBER(MATCH(orderHistory[customer],$D$9,0)*MATCH(orderHistory[order_type],$D$13,0)),MATCH(ROW(orderHistory[customer]),ROW(orderHistory[customer])),""),ROWS($A$15:A31)+$B$3)),INDEX(orderHistory[inv_amount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_amount],SMALL(IF(ISNUMBER(MATCH(orderHistory[customer],$D$9,0)*MATCH(orderHistory[status],$D$11,0)),MATCH(ROW(orderHistory[customer]),ROW(orderHistory[customer])),""),ROWS($A$15:A31)+$B$3)),INDEX(orderHistory[inv_amount],SMALL(IF(ISNUMBER(MATCH(orderHistory[customer],$D$9,0)*MATCH(orderHistory[status],$D$11,0)*MATCH(YEAR(orderHistory[inv_amount]),$D$15,0)),MATCH(ROW(orderHistory[customer]),ROW(orderHistory[customer])),""),ROWS($A$15:A31)+$B$3))),IF($D$15="",INDEX(orderHistory[inv_amount],SMALL(IF(ISNUMBER(MATCH(orderHistory[customer],$D$9,0)*MATCH(orderHistory[status],$D$11,0)*MATCH(orderHistory[order_type],$D$13,0)),MATCH(ROW(orderHistory[customer]),ROW(orderHistory[customer])),""),ROWS($A$15:A31)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S26" s="546" t="str">
        <f t="shared" si="2"/>
        <v/>
      </c>
      <c r="T26" s="547" t="str">
        <f t="array" ref="T26">IFERROR(IF($D$9="",IF($D$11="",IF($D$13="",IF($D$15="",INDEX(orderHistory[payed],SMALL(MATCH(ROW(orderHistory[customer]),ROW(orderHistory[customer])),ROWS($A$15:A31)+$B$3)),INDEX(orderHistory[payed],SMALL(IF(ISNUMBER(MATCH(YEAR(orderHistory[invoice_date]),$D$15,0)),MATCH(ROW(orderHistory[customer]),ROW(orderHistory[customer])),""),ROWS($A$15:A31)+$B$3))),IF($D$15="",INDEX(orderHistory[payed],SMALL(IF(ISNUMBER(MATCH(orderHistory[order_type],$D$13,0)),MATCH(ROW(orderHistory[customer]),ROW(orderHistory[customer])),""),ROWS($A$15:A31)+$B$3)),INDEX(orderHistory[payed],SMALL(IF(ISNUMBER(MATCH(orderHistory[order_type],$D$13,0)*MATCH(YEAR(orderHistory[invoice_date]),$D$15,0)),MATCH(ROW(orderHistory[customer]),ROW(orderHistory[customer])),""),ROWS($A$15:A31)+$B$3)))),IF($D$13="",IF($D$15="",INDEX(orderHistory[payed],SMALL(IF(ISNUMBER(MATCH(orderHistory[status],$D$11,0)),MATCH(ROW(orderHistory[customer]),ROW(orderHistory[customer])),""),ROWS($A$15:A31)+$B$3)),INDEX(orderHistory[payed],SMALL(IF(ISNUMBER(MATCH(orderHistory[status],$D$11,0)*MATCH(YEAR(orderHistory[invoice_date]),$D$15,0)),MATCH(ROW(orderHistory[customer]),ROW(orderHistory[customer])),""),ROWS($A$15:A31)+$B$3))),IF($D$15="",INDEX(orderHistory[payed],SMALL(IF(ISNUMBER(MATCH(orderHistory[status],$D$11,0)*MATCH(orderHistory[order_type],$D$13,0)),MATCH(ROW(orderHistory[customer]),ROW(orderHistory[customer])),""),ROWS($A$15:A31)+$B$3)),INDEX(orderHistory[payed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payed],SMALL(IF(ISNUMBER(MATCH(orderHistory[customer],$D$9,0)),MATCH(ROW(orderHistory[customer]),ROW(orderHistory[customer])),""),ROWS($A$15:A31)+$B$3)),INDEX(orderHistory[payed],SMALL(IF(ISNUMBER(MATCH(orderHistory[customer],$D$9,0)*MATCH(YEAR(orderHistory[invoice_date]),$D$15,0)),MATCH(ROW(orderHistory[customer]),ROW(orderHistory[customer])),""),ROWS($A$15:A31)+$B$3))),IF($D$15="",INDEX(orderHistory[payed],SMALL(IF(ISNUMBER(MATCH(orderHistory[customer],$D$9,0)*MATCH(orderHistory[order_type],$D$13,0)),MATCH(ROW(orderHistory[customer]),ROW(orderHistory[customer])),""),ROWS($A$15:A31)+$B$3)),INDEX(orderHistory[payed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payed],SMALL(IF(ISNUMBER(MATCH(orderHistory[customer],$D$9,0)*MATCH(orderHistory[status],$D$11,0)),MATCH(ROW(orderHistory[customer]),ROW(orderHistory[customer])),""),ROWS($A$15:A31)+$B$3)),INDEX(orderHistory[payed],SMALL(IF(ISNUMBER(MATCH(orderHistory[customer],$D$9,0)*MATCH(orderHistory[status],$D$11,0)*MATCH(YEAR(orderHistory[payed]),$D$15,0)),MATCH(ROW(orderHistory[customer]),ROW(orderHistory[customer])),""),ROWS($A$15:A31)+$B$3))),IF($D$15="",INDEX(orderHistory[payed],SMALL(IF(ISNUMBER(MATCH(orderHistory[customer],$D$9,0)*MATCH(orderHistory[status],$D$11,0)*MATCH(orderHistory[order_type],$D$13,0)),MATCH(ROW(orderHistory[customer]),ROW(orderHistory[customer])),""),ROWS($A$15:A31)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U26" s="541" t="str">
        <f t="array" ref="U26">IFERROR(IF($D$9="",IF($D$11="",IF($D$13="",IF($D$15="",INDEX(orderHistory[shipping_method],SMALL(MATCH(ROW(orderHistory[customer]),ROW(orderHistory[customer])),ROWS($A$15:A31)+$B$3)),INDEX(orderHistory[shipping_method],SMALL(IF(ISNUMBER(MATCH(YEAR(orderHistory[invoice_date]),$D$15,0)),MATCH(ROW(orderHistory[customer]),ROW(orderHistory[customer])),""),ROWS($A$15:A31)+$B$3))),IF($D$15="",INDEX(orderHistory[shipping_method],SMALL(IF(ISNUMBER(MATCH(orderHistory[order_type],$D$13,0)),MATCH(ROW(orderHistory[customer]),ROW(orderHistory[customer])),""),ROWS($A$15:A31)+$B$3)),INDEX(orderHistory[shipping_method],SMALL(IF(ISNUMBER(MATCH(orderHistory[order_type],$D$13,0)*MATCH(YEAR(orderHistory[invoice_date]),$D$15,0)),MATCH(ROW(orderHistory[customer]),ROW(orderHistory[customer])),""),ROWS($A$15:A31)+$B$3)))),IF($D$13="",IF($D$15="",INDEX(orderHistory[shipping_method],SMALL(IF(ISNUMBER(MATCH(orderHistory[status],$D$11,0)),MATCH(ROW(orderHistory[customer]),ROW(orderHistory[customer])),""),ROWS($A$15:A31)+$B$3)),INDEX(orderHistory[shipping_method],SMALL(IF(ISNUMBER(MATCH(orderHistory[status],$D$11,0)*MATCH(YEAR(orderHistory[invoice_date]),$D$15,0)),MATCH(ROW(orderHistory[customer]),ROW(orderHistory[customer])),""),ROWS($A$15:A31)+$B$3))),IF($D$15="",INDEX(orderHistory[shipping_method],SMALL(IF(ISNUMBER(MATCH(orderHistory[status],$D$11,0)*MATCH(orderHistory[order_type],$D$13,0)),MATCH(ROW(orderHistory[customer]),ROW(orderHistory[customer])),""),ROWS($A$15:A31)+$B$3)),INDEX(orderHistory[shipping_method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shipping_method],SMALL(IF(ISNUMBER(MATCH(orderHistory[customer],$D$9,0)),MATCH(ROW(orderHistory[customer]),ROW(orderHistory[customer])),""),ROWS($A$15:A31)+$B$3)),INDEX(orderHistory[shipping_method],SMALL(IF(ISNUMBER(MATCH(orderHistory[customer],$D$9,0)*MATCH(YEAR(orderHistory[invoice_date]),$D$15,0)),MATCH(ROW(orderHistory[customer]),ROW(orderHistory[customer])),""),ROWS($A$15:A31)+$B$3))),IF($D$15="",INDEX(orderHistory[shipping_method],SMALL(IF(ISNUMBER(MATCH(orderHistory[customer],$D$9,0)*MATCH(orderHistory[order_type],$D$13,0)),MATCH(ROW(orderHistory[customer]),ROW(orderHistory[customer])),""),ROWS($A$15:A31)+$B$3)),INDEX(orderHistory[shipping_method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shipping_method],SMALL(IF(ISNUMBER(MATCH(orderHistory[customer],$D$9,0)*MATCH(orderHistory[status],$D$11,0)),MATCH(ROW(orderHistory[customer]),ROW(orderHistory[customer])),""),ROWS($A$15:A31)+$B$3)),INDEX(orderHistory[shipping_method],SMALL(IF(ISNUMBER(MATCH(orderHistory[customer],$D$9,0)*MATCH(orderHistory[status],$D$11,0)*MATCH(YEAR(orderHistory[shipping_method]),$D$15,0)),MATCH(ROW(orderHistory[customer]),ROW(orderHistory[customer])),""),ROWS($A$15:A31)+$B$3))),IF($D$15="",INDEX(orderHistory[shipping_method],SMALL(IF(ISNUMBER(MATCH(orderHistory[customer],$D$9,0)*MATCH(orderHistory[status],$D$11,0)*MATCH(orderHistory[order_type],$D$13,0)),MATCH(ROW(orderHistory[customer]),ROW(orderHistory[customer])),""),ROWS($A$15:A31)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V26" s="548" t="str">
        <f t="array" ref="V26">IFERROR(IF($D$9="",IF($D$11="",IF($D$13="",IF($D$15="",INDEX(orderHistory[status],SMALL(MATCH(ROW(orderHistory[customer]),ROW(orderHistory[customer])),ROWS($A$15:A31)+$B$3)),INDEX(orderHistory[status],SMALL(IF(ISNUMBER(MATCH(YEAR(orderHistory[invoice_date]),$D$15,0)),MATCH(ROW(orderHistory[customer]),ROW(orderHistory[customer])),""),ROWS($A$15:A31)+$B$3))),IF($D$15="",INDEX(orderHistory[status],SMALL(IF(ISNUMBER(MATCH(orderHistory[order_type],$D$13,0)),MATCH(ROW(orderHistory[customer]),ROW(orderHistory[customer])),""),ROWS($A$15:A31)+$B$3)),INDEX(orderHistory[status],SMALL(IF(ISNUMBER(MATCH(orderHistory[order_type],$D$13,0)*MATCH(YEAR(orderHistory[invoice_date]),$D$15,0)),MATCH(ROW(orderHistory[customer]),ROW(orderHistory[customer])),""),ROWS($A$15:A31)+$B$3)))),IF($D$13="",IF($D$15="",INDEX(orderHistory[status],SMALL(IF(ISNUMBER(MATCH(orderHistory[status],$D$11,0)),MATCH(ROW(orderHistory[customer]),ROW(orderHistory[customer])),""),ROWS($A$15:A31)+$B$3)),INDEX(orderHistory[status],SMALL(IF(ISNUMBER(MATCH(orderHistory[status],$D$11,0)*MATCH(YEAR(orderHistory[invoice_date]),$D$15,0)),MATCH(ROW(orderHistory[customer]),ROW(orderHistory[customer])),""),ROWS($A$15:A31)+$B$3))),IF($D$15="",INDEX(orderHistory[status],SMALL(IF(ISNUMBER(MATCH(orderHistory[status],$D$11,0)*MATCH(orderHistory[order_type],$D$13,0)),MATCH(ROW(orderHistory[customer]),ROW(orderHistory[customer])),""),ROWS($A$15:A31)+$B$3)),INDEX(orderHistory[status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status],SMALL(IF(ISNUMBER(MATCH(orderHistory[customer],$D$9,0)),MATCH(ROW(orderHistory[customer]),ROW(orderHistory[customer])),""),ROWS($A$15:A31)+$B$3)),INDEX(orderHistory[status],SMALL(IF(ISNUMBER(MATCH(orderHistory[customer],$D$9,0)*MATCH(YEAR(orderHistory[invoice_date]),$D$15,0)),MATCH(ROW(orderHistory[customer]),ROW(orderHistory[customer])),""),ROWS($A$15:A31)+$B$3))),IF($D$15="",INDEX(orderHistory[status],SMALL(IF(ISNUMBER(MATCH(orderHistory[customer],$D$9,0)*MATCH(orderHistory[order_type],$D$13,0)),MATCH(ROW(orderHistory[customer]),ROW(orderHistory[customer])),""),ROWS($A$15:A31)+$B$3)),INDEX(orderHistory[status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status],SMALL(IF(ISNUMBER(MATCH(orderHistory[customer],$D$9,0)*MATCH(orderHistory[status],$D$11,0)),MATCH(ROW(orderHistory[customer]),ROW(orderHistory[customer])),""),ROWS($A$15:A31)+$B$3)),INDEX(orderHistory[status],SMALL(IF(ISNUMBER(MATCH(orderHistory[customer],$D$9,0)*MATCH(orderHistory[status],$D$11,0)*MATCH(YEAR(orderHistory[status]),$D$15,0)),MATCH(ROW(orderHistory[customer]),ROW(orderHistory[customer])),""),ROWS($A$15:A31)+$B$3))),IF($D$15="",INDEX(orderHistory[status],SMALL(IF(ISNUMBER(MATCH(orderHistory[customer],$D$9,0)*MATCH(orderHistory[status],$D$11,0)*MATCH(orderHistory[order_type],$D$13,0)),MATCH(ROW(orderHistory[customer]),ROW(orderHistory[customer])),""),ROWS($A$15:A31)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W26" s="107"/>
      <c r="AQ26" s="427"/>
      <c r="AR26" s="826"/>
      <c r="AS26" s="826"/>
      <c r="AT26" s="826"/>
      <c r="AU26" s="492"/>
      <c r="AV26" s="466"/>
      <c r="AW26" s="459"/>
      <c r="AX26" s="419"/>
      <c r="AY26" s="419"/>
      <c r="AZ26" s="419"/>
      <c r="BA26" s="419"/>
      <c r="BB26" s="419"/>
      <c r="BC26" s="419"/>
      <c r="BD26" s="419"/>
      <c r="BE26" s="419"/>
      <c r="BF26" s="419"/>
      <c r="BG26" s="461"/>
      <c r="BH26" s="419"/>
      <c r="BI26" s="419"/>
      <c r="BJ26" s="420"/>
      <c r="BK26" s="450"/>
      <c r="BL26" s="451"/>
      <c r="BM26" s="452"/>
      <c r="BN26" s="451"/>
      <c r="BO26" s="452"/>
      <c r="BX26" s="519"/>
      <c r="BZ26" s="167"/>
      <c r="CA26" s="154" t="str">
        <f>IF(BZ26="","",INDEX(bhpc_data[description],MATCH(BZ26,bhpc_data[sku],0)))</f>
        <v/>
      </c>
      <c r="CB26" s="166"/>
      <c r="CC26" s="358"/>
      <c r="CD26" s="160"/>
      <c r="CE26" s="360"/>
      <c r="CF26" s="161"/>
      <c r="CG26" s="164" t="str">
        <f>IFERROR(ROUNDUP(CB26/INDEX(bhpc_data[units_per_carton],MATCH(BZ26,bhpc_data[sku],0)),0),"")</f>
        <v/>
      </c>
      <c r="CH26" s="165" t="str">
        <f>IFERROR(ROUNDUP(CD26/INDEX(bhpc_data[units_per_carton],MATCH(BZ26,bhpc_data[sku],0)),0),"")</f>
        <v/>
      </c>
      <c r="CI26" s="165" t="str">
        <f>IFERROR(ROUNDUP(CF26/INDEX(bhpc_data[units_per_carton],MATCH(BZ26,bhpc_data[sku])),0),"")</f>
        <v/>
      </c>
      <c r="CJ26" s="165" t="str">
        <f>IFERROR(((CB26+CD26+CF26)/INDEX(bhpc_data[units_per_carton],MATCH(BZ26,bhpc_data[sku],0)))*INDEX(bhpc_data[net_weight],MATCH(BZ26,bhpc_data[sku],0)),"")</f>
        <v/>
      </c>
      <c r="CK26" s="165" t="str">
        <f>IFERROR(((CB26+CD26+CF26)/INDEX(bhpc_data[units_per_carton],MATCH(BZ26,bhpc_data[sku],0)))*INDEX(bhpc_data[gross_weight],MATCH(BZ26,bhpc_data[sku],0)),"")</f>
        <v/>
      </c>
      <c r="CL26" s="180" t="str">
        <f>IFERROR((CB26+CD26+CF26)/INDEX(bhpc_data[units_per_carton],MATCH(BZ26,bhpc_data[sku],0))*INDEX(bhpc_data[lenght],MATCH(BZ26,bhpc_data[sku],0))*INDEX(bhpc_data[width],MATCH(BZ26,bhpc_data[sku],0))*INDEX(bhpc_data[height],MATCH(BZ26,bhpc_data[sku],0))/1000000000,"")</f>
        <v/>
      </c>
      <c r="CM26" s="189" t="str">
        <f>IFERROR(INDEX(bhpc_data[category],MATCH(BZ26,bhpc_data[sku],0)),"")</f>
        <v/>
      </c>
      <c r="CN26" s="189" t="str">
        <f>IFERROR(INDEX(bhpc_data[size1],MATCH(BZ26,bhpc_data[sku],0)),"")</f>
        <v/>
      </c>
      <c r="CO26" s="388" t="str">
        <f>IFERROR(INDEX(bhpc_data[hs_code],MATCH(BZ26,bhpc_data[sku],0)),"")</f>
        <v/>
      </c>
      <c r="CP26" s="377" t="str">
        <f>IFERROR(INDEX(inventory[ESISTENZA],MATCH(BZ26,inventory[ARTICOLO],0)),"")</f>
        <v/>
      </c>
      <c r="CQ26" s="367" t="str">
        <f>IFERROR(IF(BZ26="","",IF($BX$15="SALE",INDEX(inventory[COSTO UNITARIO],MATCH(BZ26,inventory[ARTICOLO],0)),IF($BX$15="SAMPLING",INDEX(inventory[COSTO UNITARIO],MATCH(BZ26,inventory[ARTICOLO],0)),""))),"")</f>
        <v/>
      </c>
      <c r="CR26" s="368" t="str">
        <f t="shared" si="0"/>
        <v/>
      </c>
      <c r="CS26" s="264" t="str">
        <f t="shared" si="1"/>
        <v/>
      </c>
      <c r="CU26" s="104"/>
      <c r="CV26" s="83"/>
      <c r="CW26" s="83"/>
      <c r="CX26" s="83"/>
      <c r="CY26" s="83"/>
      <c r="CZ26" s="84"/>
      <c r="DA26" s="432" t="str">
        <f>IFERROR(VLOOKUP(BZ26,bhpc_data[],22,FALSE),"")</f>
        <v/>
      </c>
      <c r="DH26" s="296"/>
      <c r="EE26" s="202" t="str" cm="1">
        <f t="array" ref="EE26">IFERROR(IF($EC$9="",IF($EC$11="",IF($EC$13="",INDEX(bhpc_data[sku],SMALL(MATCH(ROW(bhpc_data[sku]),ROW(bhpc_data[sku])),ROWS($A$15:A31)+$B$3)),INDEX(bhpc_data[sku],SMALL(IF(ISNUMBER(MATCH(bhpc_data[size1],$EC$13,0)),MATCH(ROW(bhpc_data[sku]),ROW(bhpc_data[sku])),""),ROWS($A$15:A31)+$B$3))),IF($EC$13="",INDEX(bhpc_data[sku],SMALL(IF(ISNUMBER(MATCH(bhpc_data[sex],$EC$11,0)),MATCH(ROW(bhpc_data[sku]),ROW(bhpc_data[sku])),""),ROWS($A$15:A31)+$B$3)),INDEX(bhpc_data[sku],SMALL(IF(ISNUMBER(MATCH(bhpc_data[sex],$EC$11,0)*MATCH(bhpc_data[size1],$EC$13,0)),MATCH(ROW(bhpc_data[sku]),ROW(bhpc_data[sku])),""),ROWS($A$15:A31)+$B$3)))),IF($EC$11="",IF($EC$13="",INDEX(bhpc_data[sku],SMALL(IF(ISNUMBER(MATCH(bhpc_data[category],$EC$9,0)),MATCH(ROW(bhpc_data[sku]),ROW(bhpc_data[sku])),""),ROWS($A$15:A31)+$B$3)),INDEX(bhpc_data[sku],SMALL(IF(ISNUMBER(MATCH(bhpc_data[category],$EC$9,0)*MATCH(bhpc_data[size1],$EC$13,0)),MATCH(ROW(bhpc_data[sku]),ROW(bhpc_data[sku])),""),ROWS($A$15:A31)+$B$3))),IF($EC$13="",INDEX(bhpc_data[sku],SMALL(IF(ISNUMBER(MATCH(bhpc_data[category],$EC$9,0)*MATCH(bhpc_data[sex],$EC$11,0)),MATCH(ROW(bhpc_data[sku]),ROW(bhpc_data[sku])),""),ROWS($A$15:A31)+$B$3)),INDEX(bhpc_data[sku],SMALL(IF(ISNUMBER(MATCH(bhpc_data[category],$EC$9,0)*MATCH(bhpc_data[sex],$EC$11,0)*MATCH(bhpc_data[size1],$EC$13,0)),MATCH(ROW(bhpc_data[sku]),ROW(bhpc_data[sku])),""),ROWS($A$15:A31)+$B$3))))),"")</f>
        <v>GS7020</v>
      </c>
      <c r="EF26" s="198" t="str" cm="1">
        <f t="array" ref="EF26">IFERROR(IF($EC$9="",IF($EC$11="",IF($EC$13="",INDEX(bhpc_data[description],SMALL(MATCH(ROW(bhpc_data[sku]),ROW(bhpc_data[sku])),ROWS($A$15:A31)+$B$3)),INDEX(bhpc_data[description],SMALL(IF(ISNUMBER(MATCH(bhpc_data[size1],$EC$13,0)),MATCH(ROW(bhpc_data[sku]),ROW(bhpc_data[sku])),""),ROWS($A$15:A31)+$B$3))),IF($EC$13="",INDEX(bhpc_data[description],SMALL(IF(ISNUMBER(MATCH(bhpc_data[sex],$EC$11,0)),MATCH(ROW(bhpc_data[sku]),ROW(bhpc_data[sku])),""),ROWS($A$15:A31)+$B$3)),INDEX(bhpc_data[description],SMALL(IF(ISNUMBER(MATCH(bhpc_data[sex],$EC$11,0)*MATCH(bhpc_data[size1],$EC$13,0)),MATCH(ROW(bhpc_data[sku]),ROW(bhpc_data[sku])),""),ROWS($A$15:A31)+$B$3)))),IF($EC$11="",IF($EC$13="",INDEX(bhpc_data[description],SMALL(IF(ISNUMBER(MATCH(bhpc_data[category],$EC$9,0)),MATCH(ROW(bhpc_data[sku]),ROW(bhpc_data[sku])),""),ROWS($A$15:A31)+$B$3)),INDEX(bhpc_data[description],SMALL(IF(ISNUMBER(MATCH(bhpc_data[category],$EC$9,0)*MATCH(bhpc_data[size1],$EC$13,0)),MATCH(ROW(bhpc_data[sku]),ROW(bhpc_data[sku])),""),ROWS($A$15:A31)+$B$3))),IF($EC$13="",INDEX(bhpc_data[description],SMALL(IF(ISNUMBER(MATCH(bhpc_data[category],$EC$9,0)*MATCH(bhpc_data[sex],$EC$11,0)),MATCH(ROW(bhpc_data[sku]),ROW(bhpc_data[sku])),""),ROWS($A$15:A31)+$B$3)),INDEX(bhpc_data[description],SMALL(IF(ISNUMBER(MATCH(bhpc_data[category],$EC$9,0)*MATCH(bhpc_data[sex],$EC$11,0)*MATCH(bhpc_data[size1],$EC$13,0)),MATCH(ROW(bhpc_data[sku]),ROW(bhpc_data[sku])),""),ROWS($A$15:A31)+$B$3))))),"")</f>
        <v>BHPC GIFT SET MEN #1 EDT50ML+DEO175ML+ROLLON50ML</v>
      </c>
      <c r="EG26" s="263">
        <f>IFERROR(IF(warehouse[[#This Row],[SKU]]="","",INDEX(inventory[ESISTENZA],MATCH(warehouse[[#This Row],[SKU]],inventory[ARTICOLO],0))),"")</f>
        <v>309</v>
      </c>
      <c r="EH26" s="328"/>
      <c r="EI26" s="328"/>
      <c r="EJ26" s="263"/>
      <c r="EK26" s="113"/>
      <c r="FF26" s="413"/>
      <c r="FG26" s="413"/>
      <c r="FH26" s="413"/>
      <c r="FI26" s="413"/>
      <c r="FJ26" s="413"/>
      <c r="FK26" s="413"/>
      <c r="FL26" s="413"/>
      <c r="FM26" s="413"/>
      <c r="FN26" s="413"/>
      <c r="FO26" s="413"/>
      <c r="FP26" s="413"/>
      <c r="FQ26" s="413"/>
      <c r="FR26" s="413"/>
      <c r="FS26" s="413"/>
      <c r="FT26" s="413"/>
      <c r="FU26" s="413"/>
      <c r="FV26" s="413"/>
      <c r="FW26" s="413"/>
      <c r="FX26" s="413"/>
      <c r="FY26" s="413"/>
      <c r="FZ26" s="413"/>
      <c r="GA26" s="413"/>
      <c r="GB26" s="413"/>
      <c r="GC26" s="413"/>
      <c r="GD26" s="413"/>
      <c r="GE26" s="413"/>
      <c r="GF26" s="413"/>
      <c r="GG26" s="413"/>
      <c r="GH26" s="413"/>
      <c r="GI26" s="413"/>
      <c r="GJ26" s="413"/>
      <c r="GK26" s="413"/>
      <c r="GL26" s="413"/>
      <c r="GM26" s="413"/>
      <c r="GN26" s="413"/>
      <c r="GO26" s="413"/>
      <c r="GP26" s="413"/>
      <c r="GQ26" s="413"/>
      <c r="GR26" s="413"/>
      <c r="GS26" s="413"/>
      <c r="GT26" s="413"/>
      <c r="GU26" s="413"/>
      <c r="GV26" s="413"/>
      <c r="GW26" s="413"/>
      <c r="GX26" s="413"/>
      <c r="GY26" s="413"/>
      <c r="GZ26" s="413"/>
      <c r="HA26" s="413"/>
      <c r="HB26" s="413"/>
      <c r="HC26" s="413"/>
      <c r="HD26" s="413"/>
      <c r="HE26" s="413"/>
      <c r="HF26" s="413"/>
      <c r="HG26" s="413"/>
      <c r="HH26" s="413"/>
      <c r="HI26" s="413"/>
      <c r="HJ26" s="413"/>
      <c r="HK26" s="413"/>
      <c r="HL26" s="413"/>
      <c r="HM26" s="413"/>
      <c r="HN26" s="413"/>
      <c r="HO26" s="413"/>
      <c r="HP26" s="413"/>
      <c r="HQ26" s="413"/>
      <c r="HR26" s="413"/>
      <c r="HS26" s="413"/>
      <c r="HT26" s="413"/>
    </row>
    <row r="27" spans="1:228" ht="15" customHeight="1" x14ac:dyDescent="0.35">
      <c r="D27" s="332" t="e">
        <f>VLOOKUP(VLOOKUP($B$4,orderHistory[],15,FALSE),carriers[],5,FALSE)</f>
        <v>#N/A</v>
      </c>
      <c r="F27" s="96"/>
      <c r="G27" s="800" t="str">
        <f>IFERROR(INDEX(clientData[logistic_address2],MATCH(B6,clientData[cod_cliente],0)),"")</f>
        <v>JEBEL ALI, DUBAI - UAE</v>
      </c>
      <c r="H27" s="843"/>
      <c r="I27" s="801"/>
      <c r="J27" s="82"/>
      <c r="L27" s="539" t="str">
        <f t="array" ref="L27">IFERROR(IF($D$9="",IF($D$11="",IF($D$13="",IF($D$15="",INDEX(orderHistory[customer],SMALL(MATCH(ROW(orderHistory[customer]),ROW(orderHistory[customer])),ROWS($A$15:A32)+$B$3)),INDEX(orderHistory[customer],SMALL(IF(ISNUMBER(MATCH(YEAR(orderHistory[invoice_date]),$D$15,0)),MATCH(ROW(orderHistory[customer]),ROW(orderHistory[customer])),""),ROWS($A$15:A32)+$B$3))),IF($D$15="",INDEX(orderHistory[customer],SMALL(IF(ISNUMBER(MATCH(orderHistory[order_type],$D$13,0)),MATCH(ROW(orderHistory[customer]),ROW(orderHistory[customer])),""),ROWS($A$15:A32)+$B$3)),INDEX(orderHistory[customer],SMALL(IF(ISNUMBER(MATCH(orderHistory[order_type],$D$13,0)*MATCH(YEAR(orderHistory[invoice_date]),$D$15,0)),MATCH(ROW(orderHistory[customer]),ROW(orderHistory[customer])),""),ROWS($A$15:A32)+$B$3)))),IF($D$13="",IF($D$15="",INDEX(orderHistory[customer],SMALL(IF(ISNUMBER(MATCH(orderHistory[status],$D$11,0)),MATCH(ROW(orderHistory[customer]),ROW(orderHistory[customer])),""),ROWS($A$15:A32)+$B$3)),INDEX(orderHistory[customer],SMALL(IF(ISNUMBER(MATCH(orderHistory[status],$D$11,0)*MATCH(YEAR(orderHistory[invoice_date]),$D$15,0)),MATCH(ROW(orderHistory[customer]),ROW(orderHistory[customer])),""),ROWS($A$15:A32)+$B$3))),IF($D$15="",INDEX(orderHistory[customer],SMALL(IF(ISNUMBER(MATCH(orderHistory[status],$D$11,0)*MATCH(orderHistory[order_type],$D$13,0)),MATCH(ROW(orderHistory[customer]),ROW(orderHistory[customer])),""),ROWS($A$15:A32)+$B$3)),INDEX(orderHistory[customer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customer],SMALL(IF(ISNUMBER(MATCH(orderHistory[customer],$D$9,0)),MATCH(ROW(orderHistory[customer]),ROW(orderHistory[customer])),""),ROWS($A$15:A32)+$B$3)),INDEX(orderHistory[customer],SMALL(IF(ISNUMBER(MATCH(orderHistory[customer],$D$9,0)*MATCH(YEAR(orderHistory[invoice_date]),$D$15,0)),MATCH(ROW(orderHistory[customer]),ROW(orderHistory[customer])),""),ROWS($A$15:A32)+$B$3))),IF($D$15="",INDEX(orderHistory[customer],SMALL(IF(ISNUMBER(MATCH(orderHistory[customer],$D$9,0)*MATCH(orderHistory[order_type],$D$13,0)),MATCH(ROW(orderHistory[customer]),ROW(orderHistory[customer])),""),ROWS($A$15:A32)+$B$3)),INDEX(orderHistory[customer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customer],SMALL(IF(ISNUMBER(MATCH(orderHistory[customer],$D$9,0)*MATCH(orderHistory[status],$D$11,0)),MATCH(ROW(orderHistory[customer]),ROW(orderHistory[customer])),""),ROWS($A$15:A32)+$B$3)),INDEX(orderHistory[customer],SMALL(IF(ISNUMBER(MATCH(orderHistory[customer],$D$9,0)*MATCH(orderHistory[status],$D$11,0)*MATCH(YEAR(orderHistory[invoice_date]),$D$15,0)),MATCH(ROW(orderHistory[customer]),ROW(orderHistory[customer])),""),ROWS($A$15:A32)+$B$3))),IF($D$15="",INDEX(orderHistory[customer],SMALL(IF(ISNUMBER(MATCH(orderHistory[customer],$D$9,0)*MATCH(orderHistory[status],$D$11,0)*MATCH(orderHistory[order_type],$D$13,0)),MATCH(ROW(orderHistory[customer]),ROW(orderHistory[customer])),""),ROWS($A$15:A32)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M27" s="540" t="str">
        <f t="array" ref="M27">IFERROR(IF($D$9="",IF($D$11="",IF($D$13="",IF($D$15="",INDEX(orderHistory[order_no],SMALL(MATCH(ROW(orderHistory[customer]),ROW(orderHistory[customer])),ROWS($A$15:A32)+$B$3)),INDEX(orderHistory[order_no],SMALL(IF(ISNUMBER(MATCH(YEAR(orderHistory[invoice_date]),$D$15,0)),MATCH(ROW(orderHistory[customer]),ROW(orderHistory[customer])),""),ROWS($A$15:A32)+$B$3))),IF($D$15="",INDEX(orderHistory[order_no],SMALL(IF(ISNUMBER(MATCH(orderHistory[order_type],$D$13,0)),MATCH(ROW(orderHistory[customer]),ROW(orderHistory[customer])),""),ROWS($A$15:A32)+$B$3)),INDEX(orderHistory[order_no],SMALL(IF(ISNUMBER(MATCH(orderHistory[order_type],$D$13,0)*MATCH(YEAR(orderHistory[invoice_date]),$D$15,0)),MATCH(ROW(orderHistory[customer]),ROW(orderHistory[customer])),""),ROWS($A$15:A32)+$B$3)))),IF($D$13="",IF($D$15="",INDEX(orderHistory[order_no],SMALL(IF(ISNUMBER(MATCH(orderHistory[status],$D$11,0)),MATCH(ROW(orderHistory[customer]),ROW(orderHistory[customer])),""),ROWS($A$15:A32)+$B$3)),INDEX(orderHistory[order_no],SMALL(IF(ISNUMBER(MATCH(orderHistory[status],$D$11,0)*MATCH(YEAR(orderHistory[invoice_date]),$D$15,0)),MATCH(ROW(orderHistory[customer]),ROW(orderHistory[customer])),""),ROWS($A$15:A32)+$B$3))),IF($D$15="",INDEX(orderHistory[order_no],SMALL(IF(ISNUMBER(MATCH(orderHistory[status],$D$11,0)*MATCH(orderHistory[order_type],$D$13,0)),MATCH(ROW(orderHistory[customer]),ROW(orderHistory[customer])),""),ROWS($A$15:A32)+$B$3)),INDEX(orderHistory[order_no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no],SMALL(IF(ISNUMBER(MATCH(orderHistory[customer],$D$9,0)),MATCH(ROW(orderHistory[customer]),ROW(orderHistory[customer])),""),ROWS($A$15:A32)+$B$3)),INDEX(orderHistory[order_no],SMALL(IF(ISNUMBER(MATCH(orderHistory[customer],$D$9,0)*MATCH(YEAR(orderHistory[invoice_date]),$D$15,0)),MATCH(ROW(orderHistory[customer]),ROW(orderHistory[customer])),""),ROWS($A$15:A32)+$B$3))),IF($D$15="",INDEX(orderHistory[order_no],SMALL(IF(ISNUMBER(MATCH(orderHistory[customer],$D$9,0)*MATCH(orderHistory[order_type],$D$13,0)),MATCH(ROW(orderHistory[customer]),ROW(orderHistory[customer])),""),ROWS($A$15:A32)+$B$3)),INDEX(orderHistory[order_no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no],SMALL(IF(ISNUMBER(MATCH(orderHistory[customer],$D$9,0)*MATCH(orderHistory[status],$D$11,0)),MATCH(ROW(orderHistory[customer]),ROW(orderHistory[customer])),""),ROWS($A$15:A32)+$B$3)),INDEX(orderHistory[order_no],SMALL(IF(ISNUMBER(MATCH(orderHistory[customer],$D$9,0)*MATCH(orderHistory[status],$D$11,0)*MATCH(YEAR(orderHistory[invoice_date]),$D$15,0)),MATCH(ROW(orderHistory[customer]),ROW(orderHistory[customer])),""),ROWS($A$15:A32)+$B$3))),IF($D$15="",INDEX(orderHistory[order_no],SMALL(IF(ISNUMBER(MATCH(orderHistory[customer],$D$9,0)*MATCH(orderHistory[status],$D$11,0)*MATCH(orderHistory[order_type],$D$13,0)),MATCH(ROW(orderHistory[customer]),ROW(orderHistory[customer])),""),ROWS($A$15:A32)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N27" s="541" t="str">
        <f t="array" ref="N27">IFERROR(IF($D$9="",IF($D$11="",IF($D$13="",IF($D$15="",INDEX(orderHistory[order_type],SMALL(MATCH(ROW(orderHistory[customer]),ROW(orderHistory[customer])),ROWS($A$15:A32)+$B$3)),INDEX(orderHistory[order_type],SMALL(IF(ISNUMBER(MATCH(YEAR(orderHistory[invoice_date]),$D$15,0)),MATCH(ROW(orderHistory[customer]),ROW(orderHistory[customer])),""),ROWS($A$15:A32)+$B$3))),IF($D$15="",INDEX(orderHistory[order_type],SMALL(IF(ISNUMBER(MATCH(orderHistory[order_type],$D$13,0)),MATCH(ROW(orderHistory[customer]),ROW(orderHistory[customer])),""),ROWS($A$15:A32)+$B$3)),INDEX(orderHistory[order_type],SMALL(IF(ISNUMBER(MATCH(orderHistory[order_type],$D$13,0)*MATCH(YEAR(orderHistory[invoice_date]),$D$15,0)),MATCH(ROW(orderHistory[customer]),ROW(orderHistory[customer])),""),ROWS($A$15:A32)+$B$3)))),IF($D$13="",IF($D$15="",INDEX(orderHistory[order_type],SMALL(IF(ISNUMBER(MATCH(orderHistory[status],$D$11,0)),MATCH(ROW(orderHistory[customer]),ROW(orderHistory[customer])),""),ROWS($A$15:A32)+$B$3)),INDEX(orderHistory[order_type],SMALL(IF(ISNUMBER(MATCH(orderHistory[status],$D$11,0)*MATCH(YEAR(orderHistory[invoice_date]),$D$15,0)),MATCH(ROW(orderHistory[customer]),ROW(orderHistory[customer])),""),ROWS($A$15:A32)+$B$3))),IF($D$15="",INDEX(orderHistory[order_type],SMALL(IF(ISNUMBER(MATCH(orderHistory[status],$D$11,0)*MATCH(orderHistory[order_type],$D$13,0)),MATCH(ROW(orderHistory[customer]),ROW(orderHistory[customer])),""),ROWS($A$15:A32)+$B$3)),INDEX(orderHistory[order_typ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type],SMALL(IF(ISNUMBER(MATCH(orderHistory[customer],$D$9,0)),MATCH(ROW(orderHistory[customer]),ROW(orderHistory[customer])),""),ROWS($A$15:A32)+$B$3)),INDEX(orderHistory[order_type],SMALL(IF(ISNUMBER(MATCH(orderHistory[customer],$D$9,0)*MATCH(YEAR(orderHistory[invoice_date]),$D$15,0)),MATCH(ROW(orderHistory[customer]),ROW(orderHistory[customer])),""),ROWS($A$15:A32)+$B$3))),IF($D$15="",INDEX(orderHistory[order_type],SMALL(IF(ISNUMBER(MATCH(orderHistory[customer],$D$9,0)*MATCH(orderHistory[order_type],$D$13,0)),MATCH(ROW(orderHistory[customer]),ROW(orderHistory[customer])),""),ROWS($A$15:A32)+$B$3)),INDEX(orderHistory[order_typ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type],SMALL(IF(ISNUMBER(MATCH(orderHistory[customer],$D$9,0)*MATCH(orderHistory[status],$D$11,0)),MATCH(ROW(orderHistory[customer]),ROW(orderHistory[customer])),""),ROWS($A$15:A32)+$B$3)),INDEX(orderHistory[order_type],SMALL(IF(ISNUMBER(MATCH(orderHistory[customer],$D$9,0)*MATCH(orderHistory[status],$D$11,0)*MATCH(YEAR(orderHistory[invoice_date]),$D$15,0)),MATCH(ROW(orderHistory[customer]),ROW(orderHistory[customer])),""),ROWS($A$15:A32)+$B$3))),IF($D$15="",INDEX(orderHistory[order_type],SMALL(IF(ISNUMBER(MATCH(orderHistory[customer],$D$9,0)*MATCH(orderHistory[status],$D$11,0)*MATCH(orderHistory[order_type],$D$13,0)),MATCH(ROW(orderHistory[customer]),ROW(orderHistory[customer])),""),ROWS($A$15:A32)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O27" s="542" t="str">
        <f t="array" ref="O27">IFERROR(IF($D$9="",IF($D$11="",IF($D$13="",IF($D$15="",INDEX(orderHistory[order_date],SMALL(MATCH(ROW(orderHistory[customer]),ROW(orderHistory[customer])),ROWS($A$15:A32)+$B$3)),INDEX(orderHistory[order_date],SMALL(IF(ISNUMBER(MATCH(YEAR(orderHistory[invoice_date]),$D$15,0)),MATCH(ROW(orderHistory[customer]),ROW(orderHistory[customer])),""),ROWS($A$15:A32)+$B$3))),IF($D$15="",INDEX(orderHistory[order_date],SMALL(IF(ISNUMBER(MATCH(orderHistory[order_type],$D$13,0)),MATCH(ROW(orderHistory[customer]),ROW(orderHistory[customer])),""),ROWS($A$15:A32)+$B$3)),INDEX(orderHistory[order_date],SMALL(IF(ISNUMBER(MATCH(orderHistory[order_type],$D$13,0)*MATCH(YEAR(orderHistory[invoice_date]),$D$15,0)),MATCH(ROW(orderHistory[customer]),ROW(orderHistory[customer])),""),ROWS($A$15:A32)+$B$3)))),IF($D$13="",IF($D$15="",INDEX(orderHistory[order_date],SMALL(IF(ISNUMBER(MATCH(orderHistory[status],$D$11,0)),MATCH(ROW(orderHistory[customer]),ROW(orderHistory[customer])),""),ROWS($A$15:A32)+$B$3)),INDEX(orderHistory[order_date],SMALL(IF(ISNUMBER(MATCH(orderHistory[status],$D$11,0)*MATCH(YEAR(orderHistory[invoice_date]),$D$15,0)),MATCH(ROW(orderHistory[customer]),ROW(orderHistory[customer])),""),ROWS($A$15:A32)+$B$3))),IF($D$15="",INDEX(orderHistory[order_date],SMALL(IF(ISNUMBER(MATCH(orderHistory[status],$D$11,0)*MATCH(orderHistory[order_type],$D$13,0)),MATCH(ROW(orderHistory[customer]),ROW(orderHistory[customer])),""),ROWS($A$15:A32)+$B$3)),INDEX(orderHistory[order_dat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date],SMALL(IF(ISNUMBER(MATCH(orderHistory[customer],$D$9,0)),MATCH(ROW(orderHistory[customer]),ROW(orderHistory[customer])),""),ROWS($A$15:A32)+$B$3)),INDEX(orderHistory[order_date],SMALL(IF(ISNUMBER(MATCH(orderHistory[customer],$D$9,0)*MATCH(YEAR(orderHistory[invoice_date]),$D$15,0)),MATCH(ROW(orderHistory[customer]),ROW(orderHistory[customer])),""),ROWS($A$15:A32)+$B$3))),IF($D$15="",INDEX(orderHistory[order_date],SMALL(IF(ISNUMBER(MATCH(orderHistory[customer],$D$9,0)*MATCH(orderHistory[order_type],$D$13,0)),MATCH(ROW(orderHistory[customer]),ROW(orderHistory[customer])),""),ROWS($A$15:A32)+$B$3)),INDEX(orderHistory[order_dat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date],SMALL(IF(ISNUMBER(MATCH(orderHistory[customer],$D$9,0)*MATCH(orderHistory[status],$D$11,0)),MATCH(ROW(orderHistory[customer]),ROW(orderHistory[customer])),""),ROWS($A$15:A32)+$B$3)),INDEX(orderHistory[order_date],SMALL(IF(ISNUMBER(MATCH(orderHistory[customer],$D$9,0)*MATCH(orderHistory[status],$D$11,0)*MATCH(YEAR(orderHistory[invoice_date]),$D$15,0)),MATCH(ROW(orderHistory[customer]),ROW(orderHistory[customer])),""),ROWS($A$15:A32)+$B$3))),IF($D$15="",INDEX(orderHistory[order_date],SMALL(IF(ISNUMBER(MATCH(orderHistory[customer],$D$9,0)*MATCH(orderHistory[status],$D$11,0)*MATCH(orderHistory[order_type],$D$13,0)),MATCH(ROW(orderHistory[customer]),ROW(orderHistory[customer])),""),ROWS($A$15:A32)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P27" s="543" t="str">
        <f t="array" ref="P27">IFERROR(IF($D$9="",IF($D$11="",IF($D$13="",IF($D$15="",INDEX(orderHistory[invoice_no],SMALL(MATCH(ROW(orderHistory[customer]),ROW(orderHistory[customer])),ROWS($A$15:A32)+$B$3)),INDEX(orderHistory[invoice_no],SMALL(IF(ISNUMBER(MATCH(YEAR(orderHistory[invoice_date]),$D$15,0)),MATCH(ROW(orderHistory[customer]),ROW(orderHistory[customer])),""),ROWS($A$15:A32)+$B$3))),IF($D$15="",INDEX(orderHistory[invoice_no],SMALL(IF(ISNUMBER(MATCH(orderHistory[order_type],$D$13,0)),MATCH(ROW(orderHistory[customer]),ROW(orderHistory[customer])),""),ROWS($A$15:A32)+$B$3)),INDEX(orderHistory[invoice_no],SMALL(IF(ISNUMBER(MATCH(orderHistory[order_type],$D$13,0)*MATCH(YEAR(orderHistory[invoice_date]),$D$15,0)),MATCH(ROW(orderHistory[customer]),ROW(orderHistory[customer])),""),ROWS($A$15:A32)+$B$3)))),IF($D$13="",IF($D$15="",INDEX(orderHistory[invoice_no],SMALL(IF(ISNUMBER(MATCH(orderHistory[status],$D$11,0)),MATCH(ROW(orderHistory[customer]),ROW(orderHistory[customer])),""),ROWS($A$15:A32)+$B$3)),INDEX(orderHistory[invoice_no],SMALL(IF(ISNUMBER(MATCH(orderHistory[status],$D$11,0)*MATCH(YEAR(orderHistory[invoice_date]),$D$15,0)),MATCH(ROW(orderHistory[customer]),ROW(orderHistory[customer])),""),ROWS($A$15:A32)+$B$3))),IF($D$15="",INDEX(orderHistory[invoice_no],SMALL(IF(ISNUMBER(MATCH(orderHistory[status],$D$11,0)*MATCH(orderHistory[order_type],$D$13,0)),MATCH(ROW(orderHistory[customer]),ROW(orderHistory[customer])),""),ROWS($A$15:A32)+$B$3)),INDEX(orderHistory[invoice_no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oice_no],SMALL(IF(ISNUMBER(MATCH(orderHistory[customer],$D$9,0)),MATCH(ROW(orderHistory[customer]),ROW(orderHistory[customer])),""),ROWS($A$15:A32)+$B$3)),INDEX(orderHistory[invoice_no],SMALL(IF(ISNUMBER(MATCH(orderHistory[customer],$D$9,0)*MATCH(YEAR(orderHistory[invoice_date]),$D$15,0)),MATCH(ROW(orderHistory[customer]),ROW(orderHistory[customer])),""),ROWS($A$15:A32)+$B$3))),IF($D$15="",INDEX(orderHistory[invoice_no],SMALL(IF(ISNUMBER(MATCH(orderHistory[customer],$D$9,0)*MATCH(orderHistory[order_type],$D$13,0)),MATCH(ROW(orderHistory[customer]),ROW(orderHistory[customer])),""),ROWS($A$15:A32)+$B$3)),INDEX(orderHistory[invoice_no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YEAR(orderHistory[invoice_date]),$D$15,0)),MATCH(ROW(orderHistory[customer]),ROW(orderHistory[customer])),""),ROWS($A$15:A32)+$B$3))),IF($D$15="",INDEX(orderHistory[invoice_no],SMALL(IF(ISNUMBER(MATCH(orderHistory[customer],$D$9,0)*MATCH(orderHistory[status],$D$11,0)*MATCH(orderHistory[order_type],$D$13,0)),MATCH(ROW(orderHistory[customer]),ROW(orderHistory[customer])),""),ROWS($A$15:A32)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Q27" s="544" t="str">
        <f t="array" ref="Q27">IFERROR(IF($D$9="",IF($D$11="",IF($D$13="",IF($D$15="",INDEX(orderHistory[invoice_date],SMALL(MATCH(ROW(orderHistory[customer]),ROW(orderHistory[customer])),ROWS($A$15:A32)+$B$3)),INDEX(orderHistory[invoice_date],SMALL(IF(ISNUMBER(MATCH(YEAR(orderHistory[invoice_date]),$D$15,0)),MATCH(ROW(orderHistory[customer]),ROW(orderHistory[customer])),""),ROWS($A$15:A32)+$B$3))),IF($D$15="",INDEX(orderHistory[invoice_date],SMALL(IF(ISNUMBER(MATCH(orderHistory[order_type],$D$13,0)),MATCH(ROW(orderHistory[customer]),ROW(orderHistory[customer])),""),ROWS($A$15:A32)+$B$3)),INDEX(orderHistory[invoice_date],SMALL(IF(ISNUMBER(MATCH(orderHistory[order_type],$D$13,0)*MATCH(YEAR(orderHistory[invoice_date]),$D$15,0)),MATCH(ROW(orderHistory[customer]),ROW(orderHistory[customer])),""),ROWS($A$15:A32)+$B$3)))),IF($D$13="",IF($D$15="",INDEX(orderHistory[invoice_date],SMALL(IF(ISNUMBER(MATCH(orderHistory[status],$D$11,0)),MATCH(ROW(orderHistory[customer]),ROW(orderHistory[customer])),""),ROWS($A$15:A32)+$B$3)),INDEX(orderHistory[invoice_date],SMALL(IF(ISNUMBER(MATCH(orderHistory[status],$D$11,0)*MATCH(YEAR(orderHistory[invoice_date]),$D$15,0)),MATCH(ROW(orderHistory[customer]),ROW(orderHistory[customer])),""),ROWS($A$15:A32)+$B$3))),IF($D$15="",INDEX(orderHistory[invoice_date],SMALL(IF(ISNUMBER(MATCH(orderHistory[status],$D$11,0)*MATCH(orderHistory[order_type],$D$13,0)),MATCH(ROW(orderHistory[customer]),ROW(orderHistory[customer])),""),ROWS($A$15:A32)+$B$3)),INDEX(orderHistory[invoice_dat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oice_date],SMALL(IF(ISNUMBER(MATCH(orderHistory[customer],$D$9,0)),MATCH(ROW(orderHistory[customer]),ROW(orderHistory[customer])),""),ROWS($A$15:A32)+$B$3)),INDEX(orderHistory[invoice_date],SMALL(IF(ISNUMBER(MATCH(orderHistory[customer],$D$9,0)*MATCH(YEAR(orderHistory[invoice_date]),$D$15,0)),MATCH(ROW(orderHistory[customer]),ROW(orderHistory[customer])),""),ROWS($A$15:A32)+$B$3))),IF($D$15="",INDEX(orderHistory[invoice_date],SMALL(IF(ISNUMBER(MATCH(orderHistory[customer],$D$9,0)*MATCH(orderHistory[order_type],$D$13,0)),MATCH(ROW(orderHistory[customer]),ROW(orderHistory[customer])),""),ROWS($A$15:A32)+$B$3)),INDEX(orderHistory[invoice_dat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YEAR(orderHistory[invoice_date]),$D$15,0)),MATCH(ROW(orderHistory[customer]),ROW(orderHistory[customer])),""),ROWS($A$15:A32)+$B$3))),IF($D$15="",INDEX(orderHistory[invoice_date],SMALL(IF(ISNUMBER(MATCH(orderHistory[customer],$D$9,0)*MATCH(orderHistory[status],$D$11,0)*MATCH(orderHistory[order_type],$D$13,0)),MATCH(ROW(orderHistory[customer]),ROW(orderHistory[customer])),""),ROWS($A$15:A32)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R27" s="545" t="str">
        <f t="array" ref="R27">IFERROR(IF($D$9="",IF($D$11="",IF($D$13="",IF($D$15="",INDEX(orderHistory[inv_amount],SMALL(MATCH(ROW(orderHistory[customer]),ROW(orderHistory[customer])),ROWS($A$15:A32)+$B$3)),INDEX(orderHistory[inv_amount],SMALL(IF(ISNUMBER(MATCH(YEAR(orderHistory[invoice_date]),$D$15,0)),MATCH(ROW(orderHistory[customer]),ROW(orderHistory[customer])),""),ROWS($A$15:A32)+$B$3))),IF($D$15="",INDEX(orderHistory[inv_amount],SMALL(IF(ISNUMBER(MATCH(orderHistory[order_type],$D$13,0)),MATCH(ROW(orderHistory[customer]),ROW(orderHistory[customer])),""),ROWS($A$15:A32)+$B$3)),INDEX(orderHistory[inv_amount],SMALL(IF(ISNUMBER(MATCH(orderHistory[order_type],$D$13,0)*MATCH(YEAR(orderHistory[invoice_date]),$D$15,0)),MATCH(ROW(orderHistory[customer]),ROW(orderHistory[customer])),""),ROWS($A$15:A32)+$B$3)))),IF($D$13="",IF($D$15="",INDEX(orderHistory[inv_amount],SMALL(IF(ISNUMBER(MATCH(orderHistory[status],$D$11,0)),MATCH(ROW(orderHistory[customer]),ROW(orderHistory[customer])),""),ROWS($A$15:A32)+$B$3)),INDEX(orderHistory[inv_amount],SMALL(IF(ISNUMBER(MATCH(orderHistory[status],$D$11,0)*MATCH(YEAR(orderHistory[invoice_date]),$D$15,0)),MATCH(ROW(orderHistory[customer]),ROW(orderHistory[customer])),""),ROWS($A$15:A32)+$B$3))),IF($D$15="",INDEX(orderHistory[inv_amount],SMALL(IF(ISNUMBER(MATCH(orderHistory[status],$D$11,0)*MATCH(orderHistory[order_type],$D$13,0)),MATCH(ROW(orderHistory[customer]),ROW(orderHistory[customer])),""),ROWS($A$15:A32)+$B$3)),INDEX(orderHistory[inv_amount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_amount],SMALL(IF(ISNUMBER(MATCH(orderHistory[customer],$D$9,0)),MATCH(ROW(orderHistory[customer]),ROW(orderHistory[customer])),""),ROWS($A$15:A32)+$B$3)),INDEX(orderHistory[inv_amount],SMALL(IF(ISNUMBER(MATCH(orderHistory[customer],$D$9,0)*MATCH(YEAR(orderHistory[invoice_date]),$D$15,0)),MATCH(ROW(orderHistory[customer]),ROW(orderHistory[customer])),""),ROWS($A$15:A32)+$B$3))),IF($D$15="",INDEX(orderHistory[inv_amount],SMALL(IF(ISNUMBER(MATCH(orderHistory[customer],$D$9,0)*MATCH(orderHistory[order_type],$D$13,0)),MATCH(ROW(orderHistory[customer]),ROW(orderHistory[customer])),""),ROWS($A$15:A32)+$B$3)),INDEX(orderHistory[inv_amount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_amount],SMALL(IF(ISNUMBER(MATCH(orderHistory[customer],$D$9,0)*MATCH(orderHistory[status],$D$11,0)),MATCH(ROW(orderHistory[customer]),ROW(orderHistory[customer])),""),ROWS($A$15:A32)+$B$3)),INDEX(orderHistory[inv_amount],SMALL(IF(ISNUMBER(MATCH(orderHistory[customer],$D$9,0)*MATCH(orderHistory[status],$D$11,0)*MATCH(YEAR(orderHistory[inv_amount]),$D$15,0)),MATCH(ROW(orderHistory[customer]),ROW(orderHistory[customer])),""),ROWS($A$15:A32)+$B$3))),IF($D$15="",INDEX(orderHistory[inv_amount],SMALL(IF(ISNUMBER(MATCH(orderHistory[customer],$D$9,0)*MATCH(orderHistory[status],$D$11,0)*MATCH(orderHistory[order_type],$D$13,0)),MATCH(ROW(orderHistory[customer]),ROW(orderHistory[customer])),""),ROWS($A$15:A32)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S27" s="546" t="str">
        <f t="shared" si="2"/>
        <v/>
      </c>
      <c r="T27" s="547" t="str">
        <f t="array" ref="T27">IFERROR(IF($D$9="",IF($D$11="",IF($D$13="",IF($D$15="",INDEX(orderHistory[payed],SMALL(MATCH(ROW(orderHistory[customer]),ROW(orderHistory[customer])),ROWS($A$15:A32)+$B$3)),INDEX(orderHistory[payed],SMALL(IF(ISNUMBER(MATCH(YEAR(orderHistory[invoice_date]),$D$15,0)),MATCH(ROW(orderHistory[customer]),ROW(orderHistory[customer])),""),ROWS($A$15:A32)+$B$3))),IF($D$15="",INDEX(orderHistory[payed],SMALL(IF(ISNUMBER(MATCH(orderHistory[order_type],$D$13,0)),MATCH(ROW(orderHistory[customer]),ROW(orderHistory[customer])),""),ROWS($A$15:A32)+$B$3)),INDEX(orderHistory[payed],SMALL(IF(ISNUMBER(MATCH(orderHistory[order_type],$D$13,0)*MATCH(YEAR(orderHistory[invoice_date]),$D$15,0)),MATCH(ROW(orderHistory[customer]),ROW(orderHistory[customer])),""),ROWS($A$15:A32)+$B$3)))),IF($D$13="",IF($D$15="",INDEX(orderHistory[payed],SMALL(IF(ISNUMBER(MATCH(orderHistory[status],$D$11,0)),MATCH(ROW(orderHistory[customer]),ROW(orderHistory[customer])),""),ROWS($A$15:A32)+$B$3)),INDEX(orderHistory[payed],SMALL(IF(ISNUMBER(MATCH(orderHistory[status],$D$11,0)*MATCH(YEAR(orderHistory[invoice_date]),$D$15,0)),MATCH(ROW(orderHistory[customer]),ROW(orderHistory[customer])),""),ROWS($A$15:A32)+$B$3))),IF($D$15="",INDEX(orderHistory[payed],SMALL(IF(ISNUMBER(MATCH(orderHistory[status],$D$11,0)*MATCH(orderHistory[order_type],$D$13,0)),MATCH(ROW(orderHistory[customer]),ROW(orderHistory[customer])),""),ROWS($A$15:A32)+$B$3)),INDEX(orderHistory[payed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payed],SMALL(IF(ISNUMBER(MATCH(orderHistory[customer],$D$9,0)),MATCH(ROW(orderHistory[customer]),ROW(orderHistory[customer])),""),ROWS($A$15:A32)+$B$3)),INDEX(orderHistory[payed],SMALL(IF(ISNUMBER(MATCH(orderHistory[customer],$D$9,0)*MATCH(YEAR(orderHistory[invoice_date]),$D$15,0)),MATCH(ROW(orderHistory[customer]),ROW(orderHistory[customer])),""),ROWS($A$15:A32)+$B$3))),IF($D$15="",INDEX(orderHistory[payed],SMALL(IF(ISNUMBER(MATCH(orderHistory[customer],$D$9,0)*MATCH(orderHistory[order_type],$D$13,0)),MATCH(ROW(orderHistory[customer]),ROW(orderHistory[customer])),""),ROWS($A$15:A32)+$B$3)),INDEX(orderHistory[payed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payed],SMALL(IF(ISNUMBER(MATCH(orderHistory[customer],$D$9,0)*MATCH(orderHistory[status],$D$11,0)),MATCH(ROW(orderHistory[customer]),ROW(orderHistory[customer])),""),ROWS($A$15:A32)+$B$3)),INDEX(orderHistory[payed],SMALL(IF(ISNUMBER(MATCH(orderHistory[customer],$D$9,0)*MATCH(orderHistory[status],$D$11,0)*MATCH(YEAR(orderHistory[payed]),$D$15,0)),MATCH(ROW(orderHistory[customer]),ROW(orderHistory[customer])),""),ROWS($A$15:A32)+$B$3))),IF($D$15="",INDEX(orderHistory[payed],SMALL(IF(ISNUMBER(MATCH(orderHistory[customer],$D$9,0)*MATCH(orderHistory[status],$D$11,0)*MATCH(orderHistory[order_type],$D$13,0)),MATCH(ROW(orderHistory[customer]),ROW(orderHistory[customer])),""),ROWS($A$15:A32)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U27" s="541" t="str">
        <f t="array" ref="U27">IFERROR(IF($D$9="",IF($D$11="",IF($D$13="",IF($D$15="",INDEX(orderHistory[shipping_method],SMALL(MATCH(ROW(orderHistory[customer]),ROW(orderHistory[customer])),ROWS($A$15:A32)+$B$3)),INDEX(orderHistory[shipping_method],SMALL(IF(ISNUMBER(MATCH(YEAR(orderHistory[invoice_date]),$D$15,0)),MATCH(ROW(orderHistory[customer]),ROW(orderHistory[customer])),""),ROWS($A$15:A32)+$B$3))),IF($D$15="",INDEX(orderHistory[shipping_method],SMALL(IF(ISNUMBER(MATCH(orderHistory[order_type],$D$13,0)),MATCH(ROW(orderHistory[customer]),ROW(orderHistory[customer])),""),ROWS($A$15:A32)+$B$3)),INDEX(orderHistory[shipping_method],SMALL(IF(ISNUMBER(MATCH(orderHistory[order_type],$D$13,0)*MATCH(YEAR(orderHistory[invoice_date]),$D$15,0)),MATCH(ROW(orderHistory[customer]),ROW(orderHistory[customer])),""),ROWS($A$15:A32)+$B$3)))),IF($D$13="",IF($D$15="",INDEX(orderHistory[shipping_method],SMALL(IF(ISNUMBER(MATCH(orderHistory[status],$D$11,0)),MATCH(ROW(orderHistory[customer]),ROW(orderHistory[customer])),""),ROWS($A$15:A32)+$B$3)),INDEX(orderHistory[shipping_method],SMALL(IF(ISNUMBER(MATCH(orderHistory[status],$D$11,0)*MATCH(YEAR(orderHistory[invoice_date]),$D$15,0)),MATCH(ROW(orderHistory[customer]),ROW(orderHistory[customer])),""),ROWS($A$15:A32)+$B$3))),IF($D$15="",INDEX(orderHistory[shipping_method],SMALL(IF(ISNUMBER(MATCH(orderHistory[status],$D$11,0)*MATCH(orderHistory[order_type],$D$13,0)),MATCH(ROW(orderHistory[customer]),ROW(orderHistory[customer])),""),ROWS($A$15:A32)+$B$3)),INDEX(orderHistory[shipping_method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shipping_method],SMALL(IF(ISNUMBER(MATCH(orderHistory[customer],$D$9,0)),MATCH(ROW(orderHistory[customer]),ROW(orderHistory[customer])),""),ROWS($A$15:A32)+$B$3)),INDEX(orderHistory[shipping_method],SMALL(IF(ISNUMBER(MATCH(orderHistory[customer],$D$9,0)*MATCH(YEAR(orderHistory[invoice_date]),$D$15,0)),MATCH(ROW(orderHistory[customer]),ROW(orderHistory[customer])),""),ROWS($A$15:A32)+$B$3))),IF($D$15="",INDEX(orderHistory[shipping_method],SMALL(IF(ISNUMBER(MATCH(orderHistory[customer],$D$9,0)*MATCH(orderHistory[order_type],$D$13,0)),MATCH(ROW(orderHistory[customer]),ROW(orderHistory[customer])),""),ROWS($A$15:A32)+$B$3)),INDEX(orderHistory[shipping_method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shipping_method],SMALL(IF(ISNUMBER(MATCH(orderHistory[customer],$D$9,0)*MATCH(orderHistory[status],$D$11,0)),MATCH(ROW(orderHistory[customer]),ROW(orderHistory[customer])),""),ROWS($A$15:A32)+$B$3)),INDEX(orderHistory[shipping_method],SMALL(IF(ISNUMBER(MATCH(orderHistory[customer],$D$9,0)*MATCH(orderHistory[status],$D$11,0)*MATCH(YEAR(orderHistory[shipping_method]),$D$15,0)),MATCH(ROW(orderHistory[customer]),ROW(orderHistory[customer])),""),ROWS($A$15:A32)+$B$3))),IF($D$15="",INDEX(orderHistory[shipping_method],SMALL(IF(ISNUMBER(MATCH(orderHistory[customer],$D$9,0)*MATCH(orderHistory[status],$D$11,0)*MATCH(orderHistory[order_type],$D$13,0)),MATCH(ROW(orderHistory[customer]),ROW(orderHistory[customer])),""),ROWS($A$15:A32)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V27" s="548" t="str">
        <f t="array" ref="V27">IFERROR(IF($D$9="",IF($D$11="",IF($D$13="",IF($D$15="",INDEX(orderHistory[status],SMALL(MATCH(ROW(orderHistory[customer]),ROW(orderHistory[customer])),ROWS($A$15:A32)+$B$3)),INDEX(orderHistory[status],SMALL(IF(ISNUMBER(MATCH(YEAR(orderHistory[invoice_date]),$D$15,0)),MATCH(ROW(orderHistory[customer]),ROW(orderHistory[customer])),""),ROWS($A$15:A32)+$B$3))),IF($D$15="",INDEX(orderHistory[status],SMALL(IF(ISNUMBER(MATCH(orderHistory[order_type],$D$13,0)),MATCH(ROW(orderHistory[customer]),ROW(orderHistory[customer])),""),ROWS($A$15:A32)+$B$3)),INDEX(orderHistory[status],SMALL(IF(ISNUMBER(MATCH(orderHistory[order_type],$D$13,0)*MATCH(YEAR(orderHistory[invoice_date]),$D$15,0)),MATCH(ROW(orderHistory[customer]),ROW(orderHistory[customer])),""),ROWS($A$15:A32)+$B$3)))),IF($D$13="",IF($D$15="",INDEX(orderHistory[status],SMALL(IF(ISNUMBER(MATCH(orderHistory[status],$D$11,0)),MATCH(ROW(orderHistory[customer]),ROW(orderHistory[customer])),""),ROWS($A$15:A32)+$B$3)),INDEX(orderHistory[status],SMALL(IF(ISNUMBER(MATCH(orderHistory[status],$D$11,0)*MATCH(YEAR(orderHistory[invoice_date]),$D$15,0)),MATCH(ROW(orderHistory[customer]),ROW(orderHistory[customer])),""),ROWS($A$15:A32)+$B$3))),IF($D$15="",INDEX(orderHistory[status],SMALL(IF(ISNUMBER(MATCH(orderHistory[status],$D$11,0)*MATCH(orderHistory[order_type],$D$13,0)),MATCH(ROW(orderHistory[customer]),ROW(orderHistory[customer])),""),ROWS($A$15:A32)+$B$3)),INDEX(orderHistory[status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status],SMALL(IF(ISNUMBER(MATCH(orderHistory[customer],$D$9,0)),MATCH(ROW(orderHistory[customer]),ROW(orderHistory[customer])),""),ROWS($A$15:A32)+$B$3)),INDEX(orderHistory[status],SMALL(IF(ISNUMBER(MATCH(orderHistory[customer],$D$9,0)*MATCH(YEAR(orderHistory[invoice_date]),$D$15,0)),MATCH(ROW(orderHistory[customer]),ROW(orderHistory[customer])),""),ROWS($A$15:A32)+$B$3))),IF($D$15="",INDEX(orderHistory[status],SMALL(IF(ISNUMBER(MATCH(orderHistory[customer],$D$9,0)*MATCH(orderHistory[order_type],$D$13,0)),MATCH(ROW(orderHistory[customer]),ROW(orderHistory[customer])),""),ROWS($A$15:A32)+$B$3)),INDEX(orderHistory[status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status],SMALL(IF(ISNUMBER(MATCH(orderHistory[customer],$D$9,0)*MATCH(orderHistory[status],$D$11,0)),MATCH(ROW(orderHistory[customer]),ROW(orderHistory[customer])),""),ROWS($A$15:A32)+$B$3)),INDEX(orderHistory[status],SMALL(IF(ISNUMBER(MATCH(orderHistory[customer],$D$9,0)*MATCH(orderHistory[status],$D$11,0)*MATCH(YEAR(orderHistory[status]),$D$15,0)),MATCH(ROW(orderHistory[customer]),ROW(orderHistory[customer])),""),ROWS($A$15:A32)+$B$3))),IF($D$15="",INDEX(orderHistory[status],SMALL(IF(ISNUMBER(MATCH(orderHistory[customer],$D$9,0)*MATCH(orderHistory[status],$D$11,0)*MATCH(orderHistory[order_type],$D$13,0)),MATCH(ROW(orderHistory[customer]),ROW(orderHistory[customer])),""),ROWS($A$15:A32)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W27" s="107"/>
      <c r="AQ27" s="462"/>
      <c r="AR27" s="494"/>
      <c r="AS27" s="495"/>
      <c r="AT27" s="496"/>
      <c r="AU27" s="492"/>
      <c r="AV27" s="466"/>
      <c r="AW27" s="460"/>
      <c r="AX27" s="780"/>
      <c r="AY27" s="781"/>
      <c r="BB27" s="788"/>
      <c r="BC27" s="789"/>
      <c r="BD27" s="789"/>
      <c r="BE27" s="789"/>
      <c r="BF27" s="789"/>
      <c r="BG27" s="789"/>
      <c r="BH27" s="790"/>
      <c r="BJ27" s="421"/>
      <c r="BK27" s="450"/>
      <c r="BL27" s="451"/>
      <c r="BM27" s="452"/>
      <c r="BN27" s="451"/>
      <c r="BO27" s="452"/>
      <c r="BX27" s="520"/>
      <c r="BZ27" s="167"/>
      <c r="CA27" s="154" t="str">
        <f>IF(BZ27="","",INDEX(bhpc_data[description],MATCH(BZ27,bhpc_data[sku],0)))</f>
        <v/>
      </c>
      <c r="CB27" s="159"/>
      <c r="CC27" s="357"/>
      <c r="CD27" s="160"/>
      <c r="CE27" s="360"/>
      <c r="CF27" s="161"/>
      <c r="CG27" s="164" t="str">
        <f>IFERROR(ROUNDUP(CB27/INDEX(bhpc_data[units_per_carton],MATCH(BZ27,bhpc_data[sku],0)),0),"")</f>
        <v/>
      </c>
      <c r="CH27" s="165" t="str">
        <f>IFERROR(ROUNDUP(CD27/INDEX(bhpc_data[units_per_carton],MATCH(BZ27,bhpc_data[sku],0)),0),"")</f>
        <v/>
      </c>
      <c r="CI27" s="165" t="str">
        <f>IFERROR(ROUNDUP(CF27/INDEX(bhpc_data[units_per_carton],MATCH(BZ27,bhpc_data[sku])),0),"")</f>
        <v/>
      </c>
      <c r="CJ27" s="165" t="str">
        <f>IFERROR(((CB27+CD27+CF27)/INDEX(bhpc_data[units_per_carton],MATCH(BZ27,bhpc_data[sku],0)))*INDEX(bhpc_data[net_weight],MATCH(BZ27,bhpc_data[sku],0)),"")</f>
        <v/>
      </c>
      <c r="CK27" s="165" t="str">
        <f>IFERROR(((CB27+CD27+CF27)/INDEX(bhpc_data[units_per_carton],MATCH(BZ27,bhpc_data[sku],0)))*INDEX(bhpc_data[gross_weight],MATCH(BZ27,bhpc_data[sku],0)),"")</f>
        <v/>
      </c>
      <c r="CL27" s="180" t="str">
        <f>IFERROR((CB27+CD27+CF27)/INDEX(bhpc_data[units_per_carton],MATCH(BZ27,bhpc_data[sku],0))*INDEX(bhpc_data[lenght],MATCH(BZ27,bhpc_data[sku],0))*INDEX(bhpc_data[width],MATCH(BZ27,bhpc_data[sku],0))*INDEX(bhpc_data[height],MATCH(BZ27,bhpc_data[sku],0))/1000000000,"")</f>
        <v/>
      </c>
      <c r="CM27" s="189" t="str">
        <f>IFERROR(INDEX(bhpc_data[category],MATCH(BZ27,bhpc_data[sku],0)),"")</f>
        <v/>
      </c>
      <c r="CN27" s="189" t="str">
        <f>IFERROR(INDEX(bhpc_data[size1],MATCH(BZ27,bhpc_data[sku],0)),"")</f>
        <v/>
      </c>
      <c r="CO27" s="388" t="str">
        <f>IFERROR(INDEX(bhpc_data[hs_code],MATCH(BZ27,bhpc_data[sku],0)),"")</f>
        <v/>
      </c>
      <c r="CP27" s="377" t="str">
        <f>IFERROR(INDEX(inventory[ESISTENZA],MATCH(BZ27,inventory[ARTICOLO],0)),"")</f>
        <v/>
      </c>
      <c r="CQ27" s="364" t="str">
        <f>IFERROR(IF(BZ27="","",IF($BX$15="SALE",INDEX(inventory[COSTO UNITARIO],MATCH(BZ27,inventory[ARTICOLO],0)),IF($BX$15="SAMPLING",INDEX(inventory[COSTO UNITARIO],MATCH(BZ27,inventory[ARTICOLO],0)),""))),"")</f>
        <v/>
      </c>
      <c r="CR27" s="365" t="str">
        <f t="shared" si="0"/>
        <v/>
      </c>
      <c r="CS27" s="264" t="str">
        <f t="shared" si="1"/>
        <v/>
      </c>
      <c r="CU27" s="416"/>
      <c r="DA27" s="432" t="str">
        <f>IFERROR(VLOOKUP(BZ27,bhpc_data[],22,FALSE),"")</f>
        <v/>
      </c>
      <c r="DH27" s="296"/>
      <c r="EE27" s="202" t="str" cm="1">
        <f t="array" ref="EE27">IFERROR(IF($EC$9="",IF($EC$11="",IF($EC$13="",INDEX(bhpc_data[sku],SMALL(MATCH(ROW(bhpc_data[sku]),ROW(bhpc_data[sku])),ROWS($A$15:A32)+$B$3)),INDEX(bhpc_data[sku],SMALL(IF(ISNUMBER(MATCH(bhpc_data[size1],$EC$13,0)),MATCH(ROW(bhpc_data[sku]),ROW(bhpc_data[sku])),""),ROWS($A$15:A32)+$B$3))),IF($EC$13="",INDEX(bhpc_data[sku],SMALL(IF(ISNUMBER(MATCH(bhpc_data[sex],$EC$11,0)),MATCH(ROW(bhpc_data[sku]),ROW(bhpc_data[sku])),""),ROWS($A$15:A32)+$B$3)),INDEX(bhpc_data[sku],SMALL(IF(ISNUMBER(MATCH(bhpc_data[sex],$EC$11,0)*MATCH(bhpc_data[size1],$EC$13,0)),MATCH(ROW(bhpc_data[sku]),ROW(bhpc_data[sku])),""),ROWS($A$15:A32)+$B$3)))),IF($EC$11="",IF($EC$13="",INDEX(bhpc_data[sku],SMALL(IF(ISNUMBER(MATCH(bhpc_data[category],$EC$9,0)),MATCH(ROW(bhpc_data[sku]),ROW(bhpc_data[sku])),""),ROWS($A$15:A32)+$B$3)),INDEX(bhpc_data[sku],SMALL(IF(ISNUMBER(MATCH(bhpc_data[category],$EC$9,0)*MATCH(bhpc_data[size1],$EC$13,0)),MATCH(ROW(bhpc_data[sku]),ROW(bhpc_data[sku])),""),ROWS($A$15:A32)+$B$3))),IF($EC$13="",INDEX(bhpc_data[sku],SMALL(IF(ISNUMBER(MATCH(bhpc_data[category],$EC$9,0)*MATCH(bhpc_data[sex],$EC$11,0)),MATCH(ROW(bhpc_data[sku]),ROW(bhpc_data[sku])),""),ROWS($A$15:A32)+$B$3)),INDEX(bhpc_data[sku],SMALL(IF(ISNUMBER(MATCH(bhpc_data[category],$EC$9,0)*MATCH(bhpc_data[sex],$EC$11,0)*MATCH(bhpc_data[size1],$EC$13,0)),MATCH(ROW(bhpc_data[sku]),ROW(bhpc_data[sku])),""),ROWS($A$15:A32)+$B$3))))),"")</f>
        <v>GS7021</v>
      </c>
      <c r="EF27" s="198" t="str" cm="1">
        <f t="array" ref="EF27">IFERROR(IF($EC$9="",IF($EC$11="",IF($EC$13="",INDEX(bhpc_data[description],SMALL(MATCH(ROW(bhpc_data[sku]),ROW(bhpc_data[sku])),ROWS($A$15:A32)+$B$3)),INDEX(bhpc_data[description],SMALL(IF(ISNUMBER(MATCH(bhpc_data[size1],$EC$13,0)),MATCH(ROW(bhpc_data[sku]),ROW(bhpc_data[sku])),""),ROWS($A$15:A32)+$B$3))),IF($EC$13="",INDEX(bhpc_data[description],SMALL(IF(ISNUMBER(MATCH(bhpc_data[sex],$EC$11,0)),MATCH(ROW(bhpc_data[sku]),ROW(bhpc_data[sku])),""),ROWS($A$15:A32)+$B$3)),INDEX(bhpc_data[description],SMALL(IF(ISNUMBER(MATCH(bhpc_data[sex],$EC$11,0)*MATCH(bhpc_data[size1],$EC$13,0)),MATCH(ROW(bhpc_data[sku]),ROW(bhpc_data[sku])),""),ROWS($A$15:A32)+$B$3)))),IF($EC$11="",IF($EC$13="",INDEX(bhpc_data[description],SMALL(IF(ISNUMBER(MATCH(bhpc_data[category],$EC$9,0)),MATCH(ROW(bhpc_data[sku]),ROW(bhpc_data[sku])),""),ROWS($A$15:A32)+$B$3)),INDEX(bhpc_data[description],SMALL(IF(ISNUMBER(MATCH(bhpc_data[category],$EC$9,0)*MATCH(bhpc_data[size1],$EC$13,0)),MATCH(ROW(bhpc_data[sku]),ROW(bhpc_data[sku])),""),ROWS($A$15:A32)+$B$3))),IF($EC$13="",INDEX(bhpc_data[description],SMALL(IF(ISNUMBER(MATCH(bhpc_data[category],$EC$9,0)*MATCH(bhpc_data[sex],$EC$11,0)),MATCH(ROW(bhpc_data[sku]),ROW(bhpc_data[sku])),""),ROWS($A$15:A32)+$B$3)),INDEX(bhpc_data[description],SMALL(IF(ISNUMBER(MATCH(bhpc_data[category],$EC$9,0)*MATCH(bhpc_data[sex],$EC$11,0)*MATCH(bhpc_data[size1],$EC$13,0)),MATCH(ROW(bhpc_data[sku]),ROW(bhpc_data[sku])),""),ROWS($A$15:A32)+$B$3))))),"")</f>
        <v>BHPC GIFT SET MEN #9 EDT50ML+DEO175ML+ROLLON50ML</v>
      </c>
      <c r="EG27" s="263">
        <f>IFERROR(IF(warehouse[[#This Row],[SKU]]="","",INDEX(inventory[ESISTENZA],MATCH(warehouse[[#This Row],[SKU]],inventory[ARTICOLO],0))),"")</f>
        <v>298</v>
      </c>
      <c r="EH27" s="328"/>
      <c r="EI27" s="328"/>
      <c r="EJ27" s="263"/>
      <c r="EK27" s="113"/>
      <c r="FF27" s="413"/>
      <c r="FG27" s="413"/>
      <c r="FH27" s="413"/>
      <c r="FI27" s="413"/>
      <c r="FJ27" s="413"/>
      <c r="FK27" s="413"/>
      <c r="FL27" s="413"/>
      <c r="FM27" s="413"/>
      <c r="FN27" s="413"/>
      <c r="FO27" s="413"/>
      <c r="FP27" s="413"/>
      <c r="FQ27" s="413"/>
      <c r="FR27" s="413"/>
      <c r="FS27" s="413"/>
      <c r="FT27" s="413"/>
      <c r="FU27" s="413"/>
      <c r="FV27" s="413"/>
      <c r="FW27" s="413"/>
      <c r="FX27" s="413"/>
      <c r="FY27" s="413"/>
      <c r="FZ27" s="413"/>
      <c r="GA27" s="413"/>
      <c r="GB27" s="413"/>
      <c r="GC27" s="413"/>
      <c r="GD27" s="413"/>
      <c r="GE27" s="413"/>
      <c r="GF27" s="413"/>
      <c r="GG27" s="413"/>
      <c r="GH27" s="413"/>
      <c r="GI27" s="413"/>
      <c r="GJ27" s="413"/>
      <c r="GK27" s="413"/>
      <c r="GL27" s="413"/>
      <c r="GM27" s="413"/>
      <c r="GN27" s="413"/>
      <c r="GO27" s="413"/>
      <c r="GP27" s="413"/>
      <c r="GQ27" s="413"/>
      <c r="GR27" s="413"/>
      <c r="GS27" s="413"/>
      <c r="GT27" s="413"/>
      <c r="GU27" s="413"/>
      <c r="GV27" s="413"/>
      <c r="GW27" s="413"/>
      <c r="GX27" s="413"/>
      <c r="GY27" s="413"/>
      <c r="GZ27" s="413"/>
      <c r="HA27" s="413"/>
      <c r="HB27" s="413"/>
      <c r="HC27" s="413"/>
      <c r="HD27" s="413"/>
      <c r="HE27" s="413"/>
      <c r="HF27" s="413"/>
      <c r="HG27" s="413"/>
      <c r="HH27" s="413"/>
      <c r="HI27" s="413"/>
      <c r="HJ27" s="413"/>
      <c r="HK27" s="413"/>
      <c r="HL27" s="413"/>
      <c r="HM27" s="413"/>
      <c r="HN27" s="413"/>
      <c r="HO27" s="413"/>
      <c r="HP27" s="413"/>
      <c r="HQ27" s="413"/>
      <c r="HR27" s="413"/>
      <c r="HS27" s="413"/>
      <c r="HT27" s="413"/>
    </row>
    <row r="28" spans="1:228" ht="15" customHeight="1" x14ac:dyDescent="0.35">
      <c r="F28" s="96"/>
      <c r="G28" s="800">
        <f>IFERROR(INDEX(clientData[logistic_address3],MATCH($B$6,clientData[cod_cliente],0)),"")</f>
        <v>0</v>
      </c>
      <c r="H28" s="843"/>
      <c r="I28" s="801"/>
      <c r="J28" s="82"/>
      <c r="L28" s="539" t="str">
        <f t="array" ref="L28">IFERROR(IF($D$9="",IF($D$11="",IF($D$13="",IF($D$15="",INDEX(orderHistory[customer],SMALL(MATCH(ROW(orderHistory[customer]),ROW(orderHistory[customer])),ROWS($A$15:A33)+$B$3)),INDEX(orderHistory[customer],SMALL(IF(ISNUMBER(MATCH(YEAR(orderHistory[invoice_date]),$D$15,0)),MATCH(ROW(orderHistory[customer]),ROW(orderHistory[customer])),""),ROWS($A$15:A33)+$B$3))),IF($D$15="",INDEX(orderHistory[customer],SMALL(IF(ISNUMBER(MATCH(orderHistory[order_type],$D$13,0)),MATCH(ROW(orderHistory[customer]),ROW(orderHistory[customer])),""),ROWS($A$15:A33)+$B$3)),INDEX(orderHistory[customer],SMALL(IF(ISNUMBER(MATCH(orderHistory[order_type],$D$13,0)*MATCH(YEAR(orderHistory[invoice_date]),$D$15,0)),MATCH(ROW(orderHistory[customer]),ROW(orderHistory[customer])),""),ROWS($A$15:A33)+$B$3)))),IF($D$13="",IF($D$15="",INDEX(orderHistory[customer],SMALL(IF(ISNUMBER(MATCH(orderHistory[status],$D$11,0)),MATCH(ROW(orderHistory[customer]),ROW(orderHistory[customer])),""),ROWS($A$15:A33)+$B$3)),INDEX(orderHistory[customer],SMALL(IF(ISNUMBER(MATCH(orderHistory[status],$D$11,0)*MATCH(YEAR(orderHistory[invoice_date]),$D$15,0)),MATCH(ROW(orderHistory[customer]),ROW(orderHistory[customer])),""),ROWS($A$15:A33)+$B$3))),IF($D$15="",INDEX(orderHistory[customer],SMALL(IF(ISNUMBER(MATCH(orderHistory[status],$D$11,0)*MATCH(orderHistory[order_type],$D$13,0)),MATCH(ROW(orderHistory[customer]),ROW(orderHistory[customer])),""),ROWS($A$15:A33)+$B$3)),INDEX(orderHistory[customer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customer],SMALL(IF(ISNUMBER(MATCH(orderHistory[customer],$D$9,0)),MATCH(ROW(orderHistory[customer]),ROW(orderHistory[customer])),""),ROWS($A$15:A33)+$B$3)),INDEX(orderHistory[customer],SMALL(IF(ISNUMBER(MATCH(orderHistory[customer],$D$9,0)*MATCH(YEAR(orderHistory[invoice_date]),$D$15,0)),MATCH(ROW(orderHistory[customer]),ROW(orderHistory[customer])),""),ROWS($A$15:A33)+$B$3))),IF($D$15="",INDEX(orderHistory[customer],SMALL(IF(ISNUMBER(MATCH(orderHistory[customer],$D$9,0)*MATCH(orderHistory[order_type],$D$13,0)),MATCH(ROW(orderHistory[customer]),ROW(orderHistory[customer])),""),ROWS($A$15:A33)+$B$3)),INDEX(orderHistory[customer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customer],SMALL(IF(ISNUMBER(MATCH(orderHistory[customer],$D$9,0)*MATCH(orderHistory[status],$D$11,0)),MATCH(ROW(orderHistory[customer]),ROW(orderHistory[customer])),""),ROWS($A$15:A33)+$B$3)),INDEX(orderHistory[customer],SMALL(IF(ISNUMBER(MATCH(orderHistory[customer],$D$9,0)*MATCH(orderHistory[status],$D$11,0)*MATCH(YEAR(orderHistory[invoice_date]),$D$15,0)),MATCH(ROW(orderHistory[customer]),ROW(orderHistory[customer])),""),ROWS($A$15:A33)+$B$3))),IF($D$15="",INDEX(orderHistory[customer],SMALL(IF(ISNUMBER(MATCH(orderHistory[customer],$D$9,0)*MATCH(orderHistory[status],$D$11,0)*MATCH(orderHistory[order_type],$D$13,0)),MATCH(ROW(orderHistory[customer]),ROW(orderHistory[customer])),""),ROWS($A$15:A33)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M28" s="540" t="str">
        <f t="array" ref="M28">IFERROR(IF($D$9="",IF($D$11="",IF($D$13="",IF($D$15="",INDEX(orderHistory[order_no],SMALL(MATCH(ROW(orderHistory[customer]),ROW(orderHistory[customer])),ROWS($A$15:A33)+$B$3)),INDEX(orderHistory[order_no],SMALL(IF(ISNUMBER(MATCH(YEAR(orderHistory[invoice_date]),$D$15,0)),MATCH(ROW(orderHistory[customer]),ROW(orderHistory[customer])),""),ROWS($A$15:A33)+$B$3))),IF($D$15="",INDEX(orderHistory[order_no],SMALL(IF(ISNUMBER(MATCH(orderHistory[order_type],$D$13,0)),MATCH(ROW(orderHistory[customer]),ROW(orderHistory[customer])),""),ROWS($A$15:A33)+$B$3)),INDEX(orderHistory[order_no],SMALL(IF(ISNUMBER(MATCH(orderHistory[order_type],$D$13,0)*MATCH(YEAR(orderHistory[invoice_date]),$D$15,0)),MATCH(ROW(orderHistory[customer]),ROW(orderHistory[customer])),""),ROWS($A$15:A33)+$B$3)))),IF($D$13="",IF($D$15="",INDEX(orderHistory[order_no],SMALL(IF(ISNUMBER(MATCH(orderHistory[status],$D$11,0)),MATCH(ROW(orderHistory[customer]),ROW(orderHistory[customer])),""),ROWS($A$15:A33)+$B$3)),INDEX(orderHistory[order_no],SMALL(IF(ISNUMBER(MATCH(orderHistory[status],$D$11,0)*MATCH(YEAR(orderHistory[invoice_date]),$D$15,0)),MATCH(ROW(orderHistory[customer]),ROW(orderHistory[customer])),""),ROWS($A$15:A33)+$B$3))),IF($D$15="",INDEX(orderHistory[order_no],SMALL(IF(ISNUMBER(MATCH(orderHistory[status],$D$11,0)*MATCH(orderHistory[order_type],$D$13,0)),MATCH(ROW(orderHistory[customer]),ROW(orderHistory[customer])),""),ROWS($A$15:A33)+$B$3)),INDEX(orderHistory[order_no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no],SMALL(IF(ISNUMBER(MATCH(orderHistory[customer],$D$9,0)),MATCH(ROW(orderHistory[customer]),ROW(orderHistory[customer])),""),ROWS($A$15:A33)+$B$3)),INDEX(orderHistory[order_no],SMALL(IF(ISNUMBER(MATCH(orderHistory[customer],$D$9,0)*MATCH(YEAR(orderHistory[invoice_date]),$D$15,0)),MATCH(ROW(orderHistory[customer]),ROW(orderHistory[customer])),""),ROWS($A$15:A33)+$B$3))),IF($D$15="",INDEX(orderHistory[order_no],SMALL(IF(ISNUMBER(MATCH(orderHistory[customer],$D$9,0)*MATCH(orderHistory[order_type],$D$13,0)),MATCH(ROW(orderHistory[customer]),ROW(orderHistory[customer])),""),ROWS($A$15:A33)+$B$3)),INDEX(orderHistory[order_no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no],SMALL(IF(ISNUMBER(MATCH(orderHistory[customer],$D$9,0)*MATCH(orderHistory[status],$D$11,0)),MATCH(ROW(orderHistory[customer]),ROW(orderHistory[customer])),""),ROWS($A$15:A33)+$B$3)),INDEX(orderHistory[order_no],SMALL(IF(ISNUMBER(MATCH(orderHistory[customer],$D$9,0)*MATCH(orderHistory[status],$D$11,0)*MATCH(YEAR(orderHistory[invoice_date]),$D$15,0)),MATCH(ROW(orderHistory[customer]),ROW(orderHistory[customer])),""),ROWS($A$15:A33)+$B$3))),IF($D$15="",INDEX(orderHistory[order_no],SMALL(IF(ISNUMBER(MATCH(orderHistory[customer],$D$9,0)*MATCH(orderHistory[status],$D$11,0)*MATCH(orderHistory[order_type],$D$13,0)),MATCH(ROW(orderHistory[customer]),ROW(orderHistory[customer])),""),ROWS($A$15:A33)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N28" s="541" t="str">
        <f t="array" ref="N28">IFERROR(IF($D$9="",IF($D$11="",IF($D$13="",IF($D$15="",INDEX(orderHistory[order_type],SMALL(MATCH(ROW(orderHistory[customer]),ROW(orderHistory[customer])),ROWS($A$15:A33)+$B$3)),INDEX(orderHistory[order_type],SMALL(IF(ISNUMBER(MATCH(YEAR(orderHistory[invoice_date]),$D$15,0)),MATCH(ROW(orderHistory[customer]),ROW(orderHistory[customer])),""),ROWS($A$15:A33)+$B$3))),IF($D$15="",INDEX(orderHistory[order_type],SMALL(IF(ISNUMBER(MATCH(orderHistory[order_type],$D$13,0)),MATCH(ROW(orderHistory[customer]),ROW(orderHistory[customer])),""),ROWS($A$15:A33)+$B$3)),INDEX(orderHistory[order_type],SMALL(IF(ISNUMBER(MATCH(orderHistory[order_type],$D$13,0)*MATCH(YEAR(orderHistory[invoice_date]),$D$15,0)),MATCH(ROW(orderHistory[customer]),ROW(orderHistory[customer])),""),ROWS($A$15:A33)+$B$3)))),IF($D$13="",IF($D$15="",INDEX(orderHistory[order_type],SMALL(IF(ISNUMBER(MATCH(orderHistory[status],$D$11,0)),MATCH(ROW(orderHistory[customer]),ROW(orderHistory[customer])),""),ROWS($A$15:A33)+$B$3)),INDEX(orderHistory[order_type],SMALL(IF(ISNUMBER(MATCH(orderHistory[status],$D$11,0)*MATCH(YEAR(orderHistory[invoice_date]),$D$15,0)),MATCH(ROW(orderHistory[customer]),ROW(orderHistory[customer])),""),ROWS($A$15:A33)+$B$3))),IF($D$15="",INDEX(orderHistory[order_type],SMALL(IF(ISNUMBER(MATCH(orderHistory[status],$D$11,0)*MATCH(orderHistory[order_type],$D$13,0)),MATCH(ROW(orderHistory[customer]),ROW(orderHistory[customer])),""),ROWS($A$15:A33)+$B$3)),INDEX(orderHistory[order_typ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type],SMALL(IF(ISNUMBER(MATCH(orderHistory[customer],$D$9,0)),MATCH(ROW(orderHistory[customer]),ROW(orderHistory[customer])),""),ROWS($A$15:A33)+$B$3)),INDEX(orderHistory[order_type],SMALL(IF(ISNUMBER(MATCH(orderHistory[customer],$D$9,0)*MATCH(YEAR(orderHistory[invoice_date]),$D$15,0)),MATCH(ROW(orderHistory[customer]),ROW(orderHistory[customer])),""),ROWS($A$15:A33)+$B$3))),IF($D$15="",INDEX(orderHistory[order_type],SMALL(IF(ISNUMBER(MATCH(orderHistory[customer],$D$9,0)*MATCH(orderHistory[order_type],$D$13,0)),MATCH(ROW(orderHistory[customer]),ROW(orderHistory[customer])),""),ROWS($A$15:A33)+$B$3)),INDEX(orderHistory[order_typ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type],SMALL(IF(ISNUMBER(MATCH(orderHistory[customer],$D$9,0)*MATCH(orderHistory[status],$D$11,0)),MATCH(ROW(orderHistory[customer]),ROW(orderHistory[customer])),""),ROWS($A$15:A33)+$B$3)),INDEX(orderHistory[order_type],SMALL(IF(ISNUMBER(MATCH(orderHistory[customer],$D$9,0)*MATCH(orderHistory[status],$D$11,0)*MATCH(YEAR(orderHistory[invoice_date]),$D$15,0)),MATCH(ROW(orderHistory[customer]),ROW(orderHistory[customer])),""),ROWS($A$15:A33)+$B$3))),IF($D$15="",INDEX(orderHistory[order_type],SMALL(IF(ISNUMBER(MATCH(orderHistory[customer],$D$9,0)*MATCH(orderHistory[status],$D$11,0)*MATCH(orderHistory[order_type],$D$13,0)),MATCH(ROW(orderHistory[customer]),ROW(orderHistory[customer])),""),ROWS($A$15:A33)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O28" s="542" t="str">
        <f t="array" ref="O28">IFERROR(IF($D$9="",IF($D$11="",IF($D$13="",IF($D$15="",INDEX(orderHistory[order_date],SMALL(MATCH(ROW(orderHistory[customer]),ROW(orderHistory[customer])),ROWS($A$15:A33)+$B$3)),INDEX(orderHistory[order_date],SMALL(IF(ISNUMBER(MATCH(YEAR(orderHistory[invoice_date]),$D$15,0)),MATCH(ROW(orderHistory[customer]),ROW(orderHistory[customer])),""),ROWS($A$15:A33)+$B$3))),IF($D$15="",INDEX(orderHistory[order_date],SMALL(IF(ISNUMBER(MATCH(orderHistory[order_type],$D$13,0)),MATCH(ROW(orderHistory[customer]),ROW(orderHistory[customer])),""),ROWS($A$15:A33)+$B$3)),INDEX(orderHistory[order_date],SMALL(IF(ISNUMBER(MATCH(orderHistory[order_type],$D$13,0)*MATCH(YEAR(orderHistory[invoice_date]),$D$15,0)),MATCH(ROW(orderHistory[customer]),ROW(orderHistory[customer])),""),ROWS($A$15:A33)+$B$3)))),IF($D$13="",IF($D$15="",INDEX(orderHistory[order_date],SMALL(IF(ISNUMBER(MATCH(orderHistory[status],$D$11,0)),MATCH(ROW(orderHistory[customer]),ROW(orderHistory[customer])),""),ROWS($A$15:A33)+$B$3)),INDEX(orderHistory[order_date],SMALL(IF(ISNUMBER(MATCH(orderHistory[status],$D$11,0)*MATCH(YEAR(orderHistory[invoice_date]),$D$15,0)),MATCH(ROW(orderHistory[customer]),ROW(orderHistory[customer])),""),ROWS($A$15:A33)+$B$3))),IF($D$15="",INDEX(orderHistory[order_date],SMALL(IF(ISNUMBER(MATCH(orderHistory[status],$D$11,0)*MATCH(orderHistory[order_type],$D$13,0)),MATCH(ROW(orderHistory[customer]),ROW(orderHistory[customer])),""),ROWS($A$15:A33)+$B$3)),INDEX(orderHistory[order_dat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date],SMALL(IF(ISNUMBER(MATCH(orderHistory[customer],$D$9,0)),MATCH(ROW(orderHistory[customer]),ROW(orderHistory[customer])),""),ROWS($A$15:A33)+$B$3)),INDEX(orderHistory[order_date],SMALL(IF(ISNUMBER(MATCH(orderHistory[customer],$D$9,0)*MATCH(YEAR(orderHistory[invoice_date]),$D$15,0)),MATCH(ROW(orderHistory[customer]),ROW(orderHistory[customer])),""),ROWS($A$15:A33)+$B$3))),IF($D$15="",INDEX(orderHistory[order_date],SMALL(IF(ISNUMBER(MATCH(orderHistory[customer],$D$9,0)*MATCH(orderHistory[order_type],$D$13,0)),MATCH(ROW(orderHistory[customer]),ROW(orderHistory[customer])),""),ROWS($A$15:A33)+$B$3)),INDEX(orderHistory[order_dat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date],SMALL(IF(ISNUMBER(MATCH(orderHistory[customer],$D$9,0)*MATCH(orderHistory[status],$D$11,0)),MATCH(ROW(orderHistory[customer]),ROW(orderHistory[customer])),""),ROWS($A$15:A33)+$B$3)),INDEX(orderHistory[order_date],SMALL(IF(ISNUMBER(MATCH(orderHistory[customer],$D$9,0)*MATCH(orderHistory[status],$D$11,0)*MATCH(YEAR(orderHistory[invoice_date]),$D$15,0)),MATCH(ROW(orderHistory[customer]),ROW(orderHistory[customer])),""),ROWS($A$15:A33)+$B$3))),IF($D$15="",INDEX(orderHistory[order_date],SMALL(IF(ISNUMBER(MATCH(orderHistory[customer],$D$9,0)*MATCH(orderHistory[status],$D$11,0)*MATCH(orderHistory[order_type],$D$13,0)),MATCH(ROW(orderHistory[customer]),ROW(orderHistory[customer])),""),ROWS($A$15:A33)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P28" s="543" t="str">
        <f t="array" ref="P28">IFERROR(IF($D$9="",IF($D$11="",IF($D$13="",IF($D$15="",INDEX(orderHistory[invoice_no],SMALL(MATCH(ROW(orderHistory[customer]),ROW(orderHistory[customer])),ROWS($A$15:A33)+$B$3)),INDEX(orderHistory[invoice_no],SMALL(IF(ISNUMBER(MATCH(YEAR(orderHistory[invoice_date]),$D$15,0)),MATCH(ROW(orderHistory[customer]),ROW(orderHistory[customer])),""),ROWS($A$15:A33)+$B$3))),IF($D$15="",INDEX(orderHistory[invoice_no],SMALL(IF(ISNUMBER(MATCH(orderHistory[order_type],$D$13,0)),MATCH(ROW(orderHistory[customer]),ROW(orderHistory[customer])),""),ROWS($A$15:A33)+$B$3)),INDEX(orderHistory[invoice_no],SMALL(IF(ISNUMBER(MATCH(orderHistory[order_type],$D$13,0)*MATCH(YEAR(orderHistory[invoice_date]),$D$15,0)),MATCH(ROW(orderHistory[customer]),ROW(orderHistory[customer])),""),ROWS($A$15:A33)+$B$3)))),IF($D$13="",IF($D$15="",INDEX(orderHistory[invoice_no],SMALL(IF(ISNUMBER(MATCH(orderHistory[status],$D$11,0)),MATCH(ROW(orderHistory[customer]),ROW(orderHistory[customer])),""),ROWS($A$15:A33)+$B$3)),INDEX(orderHistory[invoice_no],SMALL(IF(ISNUMBER(MATCH(orderHistory[status],$D$11,0)*MATCH(YEAR(orderHistory[invoice_date]),$D$15,0)),MATCH(ROW(orderHistory[customer]),ROW(orderHistory[customer])),""),ROWS($A$15:A33)+$B$3))),IF($D$15="",INDEX(orderHistory[invoice_no],SMALL(IF(ISNUMBER(MATCH(orderHistory[status],$D$11,0)*MATCH(orderHistory[order_type],$D$13,0)),MATCH(ROW(orderHistory[customer]),ROW(orderHistory[customer])),""),ROWS($A$15:A33)+$B$3)),INDEX(orderHistory[invoice_no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oice_no],SMALL(IF(ISNUMBER(MATCH(orderHistory[customer],$D$9,0)),MATCH(ROW(orderHistory[customer]),ROW(orderHistory[customer])),""),ROWS($A$15:A33)+$B$3)),INDEX(orderHistory[invoice_no],SMALL(IF(ISNUMBER(MATCH(orderHistory[customer],$D$9,0)*MATCH(YEAR(orderHistory[invoice_date]),$D$15,0)),MATCH(ROW(orderHistory[customer]),ROW(orderHistory[customer])),""),ROWS($A$15:A33)+$B$3))),IF($D$15="",INDEX(orderHistory[invoice_no],SMALL(IF(ISNUMBER(MATCH(orderHistory[customer],$D$9,0)*MATCH(orderHistory[order_type],$D$13,0)),MATCH(ROW(orderHistory[customer]),ROW(orderHistory[customer])),""),ROWS($A$15:A33)+$B$3)),INDEX(orderHistory[invoice_no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YEAR(orderHistory[invoice_date]),$D$15,0)),MATCH(ROW(orderHistory[customer]),ROW(orderHistory[customer])),""),ROWS($A$15:A33)+$B$3))),IF($D$15="",INDEX(orderHistory[invoice_no],SMALL(IF(ISNUMBER(MATCH(orderHistory[customer],$D$9,0)*MATCH(orderHistory[status],$D$11,0)*MATCH(orderHistory[order_type],$D$13,0)),MATCH(ROW(orderHistory[customer]),ROW(orderHistory[customer])),""),ROWS($A$15:A33)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Q28" s="544" t="str">
        <f t="array" ref="Q28">IFERROR(IF($D$9="",IF($D$11="",IF($D$13="",IF($D$15="",INDEX(orderHistory[invoice_date],SMALL(MATCH(ROW(orderHistory[customer]),ROW(orderHistory[customer])),ROWS($A$15:A33)+$B$3)),INDEX(orderHistory[invoice_date],SMALL(IF(ISNUMBER(MATCH(YEAR(orderHistory[invoice_date]),$D$15,0)),MATCH(ROW(orderHistory[customer]),ROW(orderHistory[customer])),""),ROWS($A$15:A33)+$B$3))),IF($D$15="",INDEX(orderHistory[invoice_date],SMALL(IF(ISNUMBER(MATCH(orderHistory[order_type],$D$13,0)),MATCH(ROW(orderHistory[customer]),ROW(orderHistory[customer])),""),ROWS($A$15:A33)+$B$3)),INDEX(orderHistory[invoice_date],SMALL(IF(ISNUMBER(MATCH(orderHistory[order_type],$D$13,0)*MATCH(YEAR(orderHistory[invoice_date]),$D$15,0)),MATCH(ROW(orderHistory[customer]),ROW(orderHistory[customer])),""),ROWS($A$15:A33)+$B$3)))),IF($D$13="",IF($D$15="",INDEX(orderHistory[invoice_date],SMALL(IF(ISNUMBER(MATCH(orderHistory[status],$D$11,0)),MATCH(ROW(orderHistory[customer]),ROW(orderHistory[customer])),""),ROWS($A$15:A33)+$B$3)),INDEX(orderHistory[invoice_date],SMALL(IF(ISNUMBER(MATCH(orderHistory[status],$D$11,0)*MATCH(YEAR(orderHistory[invoice_date]),$D$15,0)),MATCH(ROW(orderHistory[customer]),ROW(orderHistory[customer])),""),ROWS($A$15:A33)+$B$3))),IF($D$15="",INDEX(orderHistory[invoice_date],SMALL(IF(ISNUMBER(MATCH(orderHistory[status],$D$11,0)*MATCH(orderHistory[order_type],$D$13,0)),MATCH(ROW(orderHistory[customer]),ROW(orderHistory[customer])),""),ROWS($A$15:A33)+$B$3)),INDEX(orderHistory[invoice_dat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oice_date],SMALL(IF(ISNUMBER(MATCH(orderHistory[customer],$D$9,0)),MATCH(ROW(orderHistory[customer]),ROW(orderHistory[customer])),""),ROWS($A$15:A33)+$B$3)),INDEX(orderHistory[invoice_date],SMALL(IF(ISNUMBER(MATCH(orderHistory[customer],$D$9,0)*MATCH(YEAR(orderHistory[invoice_date]),$D$15,0)),MATCH(ROW(orderHistory[customer]),ROW(orderHistory[customer])),""),ROWS($A$15:A33)+$B$3))),IF($D$15="",INDEX(orderHistory[invoice_date],SMALL(IF(ISNUMBER(MATCH(orderHistory[customer],$D$9,0)*MATCH(orderHistory[order_type],$D$13,0)),MATCH(ROW(orderHistory[customer]),ROW(orderHistory[customer])),""),ROWS($A$15:A33)+$B$3)),INDEX(orderHistory[invoice_dat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YEAR(orderHistory[invoice_date]),$D$15,0)),MATCH(ROW(orderHistory[customer]),ROW(orderHistory[customer])),""),ROWS($A$15:A33)+$B$3))),IF($D$15="",INDEX(orderHistory[invoice_date],SMALL(IF(ISNUMBER(MATCH(orderHistory[customer],$D$9,0)*MATCH(orderHistory[status],$D$11,0)*MATCH(orderHistory[order_type],$D$13,0)),MATCH(ROW(orderHistory[customer]),ROW(orderHistory[customer])),""),ROWS($A$15:A33)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R28" s="545" t="str">
        <f t="array" ref="R28">IFERROR(IF($D$9="",IF($D$11="",IF($D$13="",IF($D$15="",INDEX(orderHistory[inv_amount],SMALL(MATCH(ROW(orderHistory[customer]),ROW(orderHistory[customer])),ROWS($A$15:A33)+$B$3)),INDEX(orderHistory[inv_amount],SMALL(IF(ISNUMBER(MATCH(YEAR(orderHistory[invoice_date]),$D$15,0)),MATCH(ROW(orderHistory[customer]),ROW(orderHistory[customer])),""),ROWS($A$15:A33)+$B$3))),IF($D$15="",INDEX(orderHistory[inv_amount],SMALL(IF(ISNUMBER(MATCH(orderHistory[order_type],$D$13,0)),MATCH(ROW(orderHistory[customer]),ROW(orderHistory[customer])),""),ROWS($A$15:A33)+$B$3)),INDEX(orderHistory[inv_amount],SMALL(IF(ISNUMBER(MATCH(orderHistory[order_type],$D$13,0)*MATCH(YEAR(orderHistory[invoice_date]),$D$15,0)),MATCH(ROW(orderHistory[customer]),ROW(orderHistory[customer])),""),ROWS($A$15:A33)+$B$3)))),IF($D$13="",IF($D$15="",INDEX(orderHistory[inv_amount],SMALL(IF(ISNUMBER(MATCH(orderHistory[status],$D$11,0)),MATCH(ROW(orderHistory[customer]),ROW(orderHistory[customer])),""),ROWS($A$15:A33)+$B$3)),INDEX(orderHistory[inv_amount],SMALL(IF(ISNUMBER(MATCH(orderHistory[status],$D$11,0)*MATCH(YEAR(orderHistory[invoice_date]),$D$15,0)),MATCH(ROW(orderHistory[customer]),ROW(orderHistory[customer])),""),ROWS($A$15:A33)+$B$3))),IF($D$15="",INDEX(orderHistory[inv_amount],SMALL(IF(ISNUMBER(MATCH(orderHistory[status],$D$11,0)*MATCH(orderHistory[order_type],$D$13,0)),MATCH(ROW(orderHistory[customer]),ROW(orderHistory[customer])),""),ROWS($A$15:A33)+$B$3)),INDEX(orderHistory[inv_amount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_amount],SMALL(IF(ISNUMBER(MATCH(orderHistory[customer],$D$9,0)),MATCH(ROW(orderHistory[customer]),ROW(orderHistory[customer])),""),ROWS($A$15:A33)+$B$3)),INDEX(orderHistory[inv_amount],SMALL(IF(ISNUMBER(MATCH(orderHistory[customer],$D$9,0)*MATCH(YEAR(orderHistory[invoice_date]),$D$15,0)),MATCH(ROW(orderHistory[customer]),ROW(orderHistory[customer])),""),ROWS($A$15:A33)+$B$3))),IF($D$15="",INDEX(orderHistory[inv_amount],SMALL(IF(ISNUMBER(MATCH(orderHistory[customer],$D$9,0)*MATCH(orderHistory[order_type],$D$13,0)),MATCH(ROW(orderHistory[customer]),ROW(orderHistory[customer])),""),ROWS($A$15:A33)+$B$3)),INDEX(orderHistory[inv_amount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_amount],SMALL(IF(ISNUMBER(MATCH(orderHistory[customer],$D$9,0)*MATCH(orderHistory[status],$D$11,0)),MATCH(ROW(orderHistory[customer]),ROW(orderHistory[customer])),""),ROWS($A$15:A33)+$B$3)),INDEX(orderHistory[inv_amount],SMALL(IF(ISNUMBER(MATCH(orderHistory[customer],$D$9,0)*MATCH(orderHistory[status],$D$11,0)*MATCH(YEAR(orderHistory[inv_amount]),$D$15,0)),MATCH(ROW(orderHistory[customer]),ROW(orderHistory[customer])),""),ROWS($A$15:A33)+$B$3))),IF($D$15="",INDEX(orderHistory[inv_amount],SMALL(IF(ISNUMBER(MATCH(orderHistory[customer],$D$9,0)*MATCH(orderHistory[status],$D$11,0)*MATCH(orderHistory[order_type],$D$13,0)),MATCH(ROW(orderHistory[customer]),ROW(orderHistory[customer])),""),ROWS($A$15:A33)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S28" s="546" t="str">
        <f t="shared" si="2"/>
        <v/>
      </c>
      <c r="T28" s="547" t="str">
        <f t="array" ref="T28">IFERROR(IF($D$9="",IF($D$11="",IF($D$13="",IF($D$15="",INDEX(orderHistory[payed],SMALL(MATCH(ROW(orderHistory[customer]),ROW(orderHistory[customer])),ROWS($A$15:A33)+$B$3)),INDEX(orderHistory[payed],SMALL(IF(ISNUMBER(MATCH(YEAR(orderHistory[invoice_date]),$D$15,0)),MATCH(ROW(orderHistory[customer]),ROW(orderHistory[customer])),""),ROWS($A$15:A33)+$B$3))),IF($D$15="",INDEX(orderHistory[payed],SMALL(IF(ISNUMBER(MATCH(orderHistory[order_type],$D$13,0)),MATCH(ROW(orderHistory[customer]),ROW(orderHistory[customer])),""),ROWS($A$15:A33)+$B$3)),INDEX(orderHistory[payed],SMALL(IF(ISNUMBER(MATCH(orderHistory[order_type],$D$13,0)*MATCH(YEAR(orderHistory[invoice_date]),$D$15,0)),MATCH(ROW(orderHistory[customer]),ROW(orderHistory[customer])),""),ROWS($A$15:A33)+$B$3)))),IF($D$13="",IF($D$15="",INDEX(orderHistory[payed],SMALL(IF(ISNUMBER(MATCH(orderHistory[status],$D$11,0)),MATCH(ROW(orderHistory[customer]),ROW(orderHistory[customer])),""),ROWS($A$15:A33)+$B$3)),INDEX(orderHistory[payed],SMALL(IF(ISNUMBER(MATCH(orderHistory[status],$D$11,0)*MATCH(YEAR(orderHistory[invoice_date]),$D$15,0)),MATCH(ROW(orderHistory[customer]),ROW(orderHistory[customer])),""),ROWS($A$15:A33)+$B$3))),IF($D$15="",INDEX(orderHistory[payed],SMALL(IF(ISNUMBER(MATCH(orderHistory[status],$D$11,0)*MATCH(orderHistory[order_type],$D$13,0)),MATCH(ROW(orderHistory[customer]),ROW(orderHistory[customer])),""),ROWS($A$15:A33)+$B$3)),INDEX(orderHistory[payed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payed],SMALL(IF(ISNUMBER(MATCH(orderHistory[customer],$D$9,0)),MATCH(ROW(orderHistory[customer]),ROW(orderHistory[customer])),""),ROWS($A$15:A33)+$B$3)),INDEX(orderHistory[payed],SMALL(IF(ISNUMBER(MATCH(orderHistory[customer],$D$9,0)*MATCH(YEAR(orderHistory[invoice_date]),$D$15,0)),MATCH(ROW(orderHistory[customer]),ROW(orderHistory[customer])),""),ROWS($A$15:A33)+$B$3))),IF($D$15="",INDEX(orderHistory[payed],SMALL(IF(ISNUMBER(MATCH(orderHistory[customer],$D$9,0)*MATCH(orderHistory[order_type],$D$13,0)),MATCH(ROW(orderHistory[customer]),ROW(orderHistory[customer])),""),ROWS($A$15:A33)+$B$3)),INDEX(orderHistory[payed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payed],SMALL(IF(ISNUMBER(MATCH(orderHistory[customer],$D$9,0)*MATCH(orderHistory[status],$D$11,0)),MATCH(ROW(orderHistory[customer]),ROW(orderHistory[customer])),""),ROWS($A$15:A33)+$B$3)),INDEX(orderHistory[payed],SMALL(IF(ISNUMBER(MATCH(orderHistory[customer],$D$9,0)*MATCH(orderHistory[status],$D$11,0)*MATCH(YEAR(orderHistory[payed]),$D$15,0)),MATCH(ROW(orderHistory[customer]),ROW(orderHistory[customer])),""),ROWS($A$15:A33)+$B$3))),IF($D$15="",INDEX(orderHistory[payed],SMALL(IF(ISNUMBER(MATCH(orderHistory[customer],$D$9,0)*MATCH(orderHistory[status],$D$11,0)*MATCH(orderHistory[order_type],$D$13,0)),MATCH(ROW(orderHistory[customer]),ROW(orderHistory[customer])),""),ROWS($A$15:A33)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U28" s="541" t="str">
        <f t="array" ref="U28">IFERROR(IF($D$9="",IF($D$11="",IF($D$13="",IF($D$15="",INDEX(orderHistory[shipping_method],SMALL(MATCH(ROW(orderHistory[customer]),ROW(orderHistory[customer])),ROWS($A$15:A33)+$B$3)),INDEX(orderHistory[shipping_method],SMALL(IF(ISNUMBER(MATCH(YEAR(orderHistory[invoice_date]),$D$15,0)),MATCH(ROW(orderHistory[customer]),ROW(orderHistory[customer])),""),ROWS($A$15:A33)+$B$3))),IF($D$15="",INDEX(orderHistory[shipping_method],SMALL(IF(ISNUMBER(MATCH(orderHistory[order_type],$D$13,0)),MATCH(ROW(orderHistory[customer]),ROW(orderHistory[customer])),""),ROWS($A$15:A33)+$B$3)),INDEX(orderHistory[shipping_method],SMALL(IF(ISNUMBER(MATCH(orderHistory[order_type],$D$13,0)*MATCH(YEAR(orderHistory[invoice_date]),$D$15,0)),MATCH(ROW(orderHistory[customer]),ROW(orderHistory[customer])),""),ROWS($A$15:A33)+$B$3)))),IF($D$13="",IF($D$15="",INDEX(orderHistory[shipping_method],SMALL(IF(ISNUMBER(MATCH(orderHistory[status],$D$11,0)),MATCH(ROW(orderHistory[customer]),ROW(orderHistory[customer])),""),ROWS($A$15:A33)+$B$3)),INDEX(orderHistory[shipping_method],SMALL(IF(ISNUMBER(MATCH(orderHistory[status],$D$11,0)*MATCH(YEAR(orderHistory[invoice_date]),$D$15,0)),MATCH(ROW(orderHistory[customer]),ROW(orderHistory[customer])),""),ROWS($A$15:A33)+$B$3))),IF($D$15="",INDEX(orderHistory[shipping_method],SMALL(IF(ISNUMBER(MATCH(orderHistory[status],$D$11,0)*MATCH(orderHistory[order_type],$D$13,0)),MATCH(ROW(orderHistory[customer]),ROW(orderHistory[customer])),""),ROWS($A$15:A33)+$B$3)),INDEX(orderHistory[shipping_method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shipping_method],SMALL(IF(ISNUMBER(MATCH(orderHistory[customer],$D$9,0)),MATCH(ROW(orderHistory[customer]),ROW(orderHistory[customer])),""),ROWS($A$15:A33)+$B$3)),INDEX(orderHistory[shipping_method],SMALL(IF(ISNUMBER(MATCH(orderHistory[customer],$D$9,0)*MATCH(YEAR(orderHistory[invoice_date]),$D$15,0)),MATCH(ROW(orderHistory[customer]),ROW(orderHistory[customer])),""),ROWS($A$15:A33)+$B$3))),IF($D$15="",INDEX(orderHistory[shipping_method],SMALL(IF(ISNUMBER(MATCH(orderHistory[customer],$D$9,0)*MATCH(orderHistory[order_type],$D$13,0)),MATCH(ROW(orderHistory[customer]),ROW(orderHistory[customer])),""),ROWS($A$15:A33)+$B$3)),INDEX(orderHistory[shipping_method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shipping_method],SMALL(IF(ISNUMBER(MATCH(orderHistory[customer],$D$9,0)*MATCH(orderHistory[status],$D$11,0)),MATCH(ROW(orderHistory[customer]),ROW(orderHistory[customer])),""),ROWS($A$15:A33)+$B$3)),INDEX(orderHistory[shipping_method],SMALL(IF(ISNUMBER(MATCH(orderHistory[customer],$D$9,0)*MATCH(orderHistory[status],$D$11,0)*MATCH(YEAR(orderHistory[shipping_method]),$D$15,0)),MATCH(ROW(orderHistory[customer]),ROW(orderHistory[customer])),""),ROWS($A$15:A33)+$B$3))),IF($D$15="",INDEX(orderHistory[shipping_method],SMALL(IF(ISNUMBER(MATCH(orderHistory[customer],$D$9,0)*MATCH(orderHistory[status],$D$11,0)*MATCH(orderHistory[order_type],$D$13,0)),MATCH(ROW(orderHistory[customer]),ROW(orderHistory[customer])),""),ROWS($A$15:A33)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V28" s="548" t="str">
        <f t="array" ref="V28">IFERROR(IF($D$9="",IF($D$11="",IF($D$13="",IF($D$15="",INDEX(orderHistory[status],SMALL(MATCH(ROW(orderHistory[customer]),ROW(orderHistory[customer])),ROWS($A$15:A33)+$B$3)),INDEX(orderHistory[status],SMALL(IF(ISNUMBER(MATCH(YEAR(orderHistory[invoice_date]),$D$15,0)),MATCH(ROW(orderHistory[customer]),ROW(orderHistory[customer])),""),ROWS($A$15:A33)+$B$3))),IF($D$15="",INDEX(orderHistory[status],SMALL(IF(ISNUMBER(MATCH(orderHistory[order_type],$D$13,0)),MATCH(ROW(orderHistory[customer]),ROW(orderHistory[customer])),""),ROWS($A$15:A33)+$B$3)),INDEX(orderHistory[status],SMALL(IF(ISNUMBER(MATCH(orderHistory[order_type],$D$13,0)*MATCH(YEAR(orderHistory[invoice_date]),$D$15,0)),MATCH(ROW(orderHistory[customer]),ROW(orderHistory[customer])),""),ROWS($A$15:A33)+$B$3)))),IF($D$13="",IF($D$15="",INDEX(orderHistory[status],SMALL(IF(ISNUMBER(MATCH(orderHistory[status],$D$11,0)),MATCH(ROW(orderHistory[customer]),ROW(orderHistory[customer])),""),ROWS($A$15:A33)+$B$3)),INDEX(orderHistory[status],SMALL(IF(ISNUMBER(MATCH(orderHistory[status],$D$11,0)*MATCH(YEAR(orderHistory[invoice_date]),$D$15,0)),MATCH(ROW(orderHistory[customer]),ROW(orderHistory[customer])),""),ROWS($A$15:A33)+$B$3))),IF($D$15="",INDEX(orderHistory[status],SMALL(IF(ISNUMBER(MATCH(orderHistory[status],$D$11,0)*MATCH(orderHistory[order_type],$D$13,0)),MATCH(ROW(orderHistory[customer]),ROW(orderHistory[customer])),""),ROWS($A$15:A33)+$B$3)),INDEX(orderHistory[status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status],SMALL(IF(ISNUMBER(MATCH(orderHistory[customer],$D$9,0)),MATCH(ROW(orderHistory[customer]),ROW(orderHistory[customer])),""),ROWS($A$15:A33)+$B$3)),INDEX(orderHistory[status],SMALL(IF(ISNUMBER(MATCH(orderHistory[customer],$D$9,0)*MATCH(YEAR(orderHistory[invoice_date]),$D$15,0)),MATCH(ROW(orderHistory[customer]),ROW(orderHistory[customer])),""),ROWS($A$15:A33)+$B$3))),IF($D$15="",INDEX(orderHistory[status],SMALL(IF(ISNUMBER(MATCH(orderHistory[customer],$D$9,0)*MATCH(orderHistory[order_type],$D$13,0)),MATCH(ROW(orderHistory[customer]),ROW(orderHistory[customer])),""),ROWS($A$15:A33)+$B$3)),INDEX(orderHistory[status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status],SMALL(IF(ISNUMBER(MATCH(orderHistory[customer],$D$9,0)*MATCH(orderHistory[status],$D$11,0)),MATCH(ROW(orderHistory[customer]),ROW(orderHistory[customer])),""),ROWS($A$15:A33)+$B$3)),INDEX(orderHistory[status],SMALL(IF(ISNUMBER(MATCH(orderHistory[customer],$D$9,0)*MATCH(orderHistory[status],$D$11,0)*MATCH(YEAR(orderHistory[status]),$D$15,0)),MATCH(ROW(orderHistory[customer]),ROW(orderHistory[customer])),""),ROWS($A$15:A33)+$B$3))),IF($D$15="",INDEX(orderHistory[status],SMALL(IF(ISNUMBER(MATCH(orderHistory[customer],$D$9,0)*MATCH(orderHistory[status],$D$11,0)*MATCH(orderHistory[order_type],$D$13,0)),MATCH(ROW(orderHistory[customer]),ROW(orderHistory[customer])),""),ROWS($A$15:A33)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W28" s="107"/>
      <c r="AQ28" s="462"/>
      <c r="AR28" s="497"/>
      <c r="AS28" s="498"/>
      <c r="AT28" s="499"/>
      <c r="AU28" s="421"/>
      <c r="AW28" s="460"/>
      <c r="BB28" s="791"/>
      <c r="BC28" s="792"/>
      <c r="BD28" s="792"/>
      <c r="BE28" s="792"/>
      <c r="BF28" s="792"/>
      <c r="BG28" s="792"/>
      <c r="BH28" s="793"/>
      <c r="BJ28" s="421"/>
      <c r="BK28" s="450"/>
      <c r="BL28" s="451"/>
      <c r="BM28" s="452"/>
      <c r="BN28" s="451"/>
      <c r="BO28" s="452"/>
      <c r="BZ28" s="167"/>
      <c r="CA28" s="154" t="str">
        <f>IF(BZ28="","",INDEX(bhpc_data[description],MATCH(BZ28,bhpc_data[sku],0)))</f>
        <v/>
      </c>
      <c r="CB28" s="159"/>
      <c r="CC28" s="357"/>
      <c r="CD28" s="259"/>
      <c r="CE28" s="360"/>
      <c r="CF28" s="161"/>
      <c r="CG28" s="164" t="str">
        <f>IFERROR(ROUNDUP(CB28/INDEX(bhpc_data[units_per_carton],MATCH(BZ28,bhpc_data[sku],0)),0),"")</f>
        <v/>
      </c>
      <c r="CH28" s="165" t="str">
        <f>IFERROR(ROUNDUP(CD28/INDEX(bhpc_data[units_per_carton],MATCH(BZ28,bhpc_data[sku],0)),0),"")</f>
        <v/>
      </c>
      <c r="CI28" s="165" t="str">
        <f>IFERROR(ROUNDUP(CF28/INDEX(bhpc_data[units_per_carton],MATCH(BZ28,bhpc_data[sku])),0),"")</f>
        <v/>
      </c>
      <c r="CJ28" s="165" t="str">
        <f>IFERROR(((CB28+CD28+CF28)/INDEX(bhpc_data[units_per_carton],MATCH(BZ28,bhpc_data[sku],0)))*INDEX(bhpc_data[net_weight],MATCH(BZ28,bhpc_data[sku],0)),"")</f>
        <v/>
      </c>
      <c r="CK28" s="165" t="str">
        <f>IFERROR(((CB28+CD28+CF28)/INDEX(bhpc_data[units_per_carton],MATCH(BZ28,bhpc_data[sku],0)))*INDEX(bhpc_data[gross_weight],MATCH(BZ28,bhpc_data[sku],0)),"")</f>
        <v/>
      </c>
      <c r="CL28" s="180" t="str">
        <f>IFERROR((CB28+CD28+CF28)/INDEX(bhpc_data[units_per_carton],MATCH(BZ28,bhpc_data[sku],0))*INDEX(bhpc_data[lenght],MATCH(BZ28,bhpc_data[sku],0))*INDEX(bhpc_data[width],MATCH(BZ28,bhpc_data[sku],0))*INDEX(bhpc_data[height],MATCH(BZ28,bhpc_data[sku],0))/1000000000,"")</f>
        <v/>
      </c>
      <c r="CM28" s="189" t="str">
        <f>IFERROR(INDEX(bhpc_data[category],MATCH(BZ28,bhpc_data[sku],0)),"")</f>
        <v/>
      </c>
      <c r="CN28" s="189" t="str">
        <f>IFERROR(INDEX(bhpc_data[size1],MATCH(BZ28,bhpc_data[sku],0)),"")</f>
        <v/>
      </c>
      <c r="CO28" s="388" t="str">
        <f>IFERROR(INDEX(bhpc_data[hs_code],MATCH(BZ28,bhpc_data[sku],0)),"")</f>
        <v/>
      </c>
      <c r="CP28" s="377" t="str">
        <f>IFERROR(INDEX(inventory[ESISTENZA],MATCH(BZ28,inventory[ARTICOLO],0)),"")</f>
        <v/>
      </c>
      <c r="CQ28" s="364" t="str">
        <f>IFERROR(IF(BZ28="","",IF($BX$15="SALE",INDEX(inventory[COSTO UNITARIO],MATCH(BZ28,inventory[ARTICOLO],0)),IF($BX$15="SAMPLING",INDEX(inventory[COSTO UNITARIO],MATCH(BZ28,inventory[ARTICOLO],0)),""))),"")</f>
        <v/>
      </c>
      <c r="CR28" s="365" t="str">
        <f t="shared" si="0"/>
        <v/>
      </c>
      <c r="CS28" s="264" t="str">
        <f t="shared" si="1"/>
        <v/>
      </c>
      <c r="DA28" s="432" t="str">
        <f>IFERROR(VLOOKUP(BZ28,bhpc_data[],22,FALSE),"")</f>
        <v/>
      </c>
      <c r="DH28" s="296"/>
      <c r="EE28" s="202" t="str" cm="1">
        <f t="array" ref="EE28">IFERROR(IF($EC$9="",IF($EC$11="",IF($EC$13="",INDEX(bhpc_data[sku],SMALL(MATCH(ROW(bhpc_data[sku]),ROW(bhpc_data[sku])),ROWS($A$15:A33)+$B$3)),INDEX(bhpc_data[sku],SMALL(IF(ISNUMBER(MATCH(bhpc_data[size1],$EC$13,0)),MATCH(ROW(bhpc_data[sku]),ROW(bhpc_data[sku])),""),ROWS($A$15:A33)+$B$3))),IF($EC$13="",INDEX(bhpc_data[sku],SMALL(IF(ISNUMBER(MATCH(bhpc_data[sex],$EC$11,0)),MATCH(ROW(bhpc_data[sku]),ROW(bhpc_data[sku])),""),ROWS($A$15:A33)+$B$3)),INDEX(bhpc_data[sku],SMALL(IF(ISNUMBER(MATCH(bhpc_data[sex],$EC$11,0)*MATCH(bhpc_data[size1],$EC$13,0)),MATCH(ROW(bhpc_data[sku]),ROW(bhpc_data[sku])),""),ROWS($A$15:A33)+$B$3)))),IF($EC$11="",IF($EC$13="",INDEX(bhpc_data[sku],SMALL(IF(ISNUMBER(MATCH(bhpc_data[category],$EC$9,0)),MATCH(ROW(bhpc_data[sku]),ROW(bhpc_data[sku])),""),ROWS($A$15:A33)+$B$3)),INDEX(bhpc_data[sku],SMALL(IF(ISNUMBER(MATCH(bhpc_data[category],$EC$9,0)*MATCH(bhpc_data[size1],$EC$13,0)),MATCH(ROW(bhpc_data[sku]),ROW(bhpc_data[sku])),""),ROWS($A$15:A33)+$B$3))),IF($EC$13="",INDEX(bhpc_data[sku],SMALL(IF(ISNUMBER(MATCH(bhpc_data[category],$EC$9,0)*MATCH(bhpc_data[sex],$EC$11,0)),MATCH(ROW(bhpc_data[sku]),ROW(bhpc_data[sku])),""),ROWS($A$15:A33)+$B$3)),INDEX(bhpc_data[sku],SMALL(IF(ISNUMBER(MATCH(bhpc_data[category],$EC$9,0)*MATCH(bhpc_data[sex],$EC$11,0)*MATCH(bhpc_data[size1],$EC$13,0)),MATCH(ROW(bhpc_data[sku]),ROW(bhpc_data[sku])),""),ROWS($A$15:A33)+$B$3))))),"")</f>
        <v>GS7022</v>
      </c>
      <c r="EF28" s="198" t="str" cm="1">
        <f t="array" ref="EF28">IFERROR(IF($EC$9="",IF($EC$11="",IF($EC$13="",INDEX(bhpc_data[description],SMALL(MATCH(ROW(bhpc_data[sku]),ROW(bhpc_data[sku])),ROWS($A$15:A33)+$B$3)),INDEX(bhpc_data[description],SMALL(IF(ISNUMBER(MATCH(bhpc_data[size1],$EC$13,0)),MATCH(ROW(bhpc_data[sku]),ROW(bhpc_data[sku])),""),ROWS($A$15:A33)+$B$3))),IF($EC$13="",INDEX(bhpc_data[description],SMALL(IF(ISNUMBER(MATCH(bhpc_data[sex],$EC$11,0)),MATCH(ROW(bhpc_data[sku]),ROW(bhpc_data[sku])),""),ROWS($A$15:A33)+$B$3)),INDEX(bhpc_data[description],SMALL(IF(ISNUMBER(MATCH(bhpc_data[sex],$EC$11,0)*MATCH(bhpc_data[size1],$EC$13,0)),MATCH(ROW(bhpc_data[sku]),ROW(bhpc_data[sku])),""),ROWS($A$15:A33)+$B$3)))),IF($EC$11="",IF($EC$13="",INDEX(bhpc_data[description],SMALL(IF(ISNUMBER(MATCH(bhpc_data[category],$EC$9,0)),MATCH(ROW(bhpc_data[sku]),ROW(bhpc_data[sku])),""),ROWS($A$15:A33)+$B$3)),INDEX(bhpc_data[description],SMALL(IF(ISNUMBER(MATCH(bhpc_data[category],$EC$9,0)*MATCH(bhpc_data[size1],$EC$13,0)),MATCH(ROW(bhpc_data[sku]),ROW(bhpc_data[sku])),""),ROWS($A$15:A33)+$B$3))),IF($EC$13="",INDEX(bhpc_data[description],SMALL(IF(ISNUMBER(MATCH(bhpc_data[category],$EC$9,0)*MATCH(bhpc_data[sex],$EC$11,0)),MATCH(ROW(bhpc_data[sku]),ROW(bhpc_data[sku])),""),ROWS($A$15:A33)+$B$3)),INDEX(bhpc_data[description],SMALL(IF(ISNUMBER(MATCH(bhpc_data[category],$EC$9,0)*MATCH(bhpc_data[sex],$EC$11,0)*MATCH(bhpc_data[size1],$EC$13,0)),MATCH(ROW(bhpc_data[sku]),ROW(bhpc_data[sku])),""),ROWS($A$15:A33)+$B$3))))),"")</f>
        <v>BHPC GIFT SET MEN #8 EDT50ML+DEO175ML+ROLLON50ML</v>
      </c>
      <c r="EG28" s="263">
        <f>IFERROR(IF(warehouse[[#This Row],[SKU]]="","",INDEX(inventory[ESISTENZA],MATCH(warehouse[[#This Row],[SKU]],inventory[ARTICOLO],0))),"")</f>
        <v>310</v>
      </c>
      <c r="EH28" s="328"/>
      <c r="EI28" s="328"/>
      <c r="EJ28" s="263"/>
      <c r="EK28" s="113"/>
      <c r="FF28" s="413"/>
      <c r="FG28" s="413"/>
      <c r="FH28" s="413"/>
      <c r="FI28" s="413"/>
      <c r="FJ28" s="413"/>
      <c r="FK28" s="413"/>
      <c r="FL28" s="413"/>
      <c r="FM28" s="413"/>
      <c r="FN28" s="413"/>
      <c r="FO28" s="413"/>
      <c r="FP28" s="413"/>
      <c r="FQ28" s="413"/>
      <c r="FR28" s="413"/>
      <c r="FS28" s="413"/>
      <c r="FT28" s="413"/>
      <c r="FU28" s="413"/>
      <c r="FV28" s="413"/>
      <c r="FW28" s="413"/>
      <c r="FX28" s="413"/>
      <c r="FY28" s="413"/>
      <c r="FZ28" s="413"/>
      <c r="GA28" s="413"/>
      <c r="GB28" s="413"/>
      <c r="GC28" s="413"/>
      <c r="GD28" s="413"/>
      <c r="GE28" s="413"/>
      <c r="GF28" s="413"/>
      <c r="GG28" s="413"/>
      <c r="GH28" s="413"/>
      <c r="GI28" s="413"/>
      <c r="GJ28" s="413"/>
      <c r="GK28" s="413"/>
      <c r="GL28" s="413"/>
      <c r="GM28" s="413"/>
      <c r="GN28" s="413"/>
      <c r="GO28" s="413"/>
      <c r="GP28" s="413"/>
      <c r="GQ28" s="413"/>
      <c r="GR28" s="413"/>
      <c r="GS28" s="413"/>
      <c r="GT28" s="413"/>
      <c r="GU28" s="413"/>
      <c r="GV28" s="413"/>
      <c r="GW28" s="413"/>
      <c r="GX28" s="413"/>
      <c r="GY28" s="413"/>
      <c r="GZ28" s="413"/>
      <c r="HA28" s="413"/>
      <c r="HB28" s="413"/>
      <c r="HC28" s="413"/>
      <c r="HD28" s="413"/>
      <c r="HE28" s="413"/>
      <c r="HF28" s="413"/>
      <c r="HG28" s="413"/>
      <c r="HH28" s="413"/>
      <c r="HI28" s="413"/>
      <c r="HJ28" s="413"/>
      <c r="HK28" s="413"/>
      <c r="HL28" s="413"/>
      <c r="HM28" s="413"/>
      <c r="HN28" s="413"/>
      <c r="HO28" s="413"/>
      <c r="HP28" s="413"/>
      <c r="HQ28" s="413"/>
      <c r="HR28" s="413"/>
      <c r="HS28" s="413"/>
      <c r="HT28" s="413"/>
    </row>
    <row r="29" spans="1:228" ht="15" customHeight="1" x14ac:dyDescent="0.35">
      <c r="F29" s="96"/>
      <c r="G29" s="802">
        <f>IFERROR(INDEX(clientData[logistic_address4],MATCH($B$6,clientData[cod_cliente],0)),"")</f>
        <v>0</v>
      </c>
      <c r="H29" s="803"/>
      <c r="I29" s="804"/>
      <c r="J29" s="82"/>
      <c r="L29" s="539" t="str">
        <f t="array" ref="L29">IFERROR(IF($D$9="",IF($D$11="",IF($D$13="",IF($D$15="",INDEX(orderHistory[customer],SMALL(MATCH(ROW(orderHistory[customer]),ROW(orderHistory[customer])),ROWS($A$15:A34)+$B$3)),INDEX(orderHistory[customer],SMALL(IF(ISNUMBER(MATCH(YEAR(orderHistory[invoice_date]),$D$15,0)),MATCH(ROW(orderHistory[customer]),ROW(orderHistory[customer])),""),ROWS($A$15:A34)+$B$3))),IF($D$15="",INDEX(orderHistory[customer],SMALL(IF(ISNUMBER(MATCH(orderHistory[order_type],$D$13,0)),MATCH(ROW(orderHistory[customer]),ROW(orderHistory[customer])),""),ROWS($A$15:A34)+$B$3)),INDEX(orderHistory[customer],SMALL(IF(ISNUMBER(MATCH(orderHistory[order_type],$D$13,0)*MATCH(YEAR(orderHistory[invoice_date]),$D$15,0)),MATCH(ROW(orderHistory[customer]),ROW(orderHistory[customer])),""),ROWS($A$15:A34)+$B$3)))),IF($D$13="",IF($D$15="",INDEX(orderHistory[customer],SMALL(IF(ISNUMBER(MATCH(orderHistory[status],$D$11,0)),MATCH(ROW(orderHistory[customer]),ROW(orderHistory[customer])),""),ROWS($A$15:A34)+$B$3)),INDEX(orderHistory[customer],SMALL(IF(ISNUMBER(MATCH(orderHistory[status],$D$11,0)*MATCH(YEAR(orderHistory[invoice_date]),$D$15,0)),MATCH(ROW(orderHistory[customer]),ROW(orderHistory[customer])),""),ROWS($A$15:A34)+$B$3))),IF($D$15="",INDEX(orderHistory[customer],SMALL(IF(ISNUMBER(MATCH(orderHistory[status],$D$11,0)*MATCH(orderHistory[order_type],$D$13,0)),MATCH(ROW(orderHistory[customer]),ROW(orderHistory[customer])),""),ROWS($A$15:A34)+$B$3)),INDEX(orderHistory[customer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customer],SMALL(IF(ISNUMBER(MATCH(orderHistory[customer],$D$9,0)),MATCH(ROW(orderHistory[customer]),ROW(orderHistory[customer])),""),ROWS($A$15:A34)+$B$3)),INDEX(orderHistory[customer],SMALL(IF(ISNUMBER(MATCH(orderHistory[customer],$D$9,0)*MATCH(YEAR(orderHistory[invoice_date]),$D$15,0)),MATCH(ROW(orderHistory[customer]),ROW(orderHistory[customer])),""),ROWS($A$15:A34)+$B$3))),IF($D$15="",INDEX(orderHistory[customer],SMALL(IF(ISNUMBER(MATCH(orderHistory[customer],$D$9,0)*MATCH(orderHistory[order_type],$D$13,0)),MATCH(ROW(orderHistory[customer]),ROW(orderHistory[customer])),""),ROWS($A$15:A34)+$B$3)),INDEX(orderHistory[customer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customer],SMALL(IF(ISNUMBER(MATCH(orderHistory[customer],$D$9,0)*MATCH(orderHistory[status],$D$11,0)),MATCH(ROW(orderHistory[customer]),ROW(orderHistory[customer])),""),ROWS($A$15:A34)+$B$3)),INDEX(orderHistory[customer],SMALL(IF(ISNUMBER(MATCH(orderHistory[customer],$D$9,0)*MATCH(orderHistory[status],$D$11,0)*MATCH(YEAR(orderHistory[invoice_date]),$D$15,0)),MATCH(ROW(orderHistory[customer]),ROW(orderHistory[customer])),""),ROWS($A$15:A34)+$B$3))),IF($D$15="",INDEX(orderHistory[customer],SMALL(IF(ISNUMBER(MATCH(orderHistory[customer],$D$9,0)*MATCH(orderHistory[status],$D$11,0)*MATCH(orderHistory[order_type],$D$13,0)),MATCH(ROW(orderHistory[customer]),ROW(orderHistory[customer])),""),ROWS($A$15:A34)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M29" s="540" t="str">
        <f t="array" ref="M29">IFERROR(IF($D$9="",IF($D$11="",IF($D$13="",IF($D$15="",INDEX(orderHistory[order_no],SMALL(MATCH(ROW(orderHistory[customer]),ROW(orderHistory[customer])),ROWS($A$15:A34)+$B$3)),INDEX(orderHistory[order_no],SMALL(IF(ISNUMBER(MATCH(YEAR(orderHistory[invoice_date]),$D$15,0)),MATCH(ROW(orderHistory[customer]),ROW(orderHistory[customer])),""),ROWS($A$15:A34)+$B$3))),IF($D$15="",INDEX(orderHistory[order_no],SMALL(IF(ISNUMBER(MATCH(orderHistory[order_type],$D$13,0)),MATCH(ROW(orderHistory[customer]),ROW(orderHistory[customer])),""),ROWS($A$15:A34)+$B$3)),INDEX(orderHistory[order_no],SMALL(IF(ISNUMBER(MATCH(orderHistory[order_type],$D$13,0)*MATCH(YEAR(orderHistory[invoice_date]),$D$15,0)),MATCH(ROW(orderHistory[customer]),ROW(orderHistory[customer])),""),ROWS($A$15:A34)+$B$3)))),IF($D$13="",IF($D$15="",INDEX(orderHistory[order_no],SMALL(IF(ISNUMBER(MATCH(orderHistory[status],$D$11,0)),MATCH(ROW(orderHistory[customer]),ROW(orderHistory[customer])),""),ROWS($A$15:A34)+$B$3)),INDEX(orderHistory[order_no],SMALL(IF(ISNUMBER(MATCH(orderHistory[status],$D$11,0)*MATCH(YEAR(orderHistory[invoice_date]),$D$15,0)),MATCH(ROW(orderHistory[customer]),ROW(orderHistory[customer])),""),ROWS($A$15:A34)+$B$3))),IF($D$15="",INDEX(orderHistory[order_no],SMALL(IF(ISNUMBER(MATCH(orderHistory[status],$D$11,0)*MATCH(orderHistory[order_type],$D$13,0)),MATCH(ROW(orderHistory[customer]),ROW(orderHistory[customer])),""),ROWS($A$15:A34)+$B$3)),INDEX(orderHistory[order_no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no],SMALL(IF(ISNUMBER(MATCH(orderHistory[customer],$D$9,0)),MATCH(ROW(orderHistory[customer]),ROW(orderHistory[customer])),""),ROWS($A$15:A34)+$B$3)),INDEX(orderHistory[order_no],SMALL(IF(ISNUMBER(MATCH(orderHistory[customer],$D$9,0)*MATCH(YEAR(orderHistory[invoice_date]),$D$15,0)),MATCH(ROW(orderHistory[customer]),ROW(orderHistory[customer])),""),ROWS($A$15:A34)+$B$3))),IF($D$15="",INDEX(orderHistory[order_no],SMALL(IF(ISNUMBER(MATCH(orderHistory[customer],$D$9,0)*MATCH(orderHistory[order_type],$D$13,0)),MATCH(ROW(orderHistory[customer]),ROW(orderHistory[customer])),""),ROWS($A$15:A34)+$B$3)),INDEX(orderHistory[order_no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no],SMALL(IF(ISNUMBER(MATCH(orderHistory[customer],$D$9,0)*MATCH(orderHistory[status],$D$11,0)),MATCH(ROW(orderHistory[customer]),ROW(orderHistory[customer])),""),ROWS($A$15:A34)+$B$3)),INDEX(orderHistory[order_no],SMALL(IF(ISNUMBER(MATCH(orderHistory[customer],$D$9,0)*MATCH(orderHistory[status],$D$11,0)*MATCH(YEAR(orderHistory[invoice_date]),$D$15,0)),MATCH(ROW(orderHistory[customer]),ROW(orderHistory[customer])),""),ROWS($A$15:A34)+$B$3))),IF($D$15="",INDEX(orderHistory[order_no],SMALL(IF(ISNUMBER(MATCH(orderHistory[customer],$D$9,0)*MATCH(orderHistory[status],$D$11,0)*MATCH(orderHistory[order_type],$D$13,0)),MATCH(ROW(orderHistory[customer]),ROW(orderHistory[customer])),""),ROWS($A$15:A34)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N29" s="541" t="str">
        <f t="array" ref="N29">IFERROR(IF($D$9="",IF($D$11="",IF($D$13="",IF($D$15="",INDEX(orderHistory[order_type],SMALL(MATCH(ROW(orderHistory[customer]),ROW(orderHistory[customer])),ROWS($A$15:A34)+$B$3)),INDEX(orderHistory[order_type],SMALL(IF(ISNUMBER(MATCH(YEAR(orderHistory[invoice_date]),$D$15,0)),MATCH(ROW(orderHistory[customer]),ROW(orderHistory[customer])),""),ROWS($A$15:A34)+$B$3))),IF($D$15="",INDEX(orderHistory[order_type],SMALL(IF(ISNUMBER(MATCH(orderHistory[order_type],$D$13,0)),MATCH(ROW(orderHistory[customer]),ROW(orderHistory[customer])),""),ROWS($A$15:A34)+$B$3)),INDEX(orderHistory[order_type],SMALL(IF(ISNUMBER(MATCH(orderHistory[order_type],$D$13,0)*MATCH(YEAR(orderHistory[invoice_date]),$D$15,0)),MATCH(ROW(orderHistory[customer]),ROW(orderHistory[customer])),""),ROWS($A$15:A34)+$B$3)))),IF($D$13="",IF($D$15="",INDEX(orderHistory[order_type],SMALL(IF(ISNUMBER(MATCH(orderHistory[status],$D$11,0)),MATCH(ROW(orderHistory[customer]),ROW(orderHistory[customer])),""),ROWS($A$15:A34)+$B$3)),INDEX(orderHistory[order_type],SMALL(IF(ISNUMBER(MATCH(orderHistory[status],$D$11,0)*MATCH(YEAR(orderHistory[invoice_date]),$D$15,0)),MATCH(ROW(orderHistory[customer]),ROW(orderHistory[customer])),""),ROWS($A$15:A34)+$B$3))),IF($D$15="",INDEX(orderHistory[order_type],SMALL(IF(ISNUMBER(MATCH(orderHistory[status],$D$11,0)*MATCH(orderHistory[order_type],$D$13,0)),MATCH(ROW(orderHistory[customer]),ROW(orderHistory[customer])),""),ROWS($A$15:A34)+$B$3)),INDEX(orderHistory[order_typ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type],SMALL(IF(ISNUMBER(MATCH(orderHistory[customer],$D$9,0)),MATCH(ROW(orderHistory[customer]),ROW(orderHistory[customer])),""),ROWS($A$15:A34)+$B$3)),INDEX(orderHistory[order_type],SMALL(IF(ISNUMBER(MATCH(orderHistory[customer],$D$9,0)*MATCH(YEAR(orderHistory[invoice_date]),$D$15,0)),MATCH(ROW(orderHistory[customer]),ROW(orderHistory[customer])),""),ROWS($A$15:A34)+$B$3))),IF($D$15="",INDEX(orderHistory[order_type],SMALL(IF(ISNUMBER(MATCH(orderHistory[customer],$D$9,0)*MATCH(orderHistory[order_type],$D$13,0)),MATCH(ROW(orderHistory[customer]),ROW(orderHistory[customer])),""),ROWS($A$15:A34)+$B$3)),INDEX(orderHistory[order_typ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type],SMALL(IF(ISNUMBER(MATCH(orderHistory[customer],$D$9,0)*MATCH(orderHistory[status],$D$11,0)),MATCH(ROW(orderHistory[customer]),ROW(orderHistory[customer])),""),ROWS($A$15:A34)+$B$3)),INDEX(orderHistory[order_type],SMALL(IF(ISNUMBER(MATCH(orderHistory[customer],$D$9,0)*MATCH(orderHistory[status],$D$11,0)*MATCH(YEAR(orderHistory[invoice_date]),$D$15,0)),MATCH(ROW(orderHistory[customer]),ROW(orderHistory[customer])),""),ROWS($A$15:A34)+$B$3))),IF($D$15="",INDEX(orderHistory[order_type],SMALL(IF(ISNUMBER(MATCH(orderHistory[customer],$D$9,0)*MATCH(orderHistory[status],$D$11,0)*MATCH(orderHistory[order_type],$D$13,0)),MATCH(ROW(orderHistory[customer]),ROW(orderHistory[customer])),""),ROWS($A$15:A34)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O29" s="542" t="str">
        <f t="array" ref="O29">IFERROR(IF($D$9="",IF($D$11="",IF($D$13="",IF($D$15="",INDEX(orderHistory[order_date],SMALL(MATCH(ROW(orderHistory[customer]),ROW(orderHistory[customer])),ROWS($A$15:A34)+$B$3)),INDEX(orderHistory[order_date],SMALL(IF(ISNUMBER(MATCH(YEAR(orderHistory[invoice_date]),$D$15,0)),MATCH(ROW(orderHistory[customer]),ROW(orderHistory[customer])),""),ROWS($A$15:A34)+$B$3))),IF($D$15="",INDEX(orderHistory[order_date],SMALL(IF(ISNUMBER(MATCH(orderHistory[order_type],$D$13,0)),MATCH(ROW(orderHistory[customer]),ROW(orderHistory[customer])),""),ROWS($A$15:A34)+$B$3)),INDEX(orderHistory[order_date],SMALL(IF(ISNUMBER(MATCH(orderHistory[order_type],$D$13,0)*MATCH(YEAR(orderHistory[invoice_date]),$D$15,0)),MATCH(ROW(orderHistory[customer]),ROW(orderHistory[customer])),""),ROWS($A$15:A34)+$B$3)))),IF($D$13="",IF($D$15="",INDEX(orderHistory[order_date],SMALL(IF(ISNUMBER(MATCH(orderHistory[status],$D$11,0)),MATCH(ROW(orderHistory[customer]),ROW(orderHistory[customer])),""),ROWS($A$15:A34)+$B$3)),INDEX(orderHistory[order_date],SMALL(IF(ISNUMBER(MATCH(orderHistory[status],$D$11,0)*MATCH(YEAR(orderHistory[invoice_date]),$D$15,0)),MATCH(ROW(orderHistory[customer]),ROW(orderHistory[customer])),""),ROWS($A$15:A34)+$B$3))),IF($D$15="",INDEX(orderHistory[order_date],SMALL(IF(ISNUMBER(MATCH(orderHistory[status],$D$11,0)*MATCH(orderHistory[order_type],$D$13,0)),MATCH(ROW(orderHistory[customer]),ROW(orderHistory[customer])),""),ROWS($A$15:A34)+$B$3)),INDEX(orderHistory[order_dat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date],SMALL(IF(ISNUMBER(MATCH(orderHistory[customer],$D$9,0)),MATCH(ROW(orderHistory[customer]),ROW(orderHistory[customer])),""),ROWS($A$15:A34)+$B$3)),INDEX(orderHistory[order_date],SMALL(IF(ISNUMBER(MATCH(orderHistory[customer],$D$9,0)*MATCH(YEAR(orderHistory[invoice_date]),$D$15,0)),MATCH(ROW(orderHistory[customer]),ROW(orderHistory[customer])),""),ROWS($A$15:A34)+$B$3))),IF($D$15="",INDEX(orderHistory[order_date],SMALL(IF(ISNUMBER(MATCH(orderHistory[customer],$D$9,0)*MATCH(orderHistory[order_type],$D$13,0)),MATCH(ROW(orderHistory[customer]),ROW(orderHistory[customer])),""),ROWS($A$15:A34)+$B$3)),INDEX(orderHistory[order_dat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date],SMALL(IF(ISNUMBER(MATCH(orderHistory[customer],$D$9,0)*MATCH(orderHistory[status],$D$11,0)),MATCH(ROW(orderHistory[customer]),ROW(orderHistory[customer])),""),ROWS($A$15:A34)+$B$3)),INDEX(orderHistory[order_date],SMALL(IF(ISNUMBER(MATCH(orderHistory[customer],$D$9,0)*MATCH(orderHistory[status],$D$11,0)*MATCH(YEAR(orderHistory[invoice_date]),$D$15,0)),MATCH(ROW(orderHistory[customer]),ROW(orderHistory[customer])),""),ROWS($A$15:A34)+$B$3))),IF($D$15="",INDEX(orderHistory[order_date],SMALL(IF(ISNUMBER(MATCH(orderHistory[customer],$D$9,0)*MATCH(orderHistory[status],$D$11,0)*MATCH(orderHistory[order_type],$D$13,0)),MATCH(ROW(orderHistory[customer]),ROW(orderHistory[customer])),""),ROWS($A$15:A34)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P29" s="543" t="str">
        <f t="array" ref="P29">IFERROR(IF($D$9="",IF($D$11="",IF($D$13="",IF($D$15="",INDEX(orderHistory[invoice_no],SMALL(MATCH(ROW(orderHistory[customer]),ROW(orderHistory[customer])),ROWS($A$15:A34)+$B$3)),INDEX(orderHistory[invoice_no],SMALL(IF(ISNUMBER(MATCH(YEAR(orderHistory[invoice_date]),$D$15,0)),MATCH(ROW(orderHistory[customer]),ROW(orderHistory[customer])),""),ROWS($A$15:A34)+$B$3))),IF($D$15="",INDEX(orderHistory[invoice_no],SMALL(IF(ISNUMBER(MATCH(orderHistory[order_type],$D$13,0)),MATCH(ROW(orderHistory[customer]),ROW(orderHistory[customer])),""),ROWS($A$15:A34)+$B$3)),INDEX(orderHistory[invoice_no],SMALL(IF(ISNUMBER(MATCH(orderHistory[order_type],$D$13,0)*MATCH(YEAR(orderHistory[invoice_date]),$D$15,0)),MATCH(ROW(orderHistory[customer]),ROW(orderHistory[customer])),""),ROWS($A$15:A34)+$B$3)))),IF($D$13="",IF($D$15="",INDEX(orderHistory[invoice_no],SMALL(IF(ISNUMBER(MATCH(orderHistory[status],$D$11,0)),MATCH(ROW(orderHistory[customer]),ROW(orderHistory[customer])),""),ROWS($A$15:A34)+$B$3)),INDEX(orderHistory[invoice_no],SMALL(IF(ISNUMBER(MATCH(orderHistory[status],$D$11,0)*MATCH(YEAR(orderHistory[invoice_date]),$D$15,0)),MATCH(ROW(orderHistory[customer]),ROW(orderHistory[customer])),""),ROWS($A$15:A34)+$B$3))),IF($D$15="",INDEX(orderHistory[invoice_no],SMALL(IF(ISNUMBER(MATCH(orderHistory[status],$D$11,0)*MATCH(orderHistory[order_type],$D$13,0)),MATCH(ROW(orderHistory[customer]),ROW(orderHistory[customer])),""),ROWS($A$15:A34)+$B$3)),INDEX(orderHistory[invoice_no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oice_no],SMALL(IF(ISNUMBER(MATCH(orderHistory[customer],$D$9,0)),MATCH(ROW(orderHistory[customer]),ROW(orderHistory[customer])),""),ROWS($A$15:A34)+$B$3)),INDEX(orderHistory[invoice_no],SMALL(IF(ISNUMBER(MATCH(orderHistory[customer],$D$9,0)*MATCH(YEAR(orderHistory[invoice_date]),$D$15,0)),MATCH(ROW(orderHistory[customer]),ROW(orderHistory[customer])),""),ROWS($A$15:A34)+$B$3))),IF($D$15="",INDEX(orderHistory[invoice_no],SMALL(IF(ISNUMBER(MATCH(orderHistory[customer],$D$9,0)*MATCH(orderHistory[order_type],$D$13,0)),MATCH(ROW(orderHistory[customer]),ROW(orderHistory[customer])),""),ROWS($A$15:A34)+$B$3)),INDEX(orderHistory[invoice_no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YEAR(orderHistory[invoice_date]),$D$15,0)),MATCH(ROW(orderHistory[customer]),ROW(orderHistory[customer])),""),ROWS($A$15:A34)+$B$3))),IF($D$15="",INDEX(orderHistory[invoice_no],SMALL(IF(ISNUMBER(MATCH(orderHistory[customer],$D$9,0)*MATCH(orderHistory[status],$D$11,0)*MATCH(orderHistory[order_type],$D$13,0)),MATCH(ROW(orderHistory[customer]),ROW(orderHistory[customer])),""),ROWS($A$15:A34)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Q29" s="544" t="str">
        <f t="array" ref="Q29">IFERROR(IF($D$9="",IF($D$11="",IF($D$13="",IF($D$15="",INDEX(orderHistory[invoice_date],SMALL(MATCH(ROW(orderHistory[customer]),ROW(orderHistory[customer])),ROWS($A$15:A34)+$B$3)),INDEX(orderHistory[invoice_date],SMALL(IF(ISNUMBER(MATCH(YEAR(orderHistory[invoice_date]),$D$15,0)),MATCH(ROW(orderHistory[customer]),ROW(orderHistory[customer])),""),ROWS($A$15:A34)+$B$3))),IF($D$15="",INDEX(orderHistory[invoice_date],SMALL(IF(ISNUMBER(MATCH(orderHistory[order_type],$D$13,0)),MATCH(ROW(orderHistory[customer]),ROW(orderHistory[customer])),""),ROWS($A$15:A34)+$B$3)),INDEX(orderHistory[invoice_date],SMALL(IF(ISNUMBER(MATCH(orderHistory[order_type],$D$13,0)*MATCH(YEAR(orderHistory[invoice_date]),$D$15,0)),MATCH(ROW(orderHistory[customer]),ROW(orderHistory[customer])),""),ROWS($A$15:A34)+$B$3)))),IF($D$13="",IF($D$15="",INDEX(orderHistory[invoice_date],SMALL(IF(ISNUMBER(MATCH(orderHistory[status],$D$11,0)),MATCH(ROW(orderHistory[customer]),ROW(orderHistory[customer])),""),ROWS($A$15:A34)+$B$3)),INDEX(orderHistory[invoice_date],SMALL(IF(ISNUMBER(MATCH(orderHistory[status],$D$11,0)*MATCH(YEAR(orderHistory[invoice_date]),$D$15,0)),MATCH(ROW(orderHistory[customer]),ROW(orderHistory[customer])),""),ROWS($A$15:A34)+$B$3))),IF($D$15="",INDEX(orderHistory[invoice_date],SMALL(IF(ISNUMBER(MATCH(orderHistory[status],$D$11,0)*MATCH(orderHistory[order_type],$D$13,0)),MATCH(ROW(orderHistory[customer]),ROW(orderHistory[customer])),""),ROWS($A$15:A34)+$B$3)),INDEX(orderHistory[invoice_dat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oice_date],SMALL(IF(ISNUMBER(MATCH(orderHistory[customer],$D$9,0)),MATCH(ROW(orderHistory[customer]),ROW(orderHistory[customer])),""),ROWS($A$15:A34)+$B$3)),INDEX(orderHistory[invoice_date],SMALL(IF(ISNUMBER(MATCH(orderHistory[customer],$D$9,0)*MATCH(YEAR(orderHistory[invoice_date]),$D$15,0)),MATCH(ROW(orderHistory[customer]),ROW(orderHistory[customer])),""),ROWS($A$15:A34)+$B$3))),IF($D$15="",INDEX(orderHistory[invoice_date],SMALL(IF(ISNUMBER(MATCH(orderHistory[customer],$D$9,0)*MATCH(orderHistory[order_type],$D$13,0)),MATCH(ROW(orderHistory[customer]),ROW(orderHistory[customer])),""),ROWS($A$15:A34)+$B$3)),INDEX(orderHistory[invoice_dat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YEAR(orderHistory[invoice_date]),$D$15,0)),MATCH(ROW(orderHistory[customer]),ROW(orderHistory[customer])),""),ROWS($A$15:A34)+$B$3))),IF($D$15="",INDEX(orderHistory[invoice_date],SMALL(IF(ISNUMBER(MATCH(orderHistory[customer],$D$9,0)*MATCH(orderHistory[status],$D$11,0)*MATCH(orderHistory[order_type],$D$13,0)),MATCH(ROW(orderHistory[customer]),ROW(orderHistory[customer])),""),ROWS($A$15:A34)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R29" s="545" t="str">
        <f t="array" ref="R29">IFERROR(IF($D$9="",IF($D$11="",IF($D$13="",IF($D$15="",INDEX(orderHistory[inv_amount],SMALL(MATCH(ROW(orderHistory[customer]),ROW(orderHistory[customer])),ROWS($A$15:A34)+$B$3)),INDEX(orderHistory[inv_amount],SMALL(IF(ISNUMBER(MATCH(YEAR(orderHistory[invoice_date]),$D$15,0)),MATCH(ROW(orderHistory[customer]),ROW(orderHistory[customer])),""),ROWS($A$15:A34)+$B$3))),IF($D$15="",INDEX(orderHistory[inv_amount],SMALL(IF(ISNUMBER(MATCH(orderHistory[order_type],$D$13,0)),MATCH(ROW(orderHistory[customer]),ROW(orderHistory[customer])),""),ROWS($A$15:A34)+$B$3)),INDEX(orderHistory[inv_amount],SMALL(IF(ISNUMBER(MATCH(orderHistory[order_type],$D$13,0)*MATCH(YEAR(orderHistory[invoice_date]),$D$15,0)),MATCH(ROW(orderHistory[customer]),ROW(orderHistory[customer])),""),ROWS($A$15:A34)+$B$3)))),IF($D$13="",IF($D$15="",INDEX(orderHistory[inv_amount],SMALL(IF(ISNUMBER(MATCH(orderHistory[status],$D$11,0)),MATCH(ROW(orderHistory[customer]),ROW(orderHistory[customer])),""),ROWS($A$15:A34)+$B$3)),INDEX(orderHistory[inv_amount],SMALL(IF(ISNUMBER(MATCH(orderHistory[status],$D$11,0)*MATCH(YEAR(orderHistory[invoice_date]),$D$15,0)),MATCH(ROW(orderHistory[customer]),ROW(orderHistory[customer])),""),ROWS($A$15:A34)+$B$3))),IF($D$15="",INDEX(orderHistory[inv_amount],SMALL(IF(ISNUMBER(MATCH(orderHistory[status],$D$11,0)*MATCH(orderHistory[order_type],$D$13,0)),MATCH(ROW(orderHistory[customer]),ROW(orderHistory[customer])),""),ROWS($A$15:A34)+$B$3)),INDEX(orderHistory[inv_amount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_amount],SMALL(IF(ISNUMBER(MATCH(orderHistory[customer],$D$9,0)),MATCH(ROW(orderHistory[customer]),ROW(orderHistory[customer])),""),ROWS($A$15:A34)+$B$3)),INDEX(orderHistory[inv_amount],SMALL(IF(ISNUMBER(MATCH(orderHistory[customer],$D$9,0)*MATCH(YEAR(orderHistory[invoice_date]),$D$15,0)),MATCH(ROW(orderHistory[customer]),ROW(orderHistory[customer])),""),ROWS($A$15:A34)+$B$3))),IF($D$15="",INDEX(orderHistory[inv_amount],SMALL(IF(ISNUMBER(MATCH(orderHistory[customer],$D$9,0)*MATCH(orderHistory[order_type],$D$13,0)),MATCH(ROW(orderHistory[customer]),ROW(orderHistory[customer])),""),ROWS($A$15:A34)+$B$3)),INDEX(orderHistory[inv_amount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_amount],SMALL(IF(ISNUMBER(MATCH(orderHistory[customer],$D$9,0)*MATCH(orderHistory[status],$D$11,0)),MATCH(ROW(orderHistory[customer]),ROW(orderHistory[customer])),""),ROWS($A$15:A34)+$B$3)),INDEX(orderHistory[inv_amount],SMALL(IF(ISNUMBER(MATCH(orderHistory[customer],$D$9,0)*MATCH(orderHistory[status],$D$11,0)*MATCH(YEAR(orderHistory[inv_amount]),$D$15,0)),MATCH(ROW(orderHistory[customer]),ROW(orderHistory[customer])),""),ROWS($A$15:A34)+$B$3))),IF($D$15="",INDEX(orderHistory[inv_amount],SMALL(IF(ISNUMBER(MATCH(orderHistory[customer],$D$9,0)*MATCH(orderHistory[status],$D$11,0)*MATCH(orderHistory[order_type],$D$13,0)),MATCH(ROW(orderHistory[customer]),ROW(orderHistory[customer])),""),ROWS($A$15:A34)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S29" s="546" t="str">
        <f t="shared" si="2"/>
        <v/>
      </c>
      <c r="T29" s="547" t="str">
        <f t="array" ref="T29">IFERROR(IF($D$9="",IF($D$11="",IF($D$13="",IF($D$15="",INDEX(orderHistory[payed],SMALL(MATCH(ROW(orderHistory[customer]),ROW(orderHistory[customer])),ROWS($A$15:A34)+$B$3)),INDEX(orderHistory[payed],SMALL(IF(ISNUMBER(MATCH(YEAR(orderHistory[invoice_date]),$D$15,0)),MATCH(ROW(orderHistory[customer]),ROW(orderHistory[customer])),""),ROWS($A$15:A34)+$B$3))),IF($D$15="",INDEX(orderHistory[payed],SMALL(IF(ISNUMBER(MATCH(orderHistory[order_type],$D$13,0)),MATCH(ROW(orderHistory[customer]),ROW(orderHistory[customer])),""),ROWS($A$15:A34)+$B$3)),INDEX(orderHistory[payed],SMALL(IF(ISNUMBER(MATCH(orderHistory[order_type],$D$13,0)*MATCH(YEAR(orderHistory[invoice_date]),$D$15,0)),MATCH(ROW(orderHistory[customer]),ROW(orderHistory[customer])),""),ROWS($A$15:A34)+$B$3)))),IF($D$13="",IF($D$15="",INDEX(orderHistory[payed],SMALL(IF(ISNUMBER(MATCH(orderHistory[status],$D$11,0)),MATCH(ROW(orderHistory[customer]),ROW(orderHistory[customer])),""),ROWS($A$15:A34)+$B$3)),INDEX(orderHistory[payed],SMALL(IF(ISNUMBER(MATCH(orderHistory[status],$D$11,0)*MATCH(YEAR(orderHistory[invoice_date]),$D$15,0)),MATCH(ROW(orderHistory[customer]),ROW(orderHistory[customer])),""),ROWS($A$15:A34)+$B$3))),IF($D$15="",INDEX(orderHistory[payed],SMALL(IF(ISNUMBER(MATCH(orderHistory[status],$D$11,0)*MATCH(orderHistory[order_type],$D$13,0)),MATCH(ROW(orderHistory[customer]),ROW(orderHistory[customer])),""),ROWS($A$15:A34)+$B$3)),INDEX(orderHistory[payed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payed],SMALL(IF(ISNUMBER(MATCH(orderHistory[customer],$D$9,0)),MATCH(ROW(orderHistory[customer]),ROW(orderHistory[customer])),""),ROWS($A$15:A34)+$B$3)),INDEX(orderHistory[payed],SMALL(IF(ISNUMBER(MATCH(orderHistory[customer],$D$9,0)*MATCH(YEAR(orderHistory[invoice_date]),$D$15,0)),MATCH(ROW(orderHistory[customer]),ROW(orderHistory[customer])),""),ROWS($A$15:A34)+$B$3))),IF($D$15="",INDEX(orderHistory[payed],SMALL(IF(ISNUMBER(MATCH(orderHistory[customer],$D$9,0)*MATCH(orderHistory[order_type],$D$13,0)),MATCH(ROW(orderHistory[customer]),ROW(orderHistory[customer])),""),ROWS($A$15:A34)+$B$3)),INDEX(orderHistory[payed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payed],SMALL(IF(ISNUMBER(MATCH(orderHistory[customer],$D$9,0)*MATCH(orderHistory[status],$D$11,0)),MATCH(ROW(orderHistory[customer]),ROW(orderHistory[customer])),""),ROWS($A$15:A34)+$B$3)),INDEX(orderHistory[payed],SMALL(IF(ISNUMBER(MATCH(orderHistory[customer],$D$9,0)*MATCH(orderHistory[status],$D$11,0)*MATCH(YEAR(orderHistory[payed]),$D$15,0)),MATCH(ROW(orderHistory[customer]),ROW(orderHistory[customer])),""),ROWS($A$15:A34)+$B$3))),IF($D$15="",INDEX(orderHistory[payed],SMALL(IF(ISNUMBER(MATCH(orderHistory[customer],$D$9,0)*MATCH(orderHistory[status],$D$11,0)*MATCH(orderHistory[order_type],$D$13,0)),MATCH(ROW(orderHistory[customer]),ROW(orderHistory[customer])),""),ROWS($A$15:A34)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U29" s="541" t="str">
        <f t="array" ref="U29">IFERROR(IF($D$9="",IF($D$11="",IF($D$13="",IF($D$15="",INDEX(orderHistory[shipping_method],SMALL(MATCH(ROW(orderHistory[customer]),ROW(orderHistory[customer])),ROWS($A$15:A34)+$B$3)),INDEX(orderHistory[shipping_method],SMALL(IF(ISNUMBER(MATCH(YEAR(orderHistory[invoice_date]),$D$15,0)),MATCH(ROW(orderHistory[customer]),ROW(orderHistory[customer])),""),ROWS($A$15:A34)+$B$3))),IF($D$15="",INDEX(orderHistory[shipping_method],SMALL(IF(ISNUMBER(MATCH(orderHistory[order_type],$D$13,0)),MATCH(ROW(orderHistory[customer]),ROW(orderHistory[customer])),""),ROWS($A$15:A34)+$B$3)),INDEX(orderHistory[shipping_method],SMALL(IF(ISNUMBER(MATCH(orderHistory[order_type],$D$13,0)*MATCH(YEAR(orderHistory[invoice_date]),$D$15,0)),MATCH(ROW(orderHistory[customer]),ROW(orderHistory[customer])),""),ROWS($A$15:A34)+$B$3)))),IF($D$13="",IF($D$15="",INDEX(orderHistory[shipping_method],SMALL(IF(ISNUMBER(MATCH(orderHistory[status],$D$11,0)),MATCH(ROW(orderHistory[customer]),ROW(orderHistory[customer])),""),ROWS($A$15:A34)+$B$3)),INDEX(orderHistory[shipping_method],SMALL(IF(ISNUMBER(MATCH(orderHistory[status],$D$11,0)*MATCH(YEAR(orderHistory[invoice_date]),$D$15,0)),MATCH(ROW(orderHistory[customer]),ROW(orderHistory[customer])),""),ROWS($A$15:A34)+$B$3))),IF($D$15="",INDEX(orderHistory[shipping_method],SMALL(IF(ISNUMBER(MATCH(orderHistory[status],$D$11,0)*MATCH(orderHistory[order_type],$D$13,0)),MATCH(ROW(orderHistory[customer]),ROW(orderHistory[customer])),""),ROWS($A$15:A34)+$B$3)),INDEX(orderHistory[shipping_method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shipping_method],SMALL(IF(ISNUMBER(MATCH(orderHistory[customer],$D$9,0)),MATCH(ROW(orderHistory[customer]),ROW(orderHistory[customer])),""),ROWS($A$15:A34)+$B$3)),INDEX(orderHistory[shipping_method],SMALL(IF(ISNUMBER(MATCH(orderHistory[customer],$D$9,0)*MATCH(YEAR(orderHistory[invoice_date]),$D$15,0)),MATCH(ROW(orderHistory[customer]),ROW(orderHistory[customer])),""),ROWS($A$15:A34)+$B$3))),IF($D$15="",INDEX(orderHistory[shipping_method],SMALL(IF(ISNUMBER(MATCH(orderHistory[customer],$D$9,0)*MATCH(orderHistory[order_type],$D$13,0)),MATCH(ROW(orderHistory[customer]),ROW(orderHistory[customer])),""),ROWS($A$15:A34)+$B$3)),INDEX(orderHistory[shipping_method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shipping_method],SMALL(IF(ISNUMBER(MATCH(orderHistory[customer],$D$9,0)*MATCH(orderHistory[status],$D$11,0)),MATCH(ROW(orderHistory[customer]),ROW(orderHistory[customer])),""),ROWS($A$15:A34)+$B$3)),INDEX(orderHistory[shipping_method],SMALL(IF(ISNUMBER(MATCH(orderHistory[customer],$D$9,0)*MATCH(orderHistory[status],$D$11,0)*MATCH(YEAR(orderHistory[shipping_method]),$D$15,0)),MATCH(ROW(orderHistory[customer]),ROW(orderHistory[customer])),""),ROWS($A$15:A34)+$B$3))),IF($D$15="",INDEX(orderHistory[shipping_method],SMALL(IF(ISNUMBER(MATCH(orderHistory[customer],$D$9,0)*MATCH(orderHistory[status],$D$11,0)*MATCH(orderHistory[order_type],$D$13,0)),MATCH(ROW(orderHistory[customer]),ROW(orderHistory[customer])),""),ROWS($A$15:A34)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V29" s="548" t="str">
        <f t="array" ref="V29">IFERROR(IF($D$9="",IF($D$11="",IF($D$13="",IF($D$15="",INDEX(orderHistory[status],SMALL(MATCH(ROW(orderHistory[customer]),ROW(orderHistory[customer])),ROWS($A$15:A34)+$B$3)),INDEX(orderHistory[status],SMALL(IF(ISNUMBER(MATCH(YEAR(orderHistory[invoice_date]),$D$15,0)),MATCH(ROW(orderHistory[customer]),ROW(orderHistory[customer])),""),ROWS($A$15:A34)+$B$3))),IF($D$15="",INDEX(orderHistory[status],SMALL(IF(ISNUMBER(MATCH(orderHistory[order_type],$D$13,0)),MATCH(ROW(orderHistory[customer]),ROW(orderHistory[customer])),""),ROWS($A$15:A34)+$B$3)),INDEX(orderHistory[status],SMALL(IF(ISNUMBER(MATCH(orderHistory[order_type],$D$13,0)*MATCH(YEAR(orderHistory[invoice_date]),$D$15,0)),MATCH(ROW(orderHistory[customer]),ROW(orderHistory[customer])),""),ROWS($A$15:A34)+$B$3)))),IF($D$13="",IF($D$15="",INDEX(orderHistory[status],SMALL(IF(ISNUMBER(MATCH(orderHistory[status],$D$11,0)),MATCH(ROW(orderHistory[customer]),ROW(orderHistory[customer])),""),ROWS($A$15:A34)+$B$3)),INDEX(orderHistory[status],SMALL(IF(ISNUMBER(MATCH(orderHistory[status],$D$11,0)*MATCH(YEAR(orderHistory[invoice_date]),$D$15,0)),MATCH(ROW(orderHistory[customer]),ROW(orderHistory[customer])),""),ROWS($A$15:A34)+$B$3))),IF($D$15="",INDEX(orderHistory[status],SMALL(IF(ISNUMBER(MATCH(orderHistory[status],$D$11,0)*MATCH(orderHistory[order_type],$D$13,0)),MATCH(ROW(orderHistory[customer]),ROW(orderHistory[customer])),""),ROWS($A$15:A34)+$B$3)),INDEX(orderHistory[status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status],SMALL(IF(ISNUMBER(MATCH(orderHistory[customer],$D$9,0)),MATCH(ROW(orderHistory[customer]),ROW(orderHistory[customer])),""),ROWS($A$15:A34)+$B$3)),INDEX(orderHistory[status],SMALL(IF(ISNUMBER(MATCH(orderHistory[customer],$D$9,0)*MATCH(YEAR(orderHistory[invoice_date]),$D$15,0)),MATCH(ROW(orderHistory[customer]),ROW(orderHistory[customer])),""),ROWS($A$15:A34)+$B$3))),IF($D$15="",INDEX(orderHistory[status],SMALL(IF(ISNUMBER(MATCH(orderHistory[customer],$D$9,0)*MATCH(orderHistory[order_type],$D$13,0)),MATCH(ROW(orderHistory[customer]),ROW(orderHistory[customer])),""),ROWS($A$15:A34)+$B$3)),INDEX(orderHistory[status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status],SMALL(IF(ISNUMBER(MATCH(orderHistory[customer],$D$9,0)*MATCH(orderHistory[status],$D$11,0)),MATCH(ROW(orderHistory[customer]),ROW(orderHistory[customer])),""),ROWS($A$15:A34)+$B$3)),INDEX(orderHistory[status],SMALL(IF(ISNUMBER(MATCH(orderHistory[customer],$D$9,0)*MATCH(orderHistory[status],$D$11,0)*MATCH(YEAR(orderHistory[status]),$D$15,0)),MATCH(ROW(orderHistory[customer]),ROW(orderHistory[customer])),""),ROWS($A$15:A34)+$B$3))),IF($D$15="",INDEX(orderHistory[status],SMALL(IF(ISNUMBER(MATCH(orderHistory[customer],$D$9,0)*MATCH(orderHistory[status],$D$11,0)*MATCH(orderHistory[order_type],$D$13,0)),MATCH(ROW(orderHistory[customer]),ROW(orderHistory[customer])),""),ROWS($A$15:A34)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W29" s="107"/>
      <c r="AQ29" s="462"/>
      <c r="AR29" s="497"/>
      <c r="AS29" s="500"/>
      <c r="AT29" s="501"/>
      <c r="AU29" s="421"/>
      <c r="AW29" s="460"/>
      <c r="AX29" s="780"/>
      <c r="AY29" s="781"/>
      <c r="BB29" s="791"/>
      <c r="BC29" s="792"/>
      <c r="BD29" s="792"/>
      <c r="BE29" s="792"/>
      <c r="BF29" s="792"/>
      <c r="BG29" s="792"/>
      <c r="BH29" s="793"/>
      <c r="BJ29" s="421"/>
      <c r="BK29" s="450"/>
      <c r="BL29" s="451"/>
      <c r="BM29" s="452"/>
      <c r="BN29" s="451"/>
      <c r="BO29" s="452"/>
      <c r="BZ29" s="167"/>
      <c r="CA29" s="154" t="str">
        <f>IF(BZ29="","",INDEX(bhpc_data[description],MATCH(BZ29,bhpc_data[sku],0)))</f>
        <v/>
      </c>
      <c r="CB29" s="166"/>
      <c r="CC29" s="358"/>
      <c r="CD29" s="160"/>
      <c r="CE29" s="360"/>
      <c r="CF29" s="161"/>
      <c r="CG29" s="164" t="str">
        <f>IFERROR(ROUNDUP(CB29/INDEX(bhpc_data[units_per_carton],MATCH(BZ29,bhpc_data[sku],0)),0),"")</f>
        <v/>
      </c>
      <c r="CH29" s="165" t="str">
        <f>IFERROR(ROUNDUP(CD29/INDEX(bhpc_data[units_per_carton],MATCH(BZ29,bhpc_data[sku],0)),0),"")</f>
        <v/>
      </c>
      <c r="CI29" s="165" t="str">
        <f>IFERROR(ROUNDUP(CF29/INDEX(bhpc_data[units_per_carton],MATCH(BZ29,bhpc_data[sku])),0),"")</f>
        <v/>
      </c>
      <c r="CJ29" s="165" t="str">
        <f>IFERROR(((CB29+CD29+CF29)/INDEX(bhpc_data[units_per_carton],MATCH(BZ29,bhpc_data[sku],0)))*INDEX(bhpc_data[net_weight],MATCH(BZ29,bhpc_data[sku],0)),"")</f>
        <v/>
      </c>
      <c r="CK29" s="165" t="str">
        <f>IFERROR(((CB29+CD29+CF29)/INDEX(bhpc_data[units_per_carton],MATCH(BZ29,bhpc_data[sku],0)))*INDEX(bhpc_data[gross_weight],MATCH(BZ29,bhpc_data[sku],0)),"")</f>
        <v/>
      </c>
      <c r="CL29" s="180" t="str">
        <f>IFERROR((CB29+CD29+CF29)/INDEX(bhpc_data[units_per_carton],MATCH(BZ29,bhpc_data[sku],0))*INDEX(bhpc_data[lenght],MATCH(BZ29,bhpc_data[sku],0))*INDEX(bhpc_data[width],MATCH(BZ29,bhpc_data[sku],0))*INDEX(bhpc_data[height],MATCH(BZ29,bhpc_data[sku],0))/1000000000,"")</f>
        <v/>
      </c>
      <c r="CM29" s="189" t="str">
        <f>IFERROR(INDEX(bhpc_data[category],MATCH(BZ29,bhpc_data[sku],0)),"")</f>
        <v/>
      </c>
      <c r="CN29" s="189" t="str">
        <f>IFERROR(INDEX(bhpc_data[size1],MATCH(BZ29,bhpc_data[sku],0)),"")</f>
        <v/>
      </c>
      <c r="CO29" s="388" t="str">
        <f>IFERROR(INDEX(bhpc_data[hs_code],MATCH(BZ29,bhpc_data[sku],0)),"")</f>
        <v/>
      </c>
      <c r="CP29" s="377" t="str">
        <f>IFERROR(INDEX(inventory[ESISTENZA],MATCH(BZ29,inventory[ARTICOLO],0)),"")</f>
        <v/>
      </c>
      <c r="CQ29" s="367" t="str">
        <f>IFERROR(IF(BZ29="","",IF($BX$15="SALE",INDEX(inventory[COSTO UNITARIO],MATCH(BZ29,inventory[ARTICOLO],0)),IF($BX$15="SAMPLING",INDEX(inventory[COSTO UNITARIO],MATCH(BZ29,inventory[ARTICOLO],0)),""))),"")</f>
        <v/>
      </c>
      <c r="CR29" s="368" t="str">
        <f t="shared" si="0"/>
        <v/>
      </c>
      <c r="CS29" s="264" t="str">
        <f t="shared" si="1"/>
        <v/>
      </c>
      <c r="DA29" s="432" t="str">
        <f>IFERROR(VLOOKUP(BZ29,bhpc_data[],22,FALSE),"")</f>
        <v/>
      </c>
      <c r="DH29" s="296"/>
      <c r="EE29" s="202" t="str" cm="1">
        <f t="array" ref="EE29">IFERROR(IF($EC$9="",IF($EC$11="",IF($EC$13="",INDEX(bhpc_data[sku],SMALL(MATCH(ROW(bhpc_data[sku]),ROW(bhpc_data[sku])),ROWS($A$15:A34)+$B$3)),INDEX(bhpc_data[sku],SMALL(IF(ISNUMBER(MATCH(bhpc_data[size1],$EC$13,0)),MATCH(ROW(bhpc_data[sku]),ROW(bhpc_data[sku])),""),ROWS($A$15:A34)+$B$3))),IF($EC$13="",INDEX(bhpc_data[sku],SMALL(IF(ISNUMBER(MATCH(bhpc_data[sex],$EC$11,0)),MATCH(ROW(bhpc_data[sku]),ROW(bhpc_data[sku])),""),ROWS($A$15:A34)+$B$3)),INDEX(bhpc_data[sku],SMALL(IF(ISNUMBER(MATCH(bhpc_data[sex],$EC$11,0)*MATCH(bhpc_data[size1],$EC$13,0)),MATCH(ROW(bhpc_data[sku]),ROW(bhpc_data[sku])),""),ROWS($A$15:A34)+$B$3)))),IF($EC$11="",IF($EC$13="",INDEX(bhpc_data[sku],SMALL(IF(ISNUMBER(MATCH(bhpc_data[category],$EC$9,0)),MATCH(ROW(bhpc_data[sku]),ROW(bhpc_data[sku])),""),ROWS($A$15:A34)+$B$3)),INDEX(bhpc_data[sku],SMALL(IF(ISNUMBER(MATCH(bhpc_data[category],$EC$9,0)*MATCH(bhpc_data[size1],$EC$13,0)),MATCH(ROW(bhpc_data[sku]),ROW(bhpc_data[sku])),""),ROWS($A$15:A34)+$B$3))),IF($EC$13="",INDEX(bhpc_data[sku],SMALL(IF(ISNUMBER(MATCH(bhpc_data[category],$EC$9,0)*MATCH(bhpc_data[sex],$EC$11,0)),MATCH(ROW(bhpc_data[sku]),ROW(bhpc_data[sku])),""),ROWS($A$15:A34)+$B$3)),INDEX(bhpc_data[sku],SMALL(IF(ISNUMBER(MATCH(bhpc_data[category],$EC$9,0)*MATCH(bhpc_data[sex],$EC$11,0)*MATCH(bhpc_data[size1],$EC$13,0)),MATCH(ROW(bhpc_data[sku]),ROW(bhpc_data[sku])),""),ROWS($A$15:A34)+$B$3))))),"")</f>
        <v>GS7023</v>
      </c>
      <c r="EF29" s="198" t="str" cm="1">
        <f t="array" ref="EF29">IFERROR(IF($EC$9="",IF($EC$11="",IF($EC$13="",INDEX(bhpc_data[description],SMALL(MATCH(ROW(bhpc_data[sku]),ROW(bhpc_data[sku])),ROWS($A$15:A34)+$B$3)),INDEX(bhpc_data[description],SMALL(IF(ISNUMBER(MATCH(bhpc_data[size1],$EC$13,0)),MATCH(ROW(bhpc_data[sku]),ROW(bhpc_data[sku])),""),ROWS($A$15:A34)+$B$3))),IF($EC$13="",INDEX(bhpc_data[description],SMALL(IF(ISNUMBER(MATCH(bhpc_data[sex],$EC$11,0)),MATCH(ROW(bhpc_data[sku]),ROW(bhpc_data[sku])),""),ROWS($A$15:A34)+$B$3)),INDEX(bhpc_data[description],SMALL(IF(ISNUMBER(MATCH(bhpc_data[sex],$EC$11,0)*MATCH(bhpc_data[size1],$EC$13,0)),MATCH(ROW(bhpc_data[sku]),ROW(bhpc_data[sku])),""),ROWS($A$15:A34)+$B$3)))),IF($EC$11="",IF($EC$13="",INDEX(bhpc_data[description],SMALL(IF(ISNUMBER(MATCH(bhpc_data[category],$EC$9,0)),MATCH(ROW(bhpc_data[sku]),ROW(bhpc_data[sku])),""),ROWS($A$15:A34)+$B$3)),INDEX(bhpc_data[description],SMALL(IF(ISNUMBER(MATCH(bhpc_data[category],$EC$9,0)*MATCH(bhpc_data[size1],$EC$13,0)),MATCH(ROW(bhpc_data[sku]),ROW(bhpc_data[sku])),""),ROWS($A$15:A34)+$B$3))),IF($EC$13="",INDEX(bhpc_data[description],SMALL(IF(ISNUMBER(MATCH(bhpc_data[category],$EC$9,0)*MATCH(bhpc_data[sex],$EC$11,0)),MATCH(ROW(bhpc_data[sku]),ROW(bhpc_data[sku])),""),ROWS($A$15:A34)+$B$3)),INDEX(bhpc_data[description],SMALL(IF(ISNUMBER(MATCH(bhpc_data[category],$EC$9,0)*MATCH(bhpc_data[sex],$EC$11,0)*MATCH(bhpc_data[size1],$EC$13,0)),MATCH(ROW(bhpc_data[sku]),ROW(bhpc_data[sku])),""),ROWS($A$15:A34)+$B$3))))),"")</f>
        <v>BHPC GIFT SET MEN #2 EDT50ML+DEO175ML+ROLLON50ML</v>
      </c>
      <c r="EG29" s="263">
        <f>IFERROR(IF(warehouse[[#This Row],[SKU]]="","",INDEX(inventory[ESISTENZA],MATCH(warehouse[[#This Row],[SKU]],inventory[ARTICOLO],0))),"")</f>
        <v>12</v>
      </c>
      <c r="EH29" s="328"/>
      <c r="EI29" s="328"/>
      <c r="EJ29" s="263"/>
      <c r="EK29" s="113"/>
      <c r="FF29" s="413"/>
      <c r="FG29" s="413"/>
      <c r="FH29" s="413"/>
      <c r="FI29" s="413"/>
      <c r="FJ29" s="413"/>
      <c r="FK29" s="413"/>
      <c r="FL29" s="413"/>
      <c r="FM29" s="413"/>
      <c r="FN29" s="413"/>
      <c r="FO29" s="413"/>
      <c r="FP29" s="413"/>
      <c r="FQ29" s="413"/>
      <c r="FR29" s="413"/>
      <c r="FS29" s="413"/>
      <c r="FT29" s="413"/>
      <c r="FU29" s="413"/>
      <c r="FV29" s="413"/>
      <c r="FW29" s="413"/>
      <c r="FX29" s="413"/>
      <c r="FY29" s="413"/>
      <c r="FZ29" s="413"/>
      <c r="GA29" s="413"/>
      <c r="GB29" s="413"/>
      <c r="GC29" s="413"/>
      <c r="GD29" s="413"/>
      <c r="GE29" s="413"/>
      <c r="GF29" s="413"/>
      <c r="GG29" s="413"/>
      <c r="GH29" s="413"/>
      <c r="GI29" s="413"/>
      <c r="GJ29" s="413"/>
      <c r="GK29" s="413"/>
      <c r="GL29" s="413"/>
      <c r="GM29" s="413"/>
      <c r="GN29" s="413"/>
      <c r="GO29" s="413"/>
      <c r="GP29" s="413"/>
      <c r="GQ29" s="413"/>
      <c r="GR29" s="413"/>
      <c r="GS29" s="413"/>
      <c r="GT29" s="413"/>
      <c r="GU29" s="413"/>
      <c r="GV29" s="413"/>
      <c r="GW29" s="413"/>
      <c r="GX29" s="413"/>
      <c r="GY29" s="413"/>
      <c r="GZ29" s="413"/>
      <c r="HA29" s="413"/>
      <c r="HB29" s="413"/>
      <c r="HC29" s="413"/>
      <c r="HD29" s="413"/>
      <c r="HE29" s="413"/>
      <c r="HF29" s="413"/>
      <c r="HG29" s="413"/>
      <c r="HH29" s="413"/>
      <c r="HI29" s="413"/>
      <c r="HJ29" s="413"/>
      <c r="HK29" s="413"/>
      <c r="HL29" s="413"/>
      <c r="HM29" s="413"/>
      <c r="HN29" s="413"/>
      <c r="HO29" s="413"/>
      <c r="HP29" s="413"/>
      <c r="HQ29" s="413"/>
      <c r="HR29" s="413"/>
      <c r="HS29" s="413"/>
      <c r="HT29" s="413"/>
    </row>
    <row r="30" spans="1:228" ht="15" customHeight="1" thickBot="1" x14ac:dyDescent="0.4">
      <c r="F30" s="97"/>
      <c r="G30" s="83"/>
      <c r="H30" s="83"/>
      <c r="I30" s="83"/>
      <c r="J30" s="84"/>
      <c r="L30" s="539" t="str">
        <f t="array" ref="L30">IFERROR(IF($D$9="",IF($D$11="",IF($D$13="",IF($D$15="",INDEX(orderHistory[customer],SMALL(MATCH(ROW(orderHistory[customer]),ROW(orderHistory[customer])),ROWS($A$15:A35)+$B$3)),INDEX(orderHistory[customer],SMALL(IF(ISNUMBER(MATCH(YEAR(orderHistory[invoice_date]),$D$15,0)),MATCH(ROW(orderHistory[customer]),ROW(orderHistory[customer])),""),ROWS($A$15:A35)+$B$3))),IF($D$15="",INDEX(orderHistory[customer],SMALL(IF(ISNUMBER(MATCH(orderHistory[order_type],$D$13,0)),MATCH(ROW(orderHistory[customer]),ROW(orderHistory[customer])),""),ROWS($A$15:A35)+$B$3)),INDEX(orderHistory[customer],SMALL(IF(ISNUMBER(MATCH(orderHistory[order_type],$D$13,0)*MATCH(YEAR(orderHistory[invoice_date]),$D$15,0)),MATCH(ROW(orderHistory[customer]),ROW(orderHistory[customer])),""),ROWS($A$15:A35)+$B$3)))),IF($D$13="",IF($D$15="",INDEX(orderHistory[customer],SMALL(IF(ISNUMBER(MATCH(orderHistory[status],$D$11,0)),MATCH(ROW(orderHistory[customer]),ROW(orderHistory[customer])),""),ROWS($A$15:A35)+$B$3)),INDEX(orderHistory[customer],SMALL(IF(ISNUMBER(MATCH(orderHistory[status],$D$11,0)*MATCH(YEAR(orderHistory[invoice_date]),$D$15,0)),MATCH(ROW(orderHistory[customer]),ROW(orderHistory[customer])),""),ROWS($A$15:A35)+$B$3))),IF($D$15="",INDEX(orderHistory[customer],SMALL(IF(ISNUMBER(MATCH(orderHistory[status],$D$11,0)*MATCH(orderHistory[order_type],$D$13,0)),MATCH(ROW(orderHistory[customer]),ROW(orderHistory[customer])),""),ROWS($A$15:A35)+$B$3)),INDEX(orderHistory[customer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customer],SMALL(IF(ISNUMBER(MATCH(orderHistory[customer],$D$9,0)),MATCH(ROW(orderHistory[customer]),ROW(orderHistory[customer])),""),ROWS($A$15:A35)+$B$3)),INDEX(orderHistory[customer],SMALL(IF(ISNUMBER(MATCH(orderHistory[customer],$D$9,0)*MATCH(YEAR(orderHistory[invoice_date]),$D$15,0)),MATCH(ROW(orderHistory[customer]),ROW(orderHistory[customer])),""),ROWS($A$15:A35)+$B$3))),IF($D$15="",INDEX(orderHistory[customer],SMALL(IF(ISNUMBER(MATCH(orderHistory[customer],$D$9,0)*MATCH(orderHistory[order_type],$D$13,0)),MATCH(ROW(orderHistory[customer]),ROW(orderHistory[customer])),""),ROWS($A$15:A35)+$B$3)),INDEX(orderHistory[customer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customer],SMALL(IF(ISNUMBER(MATCH(orderHistory[customer],$D$9,0)*MATCH(orderHistory[status],$D$11,0)),MATCH(ROW(orderHistory[customer]),ROW(orderHistory[customer])),""),ROWS($A$15:A35)+$B$3)),INDEX(orderHistory[customer],SMALL(IF(ISNUMBER(MATCH(orderHistory[customer],$D$9,0)*MATCH(orderHistory[status],$D$11,0)*MATCH(YEAR(orderHistory[invoice_date]),$D$15,0)),MATCH(ROW(orderHistory[customer]),ROW(orderHistory[customer])),""),ROWS($A$15:A35)+$B$3))),IF($D$15="",INDEX(orderHistory[customer],SMALL(IF(ISNUMBER(MATCH(orderHistory[customer],$D$9,0)*MATCH(orderHistory[status],$D$11,0)*MATCH(orderHistory[order_type],$D$13,0)),MATCH(ROW(orderHistory[customer]),ROW(orderHistory[customer])),""),ROWS($A$15:A35)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M30" s="540" t="str">
        <f t="array" ref="M30">IFERROR(IF($D$9="",IF($D$11="",IF($D$13="",IF($D$15="",INDEX(orderHistory[order_no],SMALL(MATCH(ROW(orderHistory[customer]),ROW(orderHistory[customer])),ROWS($A$15:A35)+$B$3)),INDEX(orderHistory[order_no],SMALL(IF(ISNUMBER(MATCH(YEAR(orderHistory[invoice_date]),$D$15,0)),MATCH(ROW(orderHistory[customer]),ROW(orderHistory[customer])),""),ROWS($A$15:A35)+$B$3))),IF($D$15="",INDEX(orderHistory[order_no],SMALL(IF(ISNUMBER(MATCH(orderHistory[order_type],$D$13,0)),MATCH(ROW(orderHistory[customer]),ROW(orderHistory[customer])),""),ROWS($A$15:A35)+$B$3)),INDEX(orderHistory[order_no],SMALL(IF(ISNUMBER(MATCH(orderHistory[order_type],$D$13,0)*MATCH(YEAR(orderHistory[invoice_date]),$D$15,0)),MATCH(ROW(orderHistory[customer]),ROW(orderHistory[customer])),""),ROWS($A$15:A35)+$B$3)))),IF($D$13="",IF($D$15="",INDEX(orderHistory[order_no],SMALL(IF(ISNUMBER(MATCH(orderHistory[status],$D$11,0)),MATCH(ROW(orderHistory[customer]),ROW(orderHistory[customer])),""),ROWS($A$15:A35)+$B$3)),INDEX(orderHistory[order_no],SMALL(IF(ISNUMBER(MATCH(orderHistory[status],$D$11,0)*MATCH(YEAR(orderHistory[invoice_date]),$D$15,0)),MATCH(ROW(orderHistory[customer]),ROW(orderHistory[customer])),""),ROWS($A$15:A35)+$B$3))),IF($D$15="",INDEX(orderHistory[order_no],SMALL(IF(ISNUMBER(MATCH(orderHistory[status],$D$11,0)*MATCH(orderHistory[order_type],$D$13,0)),MATCH(ROW(orderHistory[customer]),ROW(orderHistory[customer])),""),ROWS($A$15:A35)+$B$3)),INDEX(orderHistory[order_no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no],SMALL(IF(ISNUMBER(MATCH(orderHistory[customer],$D$9,0)),MATCH(ROW(orderHistory[customer]),ROW(orderHistory[customer])),""),ROWS($A$15:A35)+$B$3)),INDEX(orderHistory[order_no],SMALL(IF(ISNUMBER(MATCH(orderHistory[customer],$D$9,0)*MATCH(YEAR(orderHistory[invoice_date]),$D$15,0)),MATCH(ROW(orderHistory[customer]),ROW(orderHistory[customer])),""),ROWS($A$15:A35)+$B$3))),IF($D$15="",INDEX(orderHistory[order_no],SMALL(IF(ISNUMBER(MATCH(orderHistory[customer],$D$9,0)*MATCH(orderHistory[order_type],$D$13,0)),MATCH(ROW(orderHistory[customer]),ROW(orderHistory[customer])),""),ROWS($A$15:A35)+$B$3)),INDEX(orderHistory[order_no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no],SMALL(IF(ISNUMBER(MATCH(orderHistory[customer],$D$9,0)*MATCH(orderHistory[status],$D$11,0)),MATCH(ROW(orderHistory[customer]),ROW(orderHistory[customer])),""),ROWS($A$15:A35)+$B$3)),INDEX(orderHistory[order_no],SMALL(IF(ISNUMBER(MATCH(orderHistory[customer],$D$9,0)*MATCH(orderHistory[status],$D$11,0)*MATCH(YEAR(orderHistory[invoice_date]),$D$15,0)),MATCH(ROW(orderHistory[customer]),ROW(orderHistory[customer])),""),ROWS($A$15:A35)+$B$3))),IF($D$15="",INDEX(orderHistory[order_no],SMALL(IF(ISNUMBER(MATCH(orderHistory[customer],$D$9,0)*MATCH(orderHistory[status],$D$11,0)*MATCH(orderHistory[order_type],$D$13,0)),MATCH(ROW(orderHistory[customer]),ROW(orderHistory[customer])),""),ROWS($A$15:A35)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N30" s="541" t="str">
        <f t="array" ref="N30">IFERROR(IF($D$9="",IF($D$11="",IF($D$13="",IF($D$15="",INDEX(orderHistory[order_type],SMALL(MATCH(ROW(orderHistory[customer]),ROW(orderHistory[customer])),ROWS($A$15:A35)+$B$3)),INDEX(orderHistory[order_type],SMALL(IF(ISNUMBER(MATCH(YEAR(orderHistory[invoice_date]),$D$15,0)),MATCH(ROW(orderHistory[customer]),ROW(orderHistory[customer])),""),ROWS($A$15:A35)+$B$3))),IF($D$15="",INDEX(orderHistory[order_type],SMALL(IF(ISNUMBER(MATCH(orderHistory[order_type],$D$13,0)),MATCH(ROW(orderHistory[customer]),ROW(orderHistory[customer])),""),ROWS($A$15:A35)+$B$3)),INDEX(orderHistory[order_type],SMALL(IF(ISNUMBER(MATCH(orderHistory[order_type],$D$13,0)*MATCH(YEAR(orderHistory[invoice_date]),$D$15,0)),MATCH(ROW(orderHistory[customer]),ROW(orderHistory[customer])),""),ROWS($A$15:A35)+$B$3)))),IF($D$13="",IF($D$15="",INDEX(orderHistory[order_type],SMALL(IF(ISNUMBER(MATCH(orderHistory[status],$D$11,0)),MATCH(ROW(orderHistory[customer]),ROW(orderHistory[customer])),""),ROWS($A$15:A35)+$B$3)),INDEX(orderHistory[order_type],SMALL(IF(ISNUMBER(MATCH(orderHistory[status],$D$11,0)*MATCH(YEAR(orderHistory[invoice_date]),$D$15,0)),MATCH(ROW(orderHistory[customer]),ROW(orderHistory[customer])),""),ROWS($A$15:A35)+$B$3))),IF($D$15="",INDEX(orderHistory[order_type],SMALL(IF(ISNUMBER(MATCH(orderHistory[status],$D$11,0)*MATCH(orderHistory[order_type],$D$13,0)),MATCH(ROW(orderHistory[customer]),ROW(orderHistory[customer])),""),ROWS($A$15:A35)+$B$3)),INDEX(orderHistory[order_typ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type],SMALL(IF(ISNUMBER(MATCH(orderHistory[customer],$D$9,0)),MATCH(ROW(orderHistory[customer]),ROW(orderHistory[customer])),""),ROWS($A$15:A35)+$B$3)),INDEX(orderHistory[order_type],SMALL(IF(ISNUMBER(MATCH(orderHistory[customer],$D$9,0)*MATCH(YEAR(orderHistory[invoice_date]),$D$15,0)),MATCH(ROW(orderHistory[customer]),ROW(orderHistory[customer])),""),ROWS($A$15:A35)+$B$3))),IF($D$15="",INDEX(orderHistory[order_type],SMALL(IF(ISNUMBER(MATCH(orderHistory[customer],$D$9,0)*MATCH(orderHistory[order_type],$D$13,0)),MATCH(ROW(orderHistory[customer]),ROW(orderHistory[customer])),""),ROWS($A$15:A35)+$B$3)),INDEX(orderHistory[order_typ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type],SMALL(IF(ISNUMBER(MATCH(orderHistory[customer],$D$9,0)*MATCH(orderHistory[status],$D$11,0)),MATCH(ROW(orderHistory[customer]),ROW(orderHistory[customer])),""),ROWS($A$15:A35)+$B$3)),INDEX(orderHistory[order_type],SMALL(IF(ISNUMBER(MATCH(orderHistory[customer],$D$9,0)*MATCH(orderHistory[status],$D$11,0)*MATCH(YEAR(orderHistory[invoice_date]),$D$15,0)),MATCH(ROW(orderHistory[customer]),ROW(orderHistory[customer])),""),ROWS($A$15:A35)+$B$3))),IF($D$15="",INDEX(orderHistory[order_type],SMALL(IF(ISNUMBER(MATCH(orderHistory[customer],$D$9,0)*MATCH(orderHistory[status],$D$11,0)*MATCH(orderHistory[order_type],$D$13,0)),MATCH(ROW(orderHistory[customer]),ROW(orderHistory[customer])),""),ROWS($A$15:A35)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O30" s="542" t="str">
        <f t="array" ref="O30">IFERROR(IF($D$9="",IF($D$11="",IF($D$13="",IF($D$15="",INDEX(orderHistory[order_date],SMALL(MATCH(ROW(orderHistory[customer]),ROW(orderHistory[customer])),ROWS($A$15:A35)+$B$3)),INDEX(orderHistory[order_date],SMALL(IF(ISNUMBER(MATCH(YEAR(orderHistory[invoice_date]),$D$15,0)),MATCH(ROW(orderHistory[customer]),ROW(orderHistory[customer])),""),ROWS($A$15:A35)+$B$3))),IF($D$15="",INDEX(orderHistory[order_date],SMALL(IF(ISNUMBER(MATCH(orderHistory[order_type],$D$13,0)),MATCH(ROW(orderHistory[customer]),ROW(orderHistory[customer])),""),ROWS($A$15:A35)+$B$3)),INDEX(orderHistory[order_date],SMALL(IF(ISNUMBER(MATCH(orderHistory[order_type],$D$13,0)*MATCH(YEAR(orderHistory[invoice_date]),$D$15,0)),MATCH(ROW(orderHistory[customer]),ROW(orderHistory[customer])),""),ROWS($A$15:A35)+$B$3)))),IF($D$13="",IF($D$15="",INDEX(orderHistory[order_date],SMALL(IF(ISNUMBER(MATCH(orderHistory[status],$D$11,0)),MATCH(ROW(orderHistory[customer]),ROW(orderHistory[customer])),""),ROWS($A$15:A35)+$B$3)),INDEX(orderHistory[order_date],SMALL(IF(ISNUMBER(MATCH(orderHistory[status],$D$11,0)*MATCH(YEAR(orderHistory[invoice_date]),$D$15,0)),MATCH(ROW(orderHistory[customer]),ROW(orderHistory[customer])),""),ROWS($A$15:A35)+$B$3))),IF($D$15="",INDEX(orderHistory[order_date],SMALL(IF(ISNUMBER(MATCH(orderHistory[status],$D$11,0)*MATCH(orderHistory[order_type],$D$13,0)),MATCH(ROW(orderHistory[customer]),ROW(orderHistory[customer])),""),ROWS($A$15:A35)+$B$3)),INDEX(orderHistory[order_dat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date],SMALL(IF(ISNUMBER(MATCH(orderHistory[customer],$D$9,0)),MATCH(ROW(orderHistory[customer]),ROW(orderHistory[customer])),""),ROWS($A$15:A35)+$B$3)),INDEX(orderHistory[order_date],SMALL(IF(ISNUMBER(MATCH(orderHistory[customer],$D$9,0)*MATCH(YEAR(orderHistory[invoice_date]),$D$15,0)),MATCH(ROW(orderHistory[customer]),ROW(orderHistory[customer])),""),ROWS($A$15:A35)+$B$3))),IF($D$15="",INDEX(orderHistory[order_date],SMALL(IF(ISNUMBER(MATCH(orderHistory[customer],$D$9,0)*MATCH(orderHistory[order_type],$D$13,0)),MATCH(ROW(orderHistory[customer]),ROW(orderHistory[customer])),""),ROWS($A$15:A35)+$B$3)),INDEX(orderHistory[order_dat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date],SMALL(IF(ISNUMBER(MATCH(orderHistory[customer],$D$9,0)*MATCH(orderHistory[status],$D$11,0)),MATCH(ROW(orderHistory[customer]),ROW(orderHistory[customer])),""),ROWS($A$15:A35)+$B$3)),INDEX(orderHistory[order_date],SMALL(IF(ISNUMBER(MATCH(orderHistory[customer],$D$9,0)*MATCH(orderHistory[status],$D$11,0)*MATCH(YEAR(orderHistory[invoice_date]),$D$15,0)),MATCH(ROW(orderHistory[customer]),ROW(orderHistory[customer])),""),ROWS($A$15:A35)+$B$3))),IF($D$15="",INDEX(orderHistory[order_date],SMALL(IF(ISNUMBER(MATCH(orderHistory[customer],$D$9,0)*MATCH(orderHistory[status],$D$11,0)*MATCH(orderHistory[order_type],$D$13,0)),MATCH(ROW(orderHistory[customer]),ROW(orderHistory[customer])),""),ROWS($A$15:A35)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P30" s="543" t="str">
        <f t="array" ref="P30">IFERROR(IF($D$9="",IF($D$11="",IF($D$13="",IF($D$15="",INDEX(orderHistory[invoice_no],SMALL(MATCH(ROW(orderHistory[customer]),ROW(orderHistory[customer])),ROWS($A$15:A35)+$B$3)),INDEX(orderHistory[invoice_no],SMALL(IF(ISNUMBER(MATCH(YEAR(orderHistory[invoice_date]),$D$15,0)),MATCH(ROW(orderHistory[customer]),ROW(orderHistory[customer])),""),ROWS($A$15:A35)+$B$3))),IF($D$15="",INDEX(orderHistory[invoice_no],SMALL(IF(ISNUMBER(MATCH(orderHistory[order_type],$D$13,0)),MATCH(ROW(orderHistory[customer]),ROW(orderHistory[customer])),""),ROWS($A$15:A35)+$B$3)),INDEX(orderHistory[invoice_no],SMALL(IF(ISNUMBER(MATCH(orderHistory[order_type],$D$13,0)*MATCH(YEAR(orderHistory[invoice_date]),$D$15,0)),MATCH(ROW(orderHistory[customer]),ROW(orderHistory[customer])),""),ROWS($A$15:A35)+$B$3)))),IF($D$13="",IF($D$15="",INDEX(orderHistory[invoice_no],SMALL(IF(ISNUMBER(MATCH(orderHistory[status],$D$11,0)),MATCH(ROW(orderHistory[customer]),ROW(orderHistory[customer])),""),ROWS($A$15:A35)+$B$3)),INDEX(orderHistory[invoice_no],SMALL(IF(ISNUMBER(MATCH(orderHistory[status],$D$11,0)*MATCH(YEAR(orderHistory[invoice_date]),$D$15,0)),MATCH(ROW(orderHistory[customer]),ROW(orderHistory[customer])),""),ROWS($A$15:A35)+$B$3))),IF($D$15="",INDEX(orderHistory[invoice_no],SMALL(IF(ISNUMBER(MATCH(orderHistory[status],$D$11,0)*MATCH(orderHistory[order_type],$D$13,0)),MATCH(ROW(orderHistory[customer]),ROW(orderHistory[customer])),""),ROWS($A$15:A35)+$B$3)),INDEX(orderHistory[invoice_no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oice_no],SMALL(IF(ISNUMBER(MATCH(orderHistory[customer],$D$9,0)),MATCH(ROW(orderHistory[customer]),ROW(orderHistory[customer])),""),ROWS($A$15:A35)+$B$3)),INDEX(orderHistory[invoice_no],SMALL(IF(ISNUMBER(MATCH(orderHistory[customer],$D$9,0)*MATCH(YEAR(orderHistory[invoice_date]),$D$15,0)),MATCH(ROW(orderHistory[customer]),ROW(orderHistory[customer])),""),ROWS($A$15:A35)+$B$3))),IF($D$15="",INDEX(orderHistory[invoice_no],SMALL(IF(ISNUMBER(MATCH(orderHistory[customer],$D$9,0)*MATCH(orderHistory[order_type],$D$13,0)),MATCH(ROW(orderHistory[customer]),ROW(orderHistory[customer])),""),ROWS($A$15:A35)+$B$3)),INDEX(orderHistory[invoice_no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YEAR(orderHistory[invoice_date]),$D$15,0)),MATCH(ROW(orderHistory[customer]),ROW(orderHistory[customer])),""),ROWS($A$15:A35)+$B$3))),IF($D$15="",INDEX(orderHistory[invoice_no],SMALL(IF(ISNUMBER(MATCH(orderHistory[customer],$D$9,0)*MATCH(orderHistory[status],$D$11,0)*MATCH(orderHistory[order_type],$D$13,0)),MATCH(ROW(orderHistory[customer]),ROW(orderHistory[customer])),""),ROWS($A$15:A35)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Q30" s="544" t="str">
        <f t="array" ref="Q30">IFERROR(IF($D$9="",IF($D$11="",IF($D$13="",IF($D$15="",INDEX(orderHistory[invoice_date],SMALL(MATCH(ROW(orderHistory[customer]),ROW(orderHistory[customer])),ROWS($A$15:A35)+$B$3)),INDEX(orderHistory[invoice_date],SMALL(IF(ISNUMBER(MATCH(YEAR(orderHistory[invoice_date]),$D$15,0)),MATCH(ROW(orderHistory[customer]),ROW(orderHistory[customer])),""),ROWS($A$15:A35)+$B$3))),IF($D$15="",INDEX(orderHistory[invoice_date],SMALL(IF(ISNUMBER(MATCH(orderHistory[order_type],$D$13,0)),MATCH(ROW(orderHistory[customer]),ROW(orderHistory[customer])),""),ROWS($A$15:A35)+$B$3)),INDEX(orderHistory[invoice_date],SMALL(IF(ISNUMBER(MATCH(orderHistory[order_type],$D$13,0)*MATCH(YEAR(orderHistory[invoice_date]),$D$15,0)),MATCH(ROW(orderHistory[customer]),ROW(orderHistory[customer])),""),ROWS($A$15:A35)+$B$3)))),IF($D$13="",IF($D$15="",INDEX(orderHistory[invoice_date],SMALL(IF(ISNUMBER(MATCH(orderHistory[status],$D$11,0)),MATCH(ROW(orderHistory[customer]),ROW(orderHistory[customer])),""),ROWS($A$15:A35)+$B$3)),INDEX(orderHistory[invoice_date],SMALL(IF(ISNUMBER(MATCH(orderHistory[status],$D$11,0)*MATCH(YEAR(orderHistory[invoice_date]),$D$15,0)),MATCH(ROW(orderHistory[customer]),ROW(orderHistory[customer])),""),ROWS($A$15:A35)+$B$3))),IF($D$15="",INDEX(orderHistory[invoice_date],SMALL(IF(ISNUMBER(MATCH(orderHistory[status],$D$11,0)*MATCH(orderHistory[order_type],$D$13,0)),MATCH(ROW(orderHistory[customer]),ROW(orderHistory[customer])),""),ROWS($A$15:A35)+$B$3)),INDEX(orderHistory[invoice_dat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oice_date],SMALL(IF(ISNUMBER(MATCH(orderHistory[customer],$D$9,0)),MATCH(ROW(orderHistory[customer]),ROW(orderHistory[customer])),""),ROWS($A$15:A35)+$B$3)),INDEX(orderHistory[invoice_date],SMALL(IF(ISNUMBER(MATCH(orderHistory[customer],$D$9,0)*MATCH(YEAR(orderHistory[invoice_date]),$D$15,0)),MATCH(ROW(orderHistory[customer]),ROW(orderHistory[customer])),""),ROWS($A$15:A35)+$B$3))),IF($D$15="",INDEX(orderHistory[invoice_date],SMALL(IF(ISNUMBER(MATCH(orderHistory[customer],$D$9,0)*MATCH(orderHistory[order_type],$D$13,0)),MATCH(ROW(orderHistory[customer]),ROW(orderHistory[customer])),""),ROWS($A$15:A35)+$B$3)),INDEX(orderHistory[invoice_dat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YEAR(orderHistory[invoice_date]),$D$15,0)),MATCH(ROW(orderHistory[customer]),ROW(orderHistory[customer])),""),ROWS($A$15:A35)+$B$3))),IF($D$15="",INDEX(orderHistory[invoice_date],SMALL(IF(ISNUMBER(MATCH(orderHistory[customer],$D$9,0)*MATCH(orderHistory[status],$D$11,0)*MATCH(orderHistory[order_type],$D$13,0)),MATCH(ROW(orderHistory[customer]),ROW(orderHistory[customer])),""),ROWS($A$15:A35)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R30" s="545" t="str">
        <f t="array" ref="R30">IFERROR(IF($D$9="",IF($D$11="",IF($D$13="",IF($D$15="",INDEX(orderHistory[inv_amount],SMALL(MATCH(ROW(orderHistory[customer]),ROW(orderHistory[customer])),ROWS($A$15:A35)+$B$3)),INDEX(orderHistory[inv_amount],SMALL(IF(ISNUMBER(MATCH(YEAR(orderHistory[invoice_date]),$D$15,0)),MATCH(ROW(orderHistory[customer]),ROW(orderHistory[customer])),""),ROWS($A$15:A35)+$B$3))),IF($D$15="",INDEX(orderHistory[inv_amount],SMALL(IF(ISNUMBER(MATCH(orderHistory[order_type],$D$13,0)),MATCH(ROW(orderHistory[customer]),ROW(orderHistory[customer])),""),ROWS($A$15:A35)+$B$3)),INDEX(orderHistory[inv_amount],SMALL(IF(ISNUMBER(MATCH(orderHistory[order_type],$D$13,0)*MATCH(YEAR(orderHistory[invoice_date]),$D$15,0)),MATCH(ROW(orderHistory[customer]),ROW(orderHistory[customer])),""),ROWS($A$15:A35)+$B$3)))),IF($D$13="",IF($D$15="",INDEX(orderHistory[inv_amount],SMALL(IF(ISNUMBER(MATCH(orderHistory[status],$D$11,0)),MATCH(ROW(orderHistory[customer]),ROW(orderHistory[customer])),""),ROWS($A$15:A35)+$B$3)),INDEX(orderHistory[inv_amount],SMALL(IF(ISNUMBER(MATCH(orderHistory[status],$D$11,0)*MATCH(YEAR(orderHistory[invoice_date]),$D$15,0)),MATCH(ROW(orderHistory[customer]),ROW(orderHistory[customer])),""),ROWS($A$15:A35)+$B$3))),IF($D$15="",INDEX(orderHistory[inv_amount],SMALL(IF(ISNUMBER(MATCH(orderHistory[status],$D$11,0)*MATCH(orderHistory[order_type],$D$13,0)),MATCH(ROW(orderHistory[customer]),ROW(orderHistory[customer])),""),ROWS($A$15:A35)+$B$3)),INDEX(orderHistory[inv_amount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_amount],SMALL(IF(ISNUMBER(MATCH(orderHistory[customer],$D$9,0)),MATCH(ROW(orderHistory[customer]),ROW(orderHistory[customer])),""),ROWS($A$15:A35)+$B$3)),INDEX(orderHistory[inv_amount],SMALL(IF(ISNUMBER(MATCH(orderHistory[customer],$D$9,0)*MATCH(YEAR(orderHistory[invoice_date]),$D$15,0)),MATCH(ROW(orderHistory[customer]),ROW(orderHistory[customer])),""),ROWS($A$15:A35)+$B$3))),IF($D$15="",INDEX(orderHistory[inv_amount],SMALL(IF(ISNUMBER(MATCH(orderHistory[customer],$D$9,0)*MATCH(orderHistory[order_type],$D$13,0)),MATCH(ROW(orderHistory[customer]),ROW(orderHistory[customer])),""),ROWS($A$15:A35)+$B$3)),INDEX(orderHistory[inv_amount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_amount],SMALL(IF(ISNUMBER(MATCH(orderHistory[customer],$D$9,0)*MATCH(orderHistory[status],$D$11,0)),MATCH(ROW(orderHistory[customer]),ROW(orderHistory[customer])),""),ROWS($A$15:A35)+$B$3)),INDEX(orderHistory[inv_amount],SMALL(IF(ISNUMBER(MATCH(orderHistory[customer],$D$9,0)*MATCH(orderHistory[status],$D$11,0)*MATCH(YEAR(orderHistory[inv_amount]),$D$15,0)),MATCH(ROW(orderHistory[customer]),ROW(orderHistory[customer])),""),ROWS($A$15:A35)+$B$3))),IF($D$15="",INDEX(orderHistory[inv_amount],SMALL(IF(ISNUMBER(MATCH(orderHistory[customer],$D$9,0)*MATCH(orderHistory[status],$D$11,0)*MATCH(orderHistory[order_type],$D$13,0)),MATCH(ROW(orderHistory[customer]),ROW(orderHistory[customer])),""),ROWS($A$15:A35)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S30" s="546" t="str">
        <f t="shared" si="2"/>
        <v/>
      </c>
      <c r="T30" s="547" t="str">
        <f t="array" ref="T30">IFERROR(IF($D$9="",IF($D$11="",IF($D$13="",IF($D$15="",INDEX(orderHistory[payed],SMALL(MATCH(ROW(orderHistory[customer]),ROW(orderHistory[customer])),ROWS($A$15:A35)+$B$3)),INDEX(orderHistory[payed],SMALL(IF(ISNUMBER(MATCH(YEAR(orderHistory[invoice_date]),$D$15,0)),MATCH(ROW(orderHistory[customer]),ROW(orderHistory[customer])),""),ROWS($A$15:A35)+$B$3))),IF($D$15="",INDEX(orderHistory[payed],SMALL(IF(ISNUMBER(MATCH(orderHistory[order_type],$D$13,0)),MATCH(ROW(orderHistory[customer]),ROW(orderHistory[customer])),""),ROWS($A$15:A35)+$B$3)),INDEX(orderHistory[payed],SMALL(IF(ISNUMBER(MATCH(orderHistory[order_type],$D$13,0)*MATCH(YEAR(orderHistory[invoice_date]),$D$15,0)),MATCH(ROW(orderHistory[customer]),ROW(orderHistory[customer])),""),ROWS($A$15:A35)+$B$3)))),IF($D$13="",IF($D$15="",INDEX(orderHistory[payed],SMALL(IF(ISNUMBER(MATCH(orderHistory[status],$D$11,0)),MATCH(ROW(orderHistory[customer]),ROW(orderHistory[customer])),""),ROWS($A$15:A35)+$B$3)),INDEX(orderHistory[payed],SMALL(IF(ISNUMBER(MATCH(orderHistory[status],$D$11,0)*MATCH(YEAR(orderHistory[invoice_date]),$D$15,0)),MATCH(ROW(orderHistory[customer]),ROW(orderHistory[customer])),""),ROWS($A$15:A35)+$B$3))),IF($D$15="",INDEX(orderHistory[payed],SMALL(IF(ISNUMBER(MATCH(orderHistory[status],$D$11,0)*MATCH(orderHistory[order_type],$D$13,0)),MATCH(ROW(orderHistory[customer]),ROW(orderHistory[customer])),""),ROWS($A$15:A35)+$B$3)),INDEX(orderHistory[payed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payed],SMALL(IF(ISNUMBER(MATCH(orderHistory[customer],$D$9,0)),MATCH(ROW(orderHistory[customer]),ROW(orderHistory[customer])),""),ROWS($A$15:A35)+$B$3)),INDEX(orderHistory[payed],SMALL(IF(ISNUMBER(MATCH(orderHistory[customer],$D$9,0)*MATCH(YEAR(orderHistory[invoice_date]),$D$15,0)),MATCH(ROW(orderHistory[customer]),ROW(orderHistory[customer])),""),ROWS($A$15:A35)+$B$3))),IF($D$15="",INDEX(orderHistory[payed],SMALL(IF(ISNUMBER(MATCH(orderHistory[customer],$D$9,0)*MATCH(orderHistory[order_type],$D$13,0)),MATCH(ROW(orderHistory[customer]),ROW(orderHistory[customer])),""),ROWS($A$15:A35)+$B$3)),INDEX(orderHistory[payed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payed],SMALL(IF(ISNUMBER(MATCH(orderHistory[customer],$D$9,0)*MATCH(orderHistory[status],$D$11,0)),MATCH(ROW(orderHistory[customer]),ROW(orderHistory[customer])),""),ROWS($A$15:A35)+$B$3)),INDEX(orderHistory[payed],SMALL(IF(ISNUMBER(MATCH(orderHistory[customer],$D$9,0)*MATCH(orderHistory[status],$D$11,0)*MATCH(YEAR(orderHistory[payed]),$D$15,0)),MATCH(ROW(orderHistory[customer]),ROW(orderHistory[customer])),""),ROWS($A$15:A35)+$B$3))),IF($D$15="",INDEX(orderHistory[payed],SMALL(IF(ISNUMBER(MATCH(orderHistory[customer],$D$9,0)*MATCH(orderHistory[status],$D$11,0)*MATCH(orderHistory[order_type],$D$13,0)),MATCH(ROW(orderHistory[customer]),ROW(orderHistory[customer])),""),ROWS($A$15:A35)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U30" s="541" t="str">
        <f t="array" ref="U30">IFERROR(IF($D$9="",IF($D$11="",IF($D$13="",IF($D$15="",INDEX(orderHistory[shipping_method],SMALL(MATCH(ROW(orderHistory[customer]),ROW(orderHistory[customer])),ROWS($A$15:A35)+$B$3)),INDEX(orderHistory[shipping_method],SMALL(IF(ISNUMBER(MATCH(YEAR(orderHistory[invoice_date]),$D$15,0)),MATCH(ROW(orderHistory[customer]),ROW(orderHistory[customer])),""),ROWS($A$15:A35)+$B$3))),IF($D$15="",INDEX(orderHistory[shipping_method],SMALL(IF(ISNUMBER(MATCH(orderHistory[order_type],$D$13,0)),MATCH(ROW(orderHistory[customer]),ROW(orderHistory[customer])),""),ROWS($A$15:A35)+$B$3)),INDEX(orderHistory[shipping_method],SMALL(IF(ISNUMBER(MATCH(orderHistory[order_type],$D$13,0)*MATCH(YEAR(orderHistory[invoice_date]),$D$15,0)),MATCH(ROW(orderHistory[customer]),ROW(orderHistory[customer])),""),ROWS($A$15:A35)+$B$3)))),IF($D$13="",IF($D$15="",INDEX(orderHistory[shipping_method],SMALL(IF(ISNUMBER(MATCH(orderHistory[status],$D$11,0)),MATCH(ROW(orderHistory[customer]),ROW(orderHistory[customer])),""),ROWS($A$15:A35)+$B$3)),INDEX(orderHistory[shipping_method],SMALL(IF(ISNUMBER(MATCH(orderHistory[status],$D$11,0)*MATCH(YEAR(orderHistory[invoice_date]),$D$15,0)),MATCH(ROW(orderHistory[customer]),ROW(orderHistory[customer])),""),ROWS($A$15:A35)+$B$3))),IF($D$15="",INDEX(orderHistory[shipping_method],SMALL(IF(ISNUMBER(MATCH(orderHistory[status],$D$11,0)*MATCH(orderHistory[order_type],$D$13,0)),MATCH(ROW(orderHistory[customer]),ROW(orderHistory[customer])),""),ROWS($A$15:A35)+$B$3)),INDEX(orderHistory[shipping_method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shipping_method],SMALL(IF(ISNUMBER(MATCH(orderHistory[customer],$D$9,0)),MATCH(ROW(orderHistory[customer]),ROW(orderHistory[customer])),""),ROWS($A$15:A35)+$B$3)),INDEX(orderHistory[shipping_method],SMALL(IF(ISNUMBER(MATCH(orderHistory[customer],$D$9,0)*MATCH(YEAR(orderHistory[invoice_date]),$D$15,0)),MATCH(ROW(orderHistory[customer]),ROW(orderHistory[customer])),""),ROWS($A$15:A35)+$B$3))),IF($D$15="",INDEX(orderHistory[shipping_method],SMALL(IF(ISNUMBER(MATCH(orderHistory[customer],$D$9,0)*MATCH(orderHistory[order_type],$D$13,0)),MATCH(ROW(orderHistory[customer]),ROW(orderHistory[customer])),""),ROWS($A$15:A35)+$B$3)),INDEX(orderHistory[shipping_method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shipping_method],SMALL(IF(ISNUMBER(MATCH(orderHistory[customer],$D$9,0)*MATCH(orderHistory[status],$D$11,0)),MATCH(ROW(orderHistory[customer]),ROW(orderHistory[customer])),""),ROWS($A$15:A35)+$B$3)),INDEX(orderHistory[shipping_method],SMALL(IF(ISNUMBER(MATCH(orderHistory[customer],$D$9,0)*MATCH(orderHistory[status],$D$11,0)*MATCH(YEAR(orderHistory[shipping_method]),$D$15,0)),MATCH(ROW(orderHistory[customer]),ROW(orderHistory[customer])),""),ROWS($A$15:A35)+$B$3))),IF($D$15="",INDEX(orderHistory[shipping_method],SMALL(IF(ISNUMBER(MATCH(orderHistory[customer],$D$9,0)*MATCH(orderHistory[status],$D$11,0)*MATCH(orderHistory[order_type],$D$13,0)),MATCH(ROW(orderHistory[customer]),ROW(orderHistory[customer])),""),ROWS($A$15:A35)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V30" s="548" t="str">
        <f t="array" ref="V30">IFERROR(IF($D$9="",IF($D$11="",IF($D$13="",IF($D$15="",INDEX(orderHistory[status],SMALL(MATCH(ROW(orderHistory[customer]),ROW(orderHistory[customer])),ROWS($A$15:A35)+$B$3)),INDEX(orderHistory[status],SMALL(IF(ISNUMBER(MATCH(YEAR(orderHistory[invoice_date]),$D$15,0)),MATCH(ROW(orderHistory[customer]),ROW(orderHistory[customer])),""),ROWS($A$15:A35)+$B$3))),IF($D$15="",INDEX(orderHistory[status],SMALL(IF(ISNUMBER(MATCH(orderHistory[order_type],$D$13,0)),MATCH(ROW(orderHistory[customer]),ROW(orderHistory[customer])),""),ROWS($A$15:A35)+$B$3)),INDEX(orderHistory[status],SMALL(IF(ISNUMBER(MATCH(orderHistory[order_type],$D$13,0)*MATCH(YEAR(orderHistory[invoice_date]),$D$15,0)),MATCH(ROW(orderHistory[customer]),ROW(orderHistory[customer])),""),ROWS($A$15:A35)+$B$3)))),IF($D$13="",IF($D$15="",INDEX(orderHistory[status],SMALL(IF(ISNUMBER(MATCH(orderHistory[status],$D$11,0)),MATCH(ROW(orderHistory[customer]),ROW(orderHistory[customer])),""),ROWS($A$15:A35)+$B$3)),INDEX(orderHistory[status],SMALL(IF(ISNUMBER(MATCH(orderHistory[status],$D$11,0)*MATCH(YEAR(orderHistory[invoice_date]),$D$15,0)),MATCH(ROW(orderHistory[customer]),ROW(orderHistory[customer])),""),ROWS($A$15:A35)+$B$3))),IF($D$15="",INDEX(orderHistory[status],SMALL(IF(ISNUMBER(MATCH(orderHistory[status],$D$11,0)*MATCH(orderHistory[order_type],$D$13,0)),MATCH(ROW(orderHistory[customer]),ROW(orderHistory[customer])),""),ROWS($A$15:A35)+$B$3)),INDEX(orderHistory[status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status],SMALL(IF(ISNUMBER(MATCH(orderHistory[customer],$D$9,0)),MATCH(ROW(orderHistory[customer]),ROW(orderHistory[customer])),""),ROWS($A$15:A35)+$B$3)),INDEX(orderHistory[status],SMALL(IF(ISNUMBER(MATCH(orderHistory[customer],$D$9,0)*MATCH(YEAR(orderHistory[invoice_date]),$D$15,0)),MATCH(ROW(orderHistory[customer]),ROW(orderHistory[customer])),""),ROWS($A$15:A35)+$B$3))),IF($D$15="",INDEX(orderHistory[status],SMALL(IF(ISNUMBER(MATCH(orderHistory[customer],$D$9,0)*MATCH(orderHistory[order_type],$D$13,0)),MATCH(ROW(orderHistory[customer]),ROW(orderHistory[customer])),""),ROWS($A$15:A35)+$B$3)),INDEX(orderHistory[status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status],SMALL(IF(ISNUMBER(MATCH(orderHistory[customer],$D$9,0)*MATCH(orderHistory[status],$D$11,0)),MATCH(ROW(orderHistory[customer]),ROW(orderHistory[customer])),""),ROWS($A$15:A35)+$B$3)),INDEX(orderHistory[status],SMALL(IF(ISNUMBER(MATCH(orderHistory[customer],$D$9,0)*MATCH(orderHistory[status],$D$11,0)*MATCH(YEAR(orderHistory[status]),$D$15,0)),MATCH(ROW(orderHistory[customer]),ROW(orderHistory[customer])),""),ROWS($A$15:A35)+$B$3))),IF($D$15="",INDEX(orderHistory[status],SMALL(IF(ISNUMBER(MATCH(orderHistory[customer],$D$9,0)*MATCH(orderHistory[status],$D$11,0)*MATCH(orderHistory[order_type],$D$13,0)),MATCH(ROW(orderHistory[customer]),ROW(orderHistory[customer])),""),ROWS($A$15:A35)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W30" s="107"/>
      <c r="AQ30" s="462"/>
      <c r="AR30" s="502"/>
      <c r="AS30" s="503"/>
      <c r="AT30" s="504"/>
      <c r="AU30" s="421"/>
      <c r="AW30" s="460"/>
      <c r="BB30" s="794"/>
      <c r="BC30" s="795"/>
      <c r="BD30" s="795"/>
      <c r="BE30" s="795"/>
      <c r="BF30" s="795"/>
      <c r="BG30" s="795"/>
      <c r="BH30" s="796"/>
      <c r="BJ30" s="421"/>
      <c r="BK30" s="450"/>
      <c r="BL30" s="451"/>
      <c r="BM30" s="452"/>
      <c r="BN30" s="451"/>
      <c r="BO30" s="452"/>
      <c r="BZ30" s="167"/>
      <c r="CA30" s="154" t="str">
        <f>IF(BZ30="","",INDEX(bhpc_data[description],MATCH(BZ30,bhpc_data[sku],0)))</f>
        <v/>
      </c>
      <c r="CB30" s="159"/>
      <c r="CC30" s="357"/>
      <c r="CD30" s="259"/>
      <c r="CE30" s="360"/>
      <c r="CF30" s="161"/>
      <c r="CG30" s="164" t="str">
        <f>IFERROR(ROUNDUP(CB30/INDEX(bhpc_data[units_per_carton],MATCH(BZ30,bhpc_data[sku],0)),0),"")</f>
        <v/>
      </c>
      <c r="CH30" s="165" t="str">
        <f>IFERROR(ROUNDUP(CD30/INDEX(bhpc_data[units_per_carton],MATCH(BZ30,bhpc_data[sku],0)),0),"")</f>
        <v/>
      </c>
      <c r="CI30" s="165" t="str">
        <f>IFERROR(ROUNDUP(CF30/INDEX(bhpc_data[units_per_carton],MATCH(BZ30,bhpc_data[sku])),0),"")</f>
        <v/>
      </c>
      <c r="CJ30" s="165" t="str">
        <f>IFERROR(((CB30+CD30+CF30)/INDEX(bhpc_data[units_per_carton],MATCH(BZ30,bhpc_data[sku],0)))*INDEX(bhpc_data[net_weight],MATCH(BZ30,bhpc_data[sku],0)),"")</f>
        <v/>
      </c>
      <c r="CK30" s="165" t="str">
        <f>IFERROR(((CB30+CD30+CF30)/INDEX(bhpc_data[units_per_carton],MATCH(BZ30,bhpc_data[sku],0)))*INDEX(bhpc_data[gross_weight],MATCH(BZ30,bhpc_data[sku],0)),"")</f>
        <v/>
      </c>
      <c r="CL30" s="180" t="str">
        <f>IFERROR((CB30+CD30+CF30)/INDEX(bhpc_data[units_per_carton],MATCH(BZ30,bhpc_data[sku],0))*INDEX(bhpc_data[lenght],MATCH(BZ30,bhpc_data[sku],0))*INDEX(bhpc_data[width],MATCH(BZ30,bhpc_data[sku],0))*INDEX(bhpc_data[height],MATCH(BZ30,bhpc_data[sku],0))/1000000000,"")</f>
        <v/>
      </c>
      <c r="CM30" s="189" t="str">
        <f>IFERROR(INDEX(bhpc_data[category],MATCH(BZ30,bhpc_data[sku],0)),"")</f>
        <v/>
      </c>
      <c r="CN30" s="189" t="str">
        <f>IFERROR(INDEX(bhpc_data[size1],MATCH(BZ30,bhpc_data[sku],0)),"")</f>
        <v/>
      </c>
      <c r="CO30" s="388" t="str">
        <f>IFERROR(INDEX(bhpc_data[hs_code],MATCH(BZ30,bhpc_data[sku],0)),"")</f>
        <v/>
      </c>
      <c r="CP30" s="377" t="str">
        <f>IFERROR(INDEX(inventory[ESISTENZA],MATCH(BZ30,inventory[ARTICOLO],0)),"")</f>
        <v/>
      </c>
      <c r="CQ30" s="364" t="str">
        <f>IFERROR(IF(BZ30="","",IF($BX$15="SALE",INDEX(inventory[COSTO UNITARIO],MATCH(BZ30,inventory[ARTICOLO],0)),IF($BX$15="SAMPLING",INDEX(inventory[COSTO UNITARIO],MATCH(BZ30,inventory[ARTICOLO],0)),""))),"")</f>
        <v/>
      </c>
      <c r="CR30" s="365" t="str">
        <f t="shared" si="0"/>
        <v/>
      </c>
      <c r="CS30" s="264" t="str">
        <f t="shared" si="1"/>
        <v/>
      </c>
      <c r="DA30" s="432" t="str">
        <f>IFERROR(VLOOKUP(BZ30,bhpc_data[],22,FALSE),"")</f>
        <v/>
      </c>
      <c r="DH30" s="296"/>
      <c r="EE30" s="202" t="str" cm="1">
        <f t="array" ref="EE30">IFERROR(IF($EC$9="",IF($EC$11="",IF($EC$13="",INDEX(bhpc_data[sku],SMALL(MATCH(ROW(bhpc_data[sku]),ROW(bhpc_data[sku])),ROWS($A$15:A35)+$B$3)),INDEX(bhpc_data[sku],SMALL(IF(ISNUMBER(MATCH(bhpc_data[size1],$EC$13,0)),MATCH(ROW(bhpc_data[sku]),ROW(bhpc_data[sku])),""),ROWS($A$15:A35)+$B$3))),IF($EC$13="",INDEX(bhpc_data[sku],SMALL(IF(ISNUMBER(MATCH(bhpc_data[sex],$EC$11,0)),MATCH(ROW(bhpc_data[sku]),ROW(bhpc_data[sku])),""),ROWS($A$15:A35)+$B$3)),INDEX(bhpc_data[sku],SMALL(IF(ISNUMBER(MATCH(bhpc_data[sex],$EC$11,0)*MATCH(bhpc_data[size1],$EC$13,0)),MATCH(ROW(bhpc_data[sku]),ROW(bhpc_data[sku])),""),ROWS($A$15:A35)+$B$3)))),IF($EC$11="",IF($EC$13="",INDEX(bhpc_data[sku],SMALL(IF(ISNUMBER(MATCH(bhpc_data[category],$EC$9,0)),MATCH(ROW(bhpc_data[sku]),ROW(bhpc_data[sku])),""),ROWS($A$15:A35)+$B$3)),INDEX(bhpc_data[sku],SMALL(IF(ISNUMBER(MATCH(bhpc_data[category],$EC$9,0)*MATCH(bhpc_data[size1],$EC$13,0)),MATCH(ROW(bhpc_data[sku]),ROW(bhpc_data[sku])),""),ROWS($A$15:A35)+$B$3))),IF($EC$13="",INDEX(bhpc_data[sku],SMALL(IF(ISNUMBER(MATCH(bhpc_data[category],$EC$9,0)*MATCH(bhpc_data[sex],$EC$11,0)),MATCH(ROW(bhpc_data[sku]),ROW(bhpc_data[sku])),""),ROWS($A$15:A35)+$B$3)),INDEX(bhpc_data[sku],SMALL(IF(ISNUMBER(MATCH(bhpc_data[category],$EC$9,0)*MATCH(bhpc_data[sex],$EC$11,0)*MATCH(bhpc_data[size1],$EC$13,0)),MATCH(ROW(bhpc_data[sku]),ROW(bhpc_data[sku])),""),ROWS($A$15:A35)+$B$3))))),"")</f>
        <v>GS7024</v>
      </c>
      <c r="EF30" s="198" t="str" cm="1">
        <f t="array" ref="EF30">IFERROR(IF($EC$9="",IF($EC$11="",IF($EC$13="",INDEX(bhpc_data[description],SMALL(MATCH(ROW(bhpc_data[sku]),ROW(bhpc_data[sku])),ROWS($A$15:A35)+$B$3)),INDEX(bhpc_data[description],SMALL(IF(ISNUMBER(MATCH(bhpc_data[size1],$EC$13,0)),MATCH(ROW(bhpc_data[sku]),ROW(bhpc_data[sku])),""),ROWS($A$15:A35)+$B$3))),IF($EC$13="",INDEX(bhpc_data[description],SMALL(IF(ISNUMBER(MATCH(bhpc_data[sex],$EC$11,0)),MATCH(ROW(bhpc_data[sku]),ROW(bhpc_data[sku])),""),ROWS($A$15:A35)+$B$3)),INDEX(bhpc_data[description],SMALL(IF(ISNUMBER(MATCH(bhpc_data[sex],$EC$11,0)*MATCH(bhpc_data[size1],$EC$13,0)),MATCH(ROW(bhpc_data[sku]),ROW(bhpc_data[sku])),""),ROWS($A$15:A35)+$B$3)))),IF($EC$11="",IF($EC$13="",INDEX(bhpc_data[description],SMALL(IF(ISNUMBER(MATCH(bhpc_data[category],$EC$9,0)),MATCH(ROW(bhpc_data[sku]),ROW(bhpc_data[sku])),""),ROWS($A$15:A35)+$B$3)),INDEX(bhpc_data[description],SMALL(IF(ISNUMBER(MATCH(bhpc_data[category],$EC$9,0)*MATCH(bhpc_data[size1],$EC$13,0)),MATCH(ROW(bhpc_data[sku]),ROW(bhpc_data[sku])),""),ROWS($A$15:A35)+$B$3))),IF($EC$13="",INDEX(bhpc_data[description],SMALL(IF(ISNUMBER(MATCH(bhpc_data[category],$EC$9,0)*MATCH(bhpc_data[sex],$EC$11,0)),MATCH(ROW(bhpc_data[sku]),ROW(bhpc_data[sku])),""),ROWS($A$15:A35)+$B$3)),INDEX(bhpc_data[description],SMALL(IF(ISNUMBER(MATCH(bhpc_data[category],$EC$9,0)*MATCH(bhpc_data[sex],$EC$11,0)*MATCH(bhpc_data[size1],$EC$13,0)),MATCH(ROW(bhpc_data[sku]),ROW(bhpc_data[sku])),""),ROWS($A$15:A35)+$B$3))))),"")</f>
        <v>BHPC GIFT SET WOMEN #1 EDP50ML+DEO150ML+ROLLON50ML</v>
      </c>
      <c r="EG30" s="263">
        <f>IFERROR(IF(warehouse[[#This Row],[SKU]]="","",INDEX(inventory[ESISTENZA],MATCH(warehouse[[#This Row],[SKU]],inventory[ARTICOLO],0))),"")</f>
        <v>11</v>
      </c>
      <c r="EH30" s="328"/>
      <c r="EI30" s="328"/>
      <c r="EJ30" s="263"/>
      <c r="EK30" s="113"/>
      <c r="FF30" s="413"/>
      <c r="FG30" s="413"/>
      <c r="FH30" s="413"/>
      <c r="FI30" s="413"/>
      <c r="FJ30" s="413"/>
      <c r="FK30" s="413"/>
      <c r="FL30" s="413"/>
      <c r="FM30" s="413"/>
      <c r="FN30" s="413"/>
      <c r="FO30" s="413"/>
      <c r="FP30" s="413"/>
      <c r="FQ30" s="413"/>
      <c r="FR30" s="413"/>
      <c r="FS30" s="413"/>
      <c r="FT30" s="413"/>
      <c r="FU30" s="413"/>
      <c r="FV30" s="413"/>
      <c r="FW30" s="413"/>
      <c r="FX30" s="413"/>
      <c r="FY30" s="413"/>
      <c r="FZ30" s="413"/>
      <c r="GA30" s="413"/>
      <c r="GB30" s="413"/>
      <c r="GC30" s="413"/>
      <c r="GD30" s="413"/>
      <c r="GE30" s="413"/>
      <c r="GF30" s="413"/>
      <c r="GG30" s="413"/>
      <c r="GH30" s="413"/>
      <c r="GI30" s="413"/>
      <c r="GJ30" s="413"/>
      <c r="GK30" s="413"/>
      <c r="GL30" s="413"/>
      <c r="GM30" s="413"/>
      <c r="GN30" s="413"/>
      <c r="GO30" s="413"/>
      <c r="GP30" s="413"/>
      <c r="GQ30" s="413"/>
      <c r="GR30" s="413"/>
      <c r="GS30" s="413"/>
      <c r="GT30" s="413"/>
      <c r="GU30" s="413"/>
      <c r="GV30" s="413"/>
      <c r="GW30" s="413"/>
      <c r="GX30" s="413"/>
      <c r="GY30" s="413"/>
      <c r="GZ30" s="413"/>
      <c r="HA30" s="413"/>
      <c r="HB30" s="413"/>
      <c r="HC30" s="413"/>
      <c r="HD30" s="413"/>
      <c r="HE30" s="413"/>
      <c r="HF30" s="413"/>
      <c r="HG30" s="413"/>
      <c r="HH30" s="413"/>
      <c r="HI30" s="413"/>
      <c r="HJ30" s="413"/>
      <c r="HK30" s="413"/>
      <c r="HL30" s="413"/>
      <c r="HM30" s="413"/>
      <c r="HN30" s="413"/>
      <c r="HO30" s="413"/>
      <c r="HP30" s="413"/>
      <c r="HQ30" s="413"/>
      <c r="HR30" s="413"/>
      <c r="HS30" s="413"/>
      <c r="HT30" s="413"/>
    </row>
    <row r="31" spans="1:228" ht="15" customHeight="1" x14ac:dyDescent="0.35">
      <c r="L31" s="539" t="str">
        <f t="array" ref="L31">IFERROR(IF($D$9="",IF($D$11="",IF($D$13="",IF($D$15="",INDEX(orderHistory[customer],SMALL(MATCH(ROW(orderHistory[customer]),ROW(orderHistory[customer])),ROWS($A$15:A36)+$B$3)),INDEX(orderHistory[customer],SMALL(IF(ISNUMBER(MATCH(YEAR(orderHistory[invoice_date]),$D$15,0)),MATCH(ROW(orderHistory[customer]),ROW(orderHistory[customer])),""),ROWS($A$15:A36)+$B$3))),IF($D$15="",INDEX(orderHistory[customer],SMALL(IF(ISNUMBER(MATCH(orderHistory[order_type],$D$13,0)),MATCH(ROW(orderHistory[customer]),ROW(orderHistory[customer])),""),ROWS($A$15:A36)+$B$3)),INDEX(orderHistory[customer],SMALL(IF(ISNUMBER(MATCH(orderHistory[order_type],$D$13,0)*MATCH(YEAR(orderHistory[invoice_date]),$D$15,0)),MATCH(ROW(orderHistory[customer]),ROW(orderHistory[customer])),""),ROWS($A$15:A36)+$B$3)))),IF($D$13="",IF($D$15="",INDEX(orderHistory[customer],SMALL(IF(ISNUMBER(MATCH(orderHistory[status],$D$11,0)),MATCH(ROW(orderHistory[customer]),ROW(orderHistory[customer])),""),ROWS($A$15:A36)+$B$3)),INDEX(orderHistory[customer],SMALL(IF(ISNUMBER(MATCH(orderHistory[status],$D$11,0)*MATCH(YEAR(orderHistory[invoice_date]),$D$15,0)),MATCH(ROW(orderHistory[customer]),ROW(orderHistory[customer])),""),ROWS($A$15:A36)+$B$3))),IF($D$15="",INDEX(orderHistory[customer],SMALL(IF(ISNUMBER(MATCH(orderHistory[status],$D$11,0)*MATCH(orderHistory[order_type],$D$13,0)),MATCH(ROW(orderHistory[customer]),ROW(orderHistory[customer])),""),ROWS($A$15:A36)+$B$3)),INDEX(orderHistory[customer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customer],SMALL(IF(ISNUMBER(MATCH(orderHistory[customer],$D$9,0)),MATCH(ROW(orderHistory[customer]),ROW(orderHistory[customer])),""),ROWS($A$15:A36)+$B$3)),INDEX(orderHistory[customer],SMALL(IF(ISNUMBER(MATCH(orderHistory[customer],$D$9,0)*MATCH(YEAR(orderHistory[invoice_date]),$D$15,0)),MATCH(ROW(orderHistory[customer]),ROW(orderHistory[customer])),""),ROWS($A$15:A36)+$B$3))),IF($D$15="",INDEX(orderHistory[customer],SMALL(IF(ISNUMBER(MATCH(orderHistory[customer],$D$9,0)*MATCH(orderHistory[order_type],$D$13,0)),MATCH(ROW(orderHistory[customer]),ROW(orderHistory[customer])),""),ROWS($A$15:A36)+$B$3)),INDEX(orderHistory[customer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customer],SMALL(IF(ISNUMBER(MATCH(orderHistory[customer],$D$9,0)*MATCH(orderHistory[status],$D$11,0)),MATCH(ROW(orderHistory[customer]),ROW(orderHistory[customer])),""),ROWS($A$15:A36)+$B$3)),INDEX(orderHistory[customer],SMALL(IF(ISNUMBER(MATCH(orderHistory[customer],$D$9,0)*MATCH(orderHistory[status],$D$11,0)*MATCH(YEAR(orderHistory[invoice_date]),$D$15,0)),MATCH(ROW(orderHistory[customer]),ROW(orderHistory[customer])),""),ROWS($A$15:A36)+$B$3))),IF($D$15="",INDEX(orderHistory[customer],SMALL(IF(ISNUMBER(MATCH(orderHistory[customer],$D$9,0)*MATCH(orderHistory[status],$D$11,0)*MATCH(orderHistory[order_type],$D$13,0)),MATCH(ROW(orderHistory[customer]),ROW(orderHistory[customer])),""),ROWS($A$15:A36)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M31" s="540" t="str">
        <f t="array" ref="M31">IFERROR(IF($D$9="",IF($D$11="",IF($D$13="",IF($D$15="",INDEX(orderHistory[order_no],SMALL(MATCH(ROW(orderHistory[customer]),ROW(orderHistory[customer])),ROWS($A$15:A36)+$B$3)),INDEX(orderHistory[order_no],SMALL(IF(ISNUMBER(MATCH(YEAR(orderHistory[invoice_date]),$D$15,0)),MATCH(ROW(orderHistory[customer]),ROW(orderHistory[customer])),""),ROWS($A$15:A36)+$B$3))),IF($D$15="",INDEX(orderHistory[order_no],SMALL(IF(ISNUMBER(MATCH(orderHistory[order_type],$D$13,0)),MATCH(ROW(orderHistory[customer]),ROW(orderHistory[customer])),""),ROWS($A$15:A36)+$B$3)),INDEX(orderHistory[order_no],SMALL(IF(ISNUMBER(MATCH(orderHistory[order_type],$D$13,0)*MATCH(YEAR(orderHistory[invoice_date]),$D$15,0)),MATCH(ROW(orderHistory[customer]),ROW(orderHistory[customer])),""),ROWS($A$15:A36)+$B$3)))),IF($D$13="",IF($D$15="",INDEX(orderHistory[order_no],SMALL(IF(ISNUMBER(MATCH(orderHistory[status],$D$11,0)),MATCH(ROW(orderHistory[customer]),ROW(orderHistory[customer])),""),ROWS($A$15:A36)+$B$3)),INDEX(orderHistory[order_no],SMALL(IF(ISNUMBER(MATCH(orderHistory[status],$D$11,0)*MATCH(YEAR(orderHistory[invoice_date]),$D$15,0)),MATCH(ROW(orderHistory[customer]),ROW(orderHistory[customer])),""),ROWS($A$15:A36)+$B$3))),IF($D$15="",INDEX(orderHistory[order_no],SMALL(IF(ISNUMBER(MATCH(orderHistory[status],$D$11,0)*MATCH(orderHistory[order_type],$D$13,0)),MATCH(ROW(orderHistory[customer]),ROW(orderHistory[customer])),""),ROWS($A$15:A36)+$B$3)),INDEX(orderHistory[order_no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no],SMALL(IF(ISNUMBER(MATCH(orderHistory[customer],$D$9,0)),MATCH(ROW(orderHistory[customer]),ROW(orderHistory[customer])),""),ROWS($A$15:A36)+$B$3)),INDEX(orderHistory[order_no],SMALL(IF(ISNUMBER(MATCH(orderHistory[customer],$D$9,0)*MATCH(YEAR(orderHistory[invoice_date]),$D$15,0)),MATCH(ROW(orderHistory[customer]),ROW(orderHistory[customer])),""),ROWS($A$15:A36)+$B$3))),IF($D$15="",INDEX(orderHistory[order_no],SMALL(IF(ISNUMBER(MATCH(orderHistory[customer],$D$9,0)*MATCH(orderHistory[order_type],$D$13,0)),MATCH(ROW(orderHistory[customer]),ROW(orderHistory[customer])),""),ROWS($A$15:A36)+$B$3)),INDEX(orderHistory[order_no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no],SMALL(IF(ISNUMBER(MATCH(orderHistory[customer],$D$9,0)*MATCH(orderHistory[status],$D$11,0)),MATCH(ROW(orderHistory[customer]),ROW(orderHistory[customer])),""),ROWS($A$15:A36)+$B$3)),INDEX(orderHistory[order_no],SMALL(IF(ISNUMBER(MATCH(orderHistory[customer],$D$9,0)*MATCH(orderHistory[status],$D$11,0)*MATCH(YEAR(orderHistory[invoice_date]),$D$15,0)),MATCH(ROW(orderHistory[customer]),ROW(orderHistory[customer])),""),ROWS($A$15:A36)+$B$3))),IF($D$15="",INDEX(orderHistory[order_no],SMALL(IF(ISNUMBER(MATCH(orderHistory[customer],$D$9,0)*MATCH(orderHistory[status],$D$11,0)*MATCH(orderHistory[order_type],$D$13,0)),MATCH(ROW(orderHistory[customer]),ROW(orderHistory[customer])),""),ROWS($A$15:A36)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N31" s="541" t="str">
        <f t="array" ref="N31">IFERROR(IF($D$9="",IF($D$11="",IF($D$13="",IF($D$15="",INDEX(orderHistory[order_type],SMALL(MATCH(ROW(orderHistory[customer]),ROW(orderHistory[customer])),ROWS($A$15:A36)+$B$3)),INDEX(orderHistory[order_type],SMALL(IF(ISNUMBER(MATCH(YEAR(orderHistory[invoice_date]),$D$15,0)),MATCH(ROW(orderHistory[customer]),ROW(orderHistory[customer])),""),ROWS($A$15:A36)+$B$3))),IF($D$15="",INDEX(orderHistory[order_type],SMALL(IF(ISNUMBER(MATCH(orderHistory[order_type],$D$13,0)),MATCH(ROW(orderHistory[customer]),ROW(orderHistory[customer])),""),ROWS($A$15:A36)+$B$3)),INDEX(orderHistory[order_type],SMALL(IF(ISNUMBER(MATCH(orderHistory[order_type],$D$13,0)*MATCH(YEAR(orderHistory[invoice_date]),$D$15,0)),MATCH(ROW(orderHistory[customer]),ROW(orderHistory[customer])),""),ROWS($A$15:A36)+$B$3)))),IF($D$13="",IF($D$15="",INDEX(orderHistory[order_type],SMALL(IF(ISNUMBER(MATCH(orderHistory[status],$D$11,0)),MATCH(ROW(orderHistory[customer]),ROW(orderHistory[customer])),""),ROWS($A$15:A36)+$B$3)),INDEX(orderHistory[order_type],SMALL(IF(ISNUMBER(MATCH(orderHistory[status],$D$11,0)*MATCH(YEAR(orderHistory[invoice_date]),$D$15,0)),MATCH(ROW(orderHistory[customer]),ROW(orderHistory[customer])),""),ROWS($A$15:A36)+$B$3))),IF($D$15="",INDEX(orderHistory[order_type],SMALL(IF(ISNUMBER(MATCH(orderHistory[status],$D$11,0)*MATCH(orderHistory[order_type],$D$13,0)),MATCH(ROW(orderHistory[customer]),ROW(orderHistory[customer])),""),ROWS($A$15:A36)+$B$3)),INDEX(orderHistory[order_typ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type],SMALL(IF(ISNUMBER(MATCH(orderHistory[customer],$D$9,0)),MATCH(ROW(orderHistory[customer]),ROW(orderHistory[customer])),""),ROWS($A$15:A36)+$B$3)),INDEX(orderHistory[order_type],SMALL(IF(ISNUMBER(MATCH(orderHistory[customer],$D$9,0)*MATCH(YEAR(orderHistory[invoice_date]),$D$15,0)),MATCH(ROW(orderHistory[customer]),ROW(orderHistory[customer])),""),ROWS($A$15:A36)+$B$3))),IF($D$15="",INDEX(orderHistory[order_type],SMALL(IF(ISNUMBER(MATCH(orderHistory[customer],$D$9,0)*MATCH(orderHistory[order_type],$D$13,0)),MATCH(ROW(orderHistory[customer]),ROW(orderHistory[customer])),""),ROWS($A$15:A36)+$B$3)),INDEX(orderHistory[order_typ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type],SMALL(IF(ISNUMBER(MATCH(orderHistory[customer],$D$9,0)*MATCH(orderHistory[status],$D$11,0)),MATCH(ROW(orderHistory[customer]),ROW(orderHistory[customer])),""),ROWS($A$15:A36)+$B$3)),INDEX(orderHistory[order_type],SMALL(IF(ISNUMBER(MATCH(orderHistory[customer],$D$9,0)*MATCH(orderHistory[status],$D$11,0)*MATCH(YEAR(orderHistory[invoice_date]),$D$15,0)),MATCH(ROW(orderHistory[customer]),ROW(orderHistory[customer])),""),ROWS($A$15:A36)+$B$3))),IF($D$15="",INDEX(orderHistory[order_type],SMALL(IF(ISNUMBER(MATCH(orderHistory[customer],$D$9,0)*MATCH(orderHistory[status],$D$11,0)*MATCH(orderHistory[order_type],$D$13,0)),MATCH(ROW(orderHistory[customer]),ROW(orderHistory[customer])),""),ROWS($A$15:A36)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O31" s="542" t="str">
        <f t="array" ref="O31">IFERROR(IF($D$9="",IF($D$11="",IF($D$13="",IF($D$15="",INDEX(orderHistory[order_date],SMALL(MATCH(ROW(orderHistory[customer]),ROW(orderHistory[customer])),ROWS($A$15:A36)+$B$3)),INDEX(orderHistory[order_date],SMALL(IF(ISNUMBER(MATCH(YEAR(orderHistory[invoice_date]),$D$15,0)),MATCH(ROW(orderHistory[customer]),ROW(orderHistory[customer])),""),ROWS($A$15:A36)+$B$3))),IF($D$15="",INDEX(orderHistory[order_date],SMALL(IF(ISNUMBER(MATCH(orderHistory[order_type],$D$13,0)),MATCH(ROW(orderHistory[customer]),ROW(orderHistory[customer])),""),ROWS($A$15:A36)+$B$3)),INDEX(orderHistory[order_date],SMALL(IF(ISNUMBER(MATCH(orderHistory[order_type],$D$13,0)*MATCH(YEAR(orderHistory[invoice_date]),$D$15,0)),MATCH(ROW(orderHistory[customer]),ROW(orderHistory[customer])),""),ROWS($A$15:A36)+$B$3)))),IF($D$13="",IF($D$15="",INDEX(orderHistory[order_date],SMALL(IF(ISNUMBER(MATCH(orderHistory[status],$D$11,0)),MATCH(ROW(orderHistory[customer]),ROW(orderHistory[customer])),""),ROWS($A$15:A36)+$B$3)),INDEX(orderHistory[order_date],SMALL(IF(ISNUMBER(MATCH(orderHistory[status],$D$11,0)*MATCH(YEAR(orderHistory[invoice_date]),$D$15,0)),MATCH(ROW(orderHistory[customer]),ROW(orderHistory[customer])),""),ROWS($A$15:A36)+$B$3))),IF($D$15="",INDEX(orderHistory[order_date],SMALL(IF(ISNUMBER(MATCH(orderHistory[status],$D$11,0)*MATCH(orderHistory[order_type],$D$13,0)),MATCH(ROW(orderHistory[customer]),ROW(orderHistory[customer])),""),ROWS($A$15:A36)+$B$3)),INDEX(orderHistory[order_dat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date],SMALL(IF(ISNUMBER(MATCH(orderHistory[customer],$D$9,0)),MATCH(ROW(orderHistory[customer]),ROW(orderHistory[customer])),""),ROWS($A$15:A36)+$B$3)),INDEX(orderHistory[order_date],SMALL(IF(ISNUMBER(MATCH(orderHistory[customer],$D$9,0)*MATCH(YEAR(orderHistory[invoice_date]),$D$15,0)),MATCH(ROW(orderHistory[customer]),ROW(orderHistory[customer])),""),ROWS($A$15:A36)+$B$3))),IF($D$15="",INDEX(orderHistory[order_date],SMALL(IF(ISNUMBER(MATCH(orderHistory[customer],$D$9,0)*MATCH(orderHistory[order_type],$D$13,0)),MATCH(ROW(orderHistory[customer]),ROW(orderHistory[customer])),""),ROWS($A$15:A36)+$B$3)),INDEX(orderHistory[order_dat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date],SMALL(IF(ISNUMBER(MATCH(orderHistory[customer],$D$9,0)*MATCH(orderHistory[status],$D$11,0)),MATCH(ROW(orderHistory[customer]),ROW(orderHistory[customer])),""),ROWS($A$15:A36)+$B$3)),INDEX(orderHistory[order_date],SMALL(IF(ISNUMBER(MATCH(orderHistory[customer],$D$9,0)*MATCH(orderHistory[status],$D$11,0)*MATCH(YEAR(orderHistory[invoice_date]),$D$15,0)),MATCH(ROW(orderHistory[customer]),ROW(orderHistory[customer])),""),ROWS($A$15:A36)+$B$3))),IF($D$15="",INDEX(orderHistory[order_date],SMALL(IF(ISNUMBER(MATCH(orderHistory[customer],$D$9,0)*MATCH(orderHistory[status],$D$11,0)*MATCH(orderHistory[order_type],$D$13,0)),MATCH(ROW(orderHistory[customer]),ROW(orderHistory[customer])),""),ROWS($A$15:A36)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P31" s="543" t="str">
        <f t="array" ref="P31">IFERROR(IF($D$9="",IF($D$11="",IF($D$13="",IF($D$15="",INDEX(orderHistory[invoice_no],SMALL(MATCH(ROW(orderHistory[customer]),ROW(orderHistory[customer])),ROWS($A$15:A36)+$B$3)),INDEX(orderHistory[invoice_no],SMALL(IF(ISNUMBER(MATCH(YEAR(orderHistory[invoice_date]),$D$15,0)),MATCH(ROW(orderHistory[customer]),ROW(orderHistory[customer])),""),ROWS($A$15:A36)+$B$3))),IF($D$15="",INDEX(orderHistory[invoice_no],SMALL(IF(ISNUMBER(MATCH(orderHistory[order_type],$D$13,0)),MATCH(ROW(orderHistory[customer]),ROW(orderHistory[customer])),""),ROWS($A$15:A36)+$B$3)),INDEX(orderHistory[invoice_no],SMALL(IF(ISNUMBER(MATCH(orderHistory[order_type],$D$13,0)*MATCH(YEAR(orderHistory[invoice_date]),$D$15,0)),MATCH(ROW(orderHistory[customer]),ROW(orderHistory[customer])),""),ROWS($A$15:A36)+$B$3)))),IF($D$13="",IF($D$15="",INDEX(orderHistory[invoice_no],SMALL(IF(ISNUMBER(MATCH(orderHistory[status],$D$11,0)),MATCH(ROW(orderHistory[customer]),ROW(orderHistory[customer])),""),ROWS($A$15:A36)+$B$3)),INDEX(orderHistory[invoice_no],SMALL(IF(ISNUMBER(MATCH(orderHistory[status],$D$11,0)*MATCH(YEAR(orderHistory[invoice_date]),$D$15,0)),MATCH(ROW(orderHistory[customer]),ROW(orderHistory[customer])),""),ROWS($A$15:A36)+$B$3))),IF($D$15="",INDEX(orderHistory[invoice_no],SMALL(IF(ISNUMBER(MATCH(orderHistory[status],$D$11,0)*MATCH(orderHistory[order_type],$D$13,0)),MATCH(ROW(orderHistory[customer]),ROW(orderHistory[customer])),""),ROWS($A$15:A36)+$B$3)),INDEX(orderHistory[invoice_no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oice_no],SMALL(IF(ISNUMBER(MATCH(orderHistory[customer],$D$9,0)),MATCH(ROW(orderHistory[customer]),ROW(orderHistory[customer])),""),ROWS($A$15:A36)+$B$3)),INDEX(orderHistory[invoice_no],SMALL(IF(ISNUMBER(MATCH(orderHistory[customer],$D$9,0)*MATCH(YEAR(orderHistory[invoice_date]),$D$15,0)),MATCH(ROW(orderHistory[customer]),ROW(orderHistory[customer])),""),ROWS($A$15:A36)+$B$3))),IF($D$15="",INDEX(orderHistory[invoice_no],SMALL(IF(ISNUMBER(MATCH(orderHistory[customer],$D$9,0)*MATCH(orderHistory[order_type],$D$13,0)),MATCH(ROW(orderHistory[customer]),ROW(orderHistory[customer])),""),ROWS($A$15:A36)+$B$3)),INDEX(orderHistory[invoice_no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YEAR(orderHistory[invoice_date]),$D$15,0)),MATCH(ROW(orderHistory[customer]),ROW(orderHistory[customer])),""),ROWS($A$15:A36)+$B$3))),IF($D$15="",INDEX(orderHistory[invoice_no],SMALL(IF(ISNUMBER(MATCH(orderHistory[customer],$D$9,0)*MATCH(orderHistory[status],$D$11,0)*MATCH(orderHistory[order_type],$D$13,0)),MATCH(ROW(orderHistory[customer]),ROW(orderHistory[customer])),""),ROWS($A$15:A36)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Q31" s="544" t="str">
        <f t="array" ref="Q31">IFERROR(IF($D$9="",IF($D$11="",IF($D$13="",IF($D$15="",INDEX(orderHistory[invoice_date],SMALL(MATCH(ROW(orderHistory[customer]),ROW(orderHistory[customer])),ROWS($A$15:A36)+$B$3)),INDEX(orderHistory[invoice_date],SMALL(IF(ISNUMBER(MATCH(YEAR(orderHistory[invoice_date]),$D$15,0)),MATCH(ROW(orderHistory[customer]),ROW(orderHistory[customer])),""),ROWS($A$15:A36)+$B$3))),IF($D$15="",INDEX(orderHistory[invoice_date],SMALL(IF(ISNUMBER(MATCH(orderHistory[order_type],$D$13,0)),MATCH(ROW(orderHistory[customer]),ROW(orderHistory[customer])),""),ROWS($A$15:A36)+$B$3)),INDEX(orderHistory[invoice_date],SMALL(IF(ISNUMBER(MATCH(orderHistory[order_type],$D$13,0)*MATCH(YEAR(orderHistory[invoice_date]),$D$15,0)),MATCH(ROW(orderHistory[customer]),ROW(orderHistory[customer])),""),ROWS($A$15:A36)+$B$3)))),IF($D$13="",IF($D$15="",INDEX(orderHistory[invoice_date],SMALL(IF(ISNUMBER(MATCH(orderHistory[status],$D$11,0)),MATCH(ROW(orderHistory[customer]),ROW(orderHistory[customer])),""),ROWS($A$15:A36)+$B$3)),INDEX(orderHistory[invoice_date],SMALL(IF(ISNUMBER(MATCH(orderHistory[status],$D$11,0)*MATCH(YEAR(orderHistory[invoice_date]),$D$15,0)),MATCH(ROW(orderHistory[customer]),ROW(orderHistory[customer])),""),ROWS($A$15:A36)+$B$3))),IF($D$15="",INDEX(orderHistory[invoice_date],SMALL(IF(ISNUMBER(MATCH(orderHistory[status],$D$11,0)*MATCH(orderHistory[order_type],$D$13,0)),MATCH(ROW(orderHistory[customer]),ROW(orderHistory[customer])),""),ROWS($A$15:A36)+$B$3)),INDEX(orderHistory[invoice_dat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oice_date],SMALL(IF(ISNUMBER(MATCH(orderHistory[customer],$D$9,0)),MATCH(ROW(orderHistory[customer]),ROW(orderHistory[customer])),""),ROWS($A$15:A36)+$B$3)),INDEX(orderHistory[invoice_date],SMALL(IF(ISNUMBER(MATCH(orderHistory[customer],$D$9,0)*MATCH(YEAR(orderHistory[invoice_date]),$D$15,0)),MATCH(ROW(orderHistory[customer]),ROW(orderHistory[customer])),""),ROWS($A$15:A36)+$B$3))),IF($D$15="",INDEX(orderHistory[invoice_date],SMALL(IF(ISNUMBER(MATCH(orderHistory[customer],$D$9,0)*MATCH(orderHistory[order_type],$D$13,0)),MATCH(ROW(orderHistory[customer]),ROW(orderHistory[customer])),""),ROWS($A$15:A36)+$B$3)),INDEX(orderHistory[invoice_dat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YEAR(orderHistory[invoice_date]),$D$15,0)),MATCH(ROW(orderHistory[customer]),ROW(orderHistory[customer])),""),ROWS($A$15:A36)+$B$3))),IF($D$15="",INDEX(orderHistory[invoice_date],SMALL(IF(ISNUMBER(MATCH(orderHistory[customer],$D$9,0)*MATCH(orderHistory[status],$D$11,0)*MATCH(orderHistory[order_type],$D$13,0)),MATCH(ROW(orderHistory[customer]),ROW(orderHistory[customer])),""),ROWS($A$15:A36)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R31" s="545" t="str">
        <f t="array" ref="R31">IFERROR(IF($D$9="",IF($D$11="",IF($D$13="",IF($D$15="",INDEX(orderHistory[inv_amount],SMALL(MATCH(ROW(orderHistory[customer]),ROW(orderHistory[customer])),ROWS($A$15:A36)+$B$3)),INDEX(orderHistory[inv_amount],SMALL(IF(ISNUMBER(MATCH(YEAR(orderHistory[invoice_date]),$D$15,0)),MATCH(ROW(orderHistory[customer]),ROW(orderHistory[customer])),""),ROWS($A$15:A36)+$B$3))),IF($D$15="",INDEX(orderHistory[inv_amount],SMALL(IF(ISNUMBER(MATCH(orderHistory[order_type],$D$13,0)),MATCH(ROW(orderHistory[customer]),ROW(orderHistory[customer])),""),ROWS($A$15:A36)+$B$3)),INDEX(orderHistory[inv_amount],SMALL(IF(ISNUMBER(MATCH(orderHistory[order_type],$D$13,0)*MATCH(YEAR(orderHistory[invoice_date]),$D$15,0)),MATCH(ROW(orderHistory[customer]),ROW(orderHistory[customer])),""),ROWS($A$15:A36)+$B$3)))),IF($D$13="",IF($D$15="",INDEX(orderHistory[inv_amount],SMALL(IF(ISNUMBER(MATCH(orderHistory[status],$D$11,0)),MATCH(ROW(orderHistory[customer]),ROW(orderHistory[customer])),""),ROWS($A$15:A36)+$B$3)),INDEX(orderHistory[inv_amount],SMALL(IF(ISNUMBER(MATCH(orderHistory[status],$D$11,0)*MATCH(YEAR(orderHistory[invoice_date]),$D$15,0)),MATCH(ROW(orderHistory[customer]),ROW(orderHistory[customer])),""),ROWS($A$15:A36)+$B$3))),IF($D$15="",INDEX(orderHistory[inv_amount],SMALL(IF(ISNUMBER(MATCH(orderHistory[status],$D$11,0)*MATCH(orderHistory[order_type],$D$13,0)),MATCH(ROW(orderHistory[customer]),ROW(orderHistory[customer])),""),ROWS($A$15:A36)+$B$3)),INDEX(orderHistory[inv_amount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_amount],SMALL(IF(ISNUMBER(MATCH(orderHistory[customer],$D$9,0)),MATCH(ROW(orderHistory[customer]),ROW(orderHistory[customer])),""),ROWS($A$15:A36)+$B$3)),INDEX(orderHistory[inv_amount],SMALL(IF(ISNUMBER(MATCH(orderHistory[customer],$D$9,0)*MATCH(YEAR(orderHistory[invoice_date]),$D$15,0)),MATCH(ROW(orderHistory[customer]),ROW(orderHistory[customer])),""),ROWS($A$15:A36)+$B$3))),IF($D$15="",INDEX(orderHistory[inv_amount],SMALL(IF(ISNUMBER(MATCH(orderHistory[customer],$D$9,0)*MATCH(orderHistory[order_type],$D$13,0)),MATCH(ROW(orderHistory[customer]),ROW(orderHistory[customer])),""),ROWS($A$15:A36)+$B$3)),INDEX(orderHistory[inv_amount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_amount],SMALL(IF(ISNUMBER(MATCH(orderHistory[customer],$D$9,0)*MATCH(orderHistory[status],$D$11,0)),MATCH(ROW(orderHistory[customer]),ROW(orderHistory[customer])),""),ROWS($A$15:A36)+$B$3)),INDEX(orderHistory[inv_amount],SMALL(IF(ISNUMBER(MATCH(orderHistory[customer],$D$9,0)*MATCH(orderHistory[status],$D$11,0)*MATCH(YEAR(orderHistory[inv_amount]),$D$15,0)),MATCH(ROW(orderHistory[customer]),ROW(orderHistory[customer])),""),ROWS($A$15:A36)+$B$3))),IF($D$15="",INDEX(orderHistory[inv_amount],SMALL(IF(ISNUMBER(MATCH(orderHistory[customer],$D$9,0)*MATCH(orderHistory[status],$D$11,0)*MATCH(orderHistory[order_type],$D$13,0)),MATCH(ROW(orderHistory[customer]),ROW(orderHistory[customer])),""),ROWS($A$15:A36)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S31" s="546" t="str">
        <f t="shared" si="2"/>
        <v/>
      </c>
      <c r="T31" s="547" t="str">
        <f t="array" ref="T31">IFERROR(IF($D$9="",IF($D$11="",IF($D$13="",IF($D$15="",INDEX(orderHistory[payed],SMALL(MATCH(ROW(orderHistory[customer]),ROW(orderHistory[customer])),ROWS($A$15:A36)+$B$3)),INDEX(orderHistory[payed],SMALL(IF(ISNUMBER(MATCH(YEAR(orderHistory[invoice_date]),$D$15,0)),MATCH(ROW(orderHistory[customer]),ROW(orderHistory[customer])),""),ROWS($A$15:A36)+$B$3))),IF($D$15="",INDEX(orderHistory[payed],SMALL(IF(ISNUMBER(MATCH(orderHistory[order_type],$D$13,0)),MATCH(ROW(orderHistory[customer]),ROW(orderHistory[customer])),""),ROWS($A$15:A36)+$B$3)),INDEX(orderHistory[payed],SMALL(IF(ISNUMBER(MATCH(orderHistory[order_type],$D$13,0)*MATCH(YEAR(orderHistory[invoice_date]),$D$15,0)),MATCH(ROW(orderHistory[customer]),ROW(orderHistory[customer])),""),ROWS($A$15:A36)+$B$3)))),IF($D$13="",IF($D$15="",INDEX(orderHistory[payed],SMALL(IF(ISNUMBER(MATCH(orderHistory[status],$D$11,0)),MATCH(ROW(orderHistory[customer]),ROW(orderHistory[customer])),""),ROWS($A$15:A36)+$B$3)),INDEX(orderHistory[payed],SMALL(IF(ISNUMBER(MATCH(orderHistory[status],$D$11,0)*MATCH(YEAR(orderHistory[invoice_date]),$D$15,0)),MATCH(ROW(orderHistory[customer]),ROW(orderHistory[customer])),""),ROWS($A$15:A36)+$B$3))),IF($D$15="",INDEX(orderHistory[payed],SMALL(IF(ISNUMBER(MATCH(orderHistory[status],$D$11,0)*MATCH(orderHistory[order_type],$D$13,0)),MATCH(ROW(orderHistory[customer]),ROW(orderHistory[customer])),""),ROWS($A$15:A36)+$B$3)),INDEX(orderHistory[payed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payed],SMALL(IF(ISNUMBER(MATCH(orderHistory[customer],$D$9,0)),MATCH(ROW(orderHistory[customer]),ROW(orderHistory[customer])),""),ROWS($A$15:A36)+$B$3)),INDEX(orderHistory[payed],SMALL(IF(ISNUMBER(MATCH(orderHistory[customer],$D$9,0)*MATCH(YEAR(orderHistory[invoice_date]),$D$15,0)),MATCH(ROW(orderHistory[customer]),ROW(orderHistory[customer])),""),ROWS($A$15:A36)+$B$3))),IF($D$15="",INDEX(orderHistory[payed],SMALL(IF(ISNUMBER(MATCH(orderHistory[customer],$D$9,0)*MATCH(orderHistory[order_type],$D$13,0)),MATCH(ROW(orderHistory[customer]),ROW(orderHistory[customer])),""),ROWS($A$15:A36)+$B$3)),INDEX(orderHistory[payed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payed],SMALL(IF(ISNUMBER(MATCH(orderHistory[customer],$D$9,0)*MATCH(orderHistory[status],$D$11,0)),MATCH(ROW(orderHistory[customer]),ROW(orderHistory[customer])),""),ROWS($A$15:A36)+$B$3)),INDEX(orderHistory[payed],SMALL(IF(ISNUMBER(MATCH(orderHistory[customer],$D$9,0)*MATCH(orderHistory[status],$D$11,0)*MATCH(YEAR(orderHistory[payed]),$D$15,0)),MATCH(ROW(orderHistory[customer]),ROW(orderHistory[customer])),""),ROWS($A$15:A36)+$B$3))),IF($D$15="",INDEX(orderHistory[payed],SMALL(IF(ISNUMBER(MATCH(orderHistory[customer],$D$9,0)*MATCH(orderHistory[status],$D$11,0)*MATCH(orderHistory[order_type],$D$13,0)),MATCH(ROW(orderHistory[customer]),ROW(orderHistory[customer])),""),ROWS($A$15:A36)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U31" s="541" t="str">
        <f t="array" ref="U31">IFERROR(IF($D$9="",IF($D$11="",IF($D$13="",IF($D$15="",INDEX(orderHistory[shipping_method],SMALL(MATCH(ROW(orderHistory[customer]),ROW(orderHistory[customer])),ROWS($A$15:A36)+$B$3)),INDEX(orderHistory[shipping_method],SMALL(IF(ISNUMBER(MATCH(YEAR(orderHistory[invoice_date]),$D$15,0)),MATCH(ROW(orderHistory[customer]),ROW(orderHistory[customer])),""),ROWS($A$15:A36)+$B$3))),IF($D$15="",INDEX(orderHistory[shipping_method],SMALL(IF(ISNUMBER(MATCH(orderHistory[order_type],$D$13,0)),MATCH(ROW(orderHistory[customer]),ROW(orderHistory[customer])),""),ROWS($A$15:A36)+$B$3)),INDEX(orderHistory[shipping_method],SMALL(IF(ISNUMBER(MATCH(orderHistory[order_type],$D$13,0)*MATCH(YEAR(orderHistory[invoice_date]),$D$15,0)),MATCH(ROW(orderHistory[customer]),ROW(orderHistory[customer])),""),ROWS($A$15:A36)+$B$3)))),IF($D$13="",IF($D$15="",INDEX(orderHistory[shipping_method],SMALL(IF(ISNUMBER(MATCH(orderHistory[status],$D$11,0)),MATCH(ROW(orderHistory[customer]),ROW(orderHistory[customer])),""),ROWS($A$15:A36)+$B$3)),INDEX(orderHistory[shipping_method],SMALL(IF(ISNUMBER(MATCH(orderHistory[status],$D$11,0)*MATCH(YEAR(orderHistory[invoice_date]),$D$15,0)),MATCH(ROW(orderHistory[customer]),ROW(orderHistory[customer])),""),ROWS($A$15:A36)+$B$3))),IF($D$15="",INDEX(orderHistory[shipping_method],SMALL(IF(ISNUMBER(MATCH(orderHistory[status],$D$11,0)*MATCH(orderHistory[order_type],$D$13,0)),MATCH(ROW(orderHistory[customer]),ROW(orderHistory[customer])),""),ROWS($A$15:A36)+$B$3)),INDEX(orderHistory[shipping_method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shipping_method],SMALL(IF(ISNUMBER(MATCH(orderHistory[customer],$D$9,0)),MATCH(ROW(orderHistory[customer]),ROW(orderHistory[customer])),""),ROWS($A$15:A36)+$B$3)),INDEX(orderHistory[shipping_method],SMALL(IF(ISNUMBER(MATCH(orderHistory[customer],$D$9,0)*MATCH(YEAR(orderHistory[invoice_date]),$D$15,0)),MATCH(ROW(orderHistory[customer]),ROW(orderHistory[customer])),""),ROWS($A$15:A36)+$B$3))),IF($D$15="",INDEX(orderHistory[shipping_method],SMALL(IF(ISNUMBER(MATCH(orderHistory[customer],$D$9,0)*MATCH(orderHistory[order_type],$D$13,0)),MATCH(ROW(orderHistory[customer]),ROW(orderHistory[customer])),""),ROWS($A$15:A36)+$B$3)),INDEX(orderHistory[shipping_method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shipping_method],SMALL(IF(ISNUMBER(MATCH(orderHistory[customer],$D$9,0)*MATCH(orderHistory[status],$D$11,0)),MATCH(ROW(orderHistory[customer]),ROW(orderHistory[customer])),""),ROWS($A$15:A36)+$B$3)),INDEX(orderHistory[shipping_method],SMALL(IF(ISNUMBER(MATCH(orderHistory[customer],$D$9,0)*MATCH(orderHistory[status],$D$11,0)*MATCH(YEAR(orderHistory[shipping_method]),$D$15,0)),MATCH(ROW(orderHistory[customer]),ROW(orderHistory[customer])),""),ROWS($A$15:A36)+$B$3))),IF($D$15="",INDEX(orderHistory[shipping_method],SMALL(IF(ISNUMBER(MATCH(orderHistory[customer],$D$9,0)*MATCH(orderHistory[status],$D$11,0)*MATCH(orderHistory[order_type],$D$13,0)),MATCH(ROW(orderHistory[customer]),ROW(orderHistory[customer])),""),ROWS($A$15:A36)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V31" s="548" t="str">
        <f t="array" ref="V31">IFERROR(IF($D$9="",IF($D$11="",IF($D$13="",IF($D$15="",INDEX(orderHistory[status],SMALL(MATCH(ROW(orderHistory[customer]),ROW(orderHistory[customer])),ROWS($A$15:A36)+$B$3)),INDEX(orderHistory[status],SMALL(IF(ISNUMBER(MATCH(YEAR(orderHistory[invoice_date]),$D$15,0)),MATCH(ROW(orderHistory[customer]),ROW(orderHistory[customer])),""),ROWS($A$15:A36)+$B$3))),IF($D$15="",INDEX(orderHistory[status],SMALL(IF(ISNUMBER(MATCH(orderHistory[order_type],$D$13,0)),MATCH(ROW(orderHistory[customer]),ROW(orderHistory[customer])),""),ROWS($A$15:A36)+$B$3)),INDEX(orderHistory[status],SMALL(IF(ISNUMBER(MATCH(orderHistory[order_type],$D$13,0)*MATCH(YEAR(orderHistory[invoice_date]),$D$15,0)),MATCH(ROW(orderHistory[customer]),ROW(orderHistory[customer])),""),ROWS($A$15:A36)+$B$3)))),IF($D$13="",IF($D$15="",INDEX(orderHistory[status],SMALL(IF(ISNUMBER(MATCH(orderHistory[status],$D$11,0)),MATCH(ROW(orderHistory[customer]),ROW(orderHistory[customer])),""),ROWS($A$15:A36)+$B$3)),INDEX(orderHistory[status],SMALL(IF(ISNUMBER(MATCH(orderHistory[status],$D$11,0)*MATCH(YEAR(orderHistory[invoice_date]),$D$15,0)),MATCH(ROW(orderHistory[customer]),ROW(orderHistory[customer])),""),ROWS($A$15:A36)+$B$3))),IF($D$15="",INDEX(orderHistory[status],SMALL(IF(ISNUMBER(MATCH(orderHistory[status],$D$11,0)*MATCH(orderHistory[order_type],$D$13,0)),MATCH(ROW(orderHistory[customer]),ROW(orderHistory[customer])),""),ROWS($A$15:A36)+$B$3)),INDEX(orderHistory[status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status],SMALL(IF(ISNUMBER(MATCH(orderHistory[customer],$D$9,0)),MATCH(ROW(orderHistory[customer]),ROW(orderHistory[customer])),""),ROWS($A$15:A36)+$B$3)),INDEX(orderHistory[status],SMALL(IF(ISNUMBER(MATCH(orderHistory[customer],$D$9,0)*MATCH(YEAR(orderHistory[invoice_date]),$D$15,0)),MATCH(ROW(orderHistory[customer]),ROW(orderHistory[customer])),""),ROWS($A$15:A36)+$B$3))),IF($D$15="",INDEX(orderHistory[status],SMALL(IF(ISNUMBER(MATCH(orderHistory[customer],$D$9,0)*MATCH(orderHistory[order_type],$D$13,0)),MATCH(ROW(orderHistory[customer]),ROW(orderHistory[customer])),""),ROWS($A$15:A36)+$B$3)),INDEX(orderHistory[status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status],SMALL(IF(ISNUMBER(MATCH(orderHistory[customer],$D$9,0)*MATCH(orderHistory[status],$D$11,0)),MATCH(ROW(orderHistory[customer]),ROW(orderHistory[customer])),""),ROWS($A$15:A36)+$B$3)),INDEX(orderHistory[status],SMALL(IF(ISNUMBER(MATCH(orderHistory[customer],$D$9,0)*MATCH(orderHistory[status],$D$11,0)*MATCH(YEAR(orderHistory[status]),$D$15,0)),MATCH(ROW(orderHistory[customer]),ROW(orderHistory[customer])),""),ROWS($A$15:A36)+$B$3))),IF($D$15="",INDEX(orderHistory[status],SMALL(IF(ISNUMBER(MATCH(orderHistory[customer],$D$9,0)*MATCH(orderHistory[status],$D$11,0)*MATCH(orderHistory[order_type],$D$13,0)),MATCH(ROW(orderHistory[customer]),ROW(orderHistory[customer])),""),ROWS($A$15:A36)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W31" s="107"/>
      <c r="AQ31" s="462"/>
      <c r="AR31" s="502"/>
      <c r="AS31" s="505"/>
      <c r="AT31" s="506"/>
      <c r="AU31" s="421"/>
      <c r="AW31" s="460"/>
      <c r="BA31" s="505"/>
      <c r="BB31" s="776"/>
      <c r="BC31" s="776"/>
      <c r="BD31" s="776"/>
      <c r="BF31" s="414"/>
      <c r="BJ31" s="421"/>
      <c r="BK31" s="450"/>
      <c r="BL31" s="451"/>
      <c r="BM31" s="452"/>
      <c r="BN31" s="451"/>
      <c r="BO31" s="452"/>
      <c r="BZ31" s="167"/>
      <c r="CA31" s="154" t="str">
        <f>IF(BZ31="","",INDEX(bhpc_data[description],MATCH(BZ31,bhpc_data[sku],0)))</f>
        <v/>
      </c>
      <c r="CB31" s="159"/>
      <c r="CC31" s="357"/>
      <c r="CD31" s="160"/>
      <c r="CE31" s="360"/>
      <c r="CF31" s="161"/>
      <c r="CG31" s="164" t="str">
        <f>IFERROR(ROUNDUP(CB31/INDEX(bhpc_data[units_per_carton],MATCH(BZ31,bhpc_data[sku],0)),0),"")</f>
        <v/>
      </c>
      <c r="CH31" s="165" t="str">
        <f>IFERROR(ROUNDUP(CD31/INDEX(bhpc_data[units_per_carton],MATCH(BZ31,bhpc_data[sku],0)),0),"")</f>
        <v/>
      </c>
      <c r="CI31" s="165" t="str">
        <f>IFERROR(ROUNDUP(CF31/INDEX(bhpc_data[units_per_carton],MATCH(BZ31,bhpc_data[sku])),0),"")</f>
        <v/>
      </c>
      <c r="CJ31" s="165" t="str">
        <f>IFERROR(((CB31+CD31+CF31)/INDEX(bhpc_data[units_per_carton],MATCH(BZ31,bhpc_data[sku],0)))*INDEX(bhpc_data[net_weight],MATCH(BZ31,bhpc_data[sku],0)),"")</f>
        <v/>
      </c>
      <c r="CK31" s="165" t="str">
        <f>IFERROR(((CB31+CD31+CF31)/INDEX(bhpc_data[units_per_carton],MATCH(BZ31,bhpc_data[sku],0)))*INDEX(bhpc_data[gross_weight],MATCH(BZ31,bhpc_data[sku],0)),"")</f>
        <v/>
      </c>
      <c r="CL31" s="180" t="str">
        <f>IFERROR((CB31+CD31+CF31)/INDEX(bhpc_data[units_per_carton],MATCH(BZ31,bhpc_data[sku],0))*INDEX(bhpc_data[lenght],MATCH(BZ31,bhpc_data[sku],0))*INDEX(bhpc_data[width],MATCH(BZ31,bhpc_data[sku],0))*INDEX(bhpc_data[height],MATCH(BZ31,bhpc_data[sku],0))/1000000000,"")</f>
        <v/>
      </c>
      <c r="CM31" s="189" t="str">
        <f>IFERROR(INDEX(bhpc_data[category],MATCH(BZ31,bhpc_data[sku],0)),"")</f>
        <v/>
      </c>
      <c r="CN31" s="189" t="str">
        <f>IFERROR(INDEX(bhpc_data[size1],MATCH(BZ31,bhpc_data[sku],0)),"")</f>
        <v/>
      </c>
      <c r="CO31" s="388" t="str">
        <f>IFERROR(INDEX(bhpc_data[hs_code],MATCH(BZ31,bhpc_data[sku],0)),"")</f>
        <v/>
      </c>
      <c r="CP31" s="377" t="str">
        <f>IFERROR(INDEX(inventory[ESISTENZA],MATCH(BZ31,inventory[ARTICOLO],0)),"")</f>
        <v/>
      </c>
      <c r="CQ31" s="364" t="str">
        <f>IFERROR(IF(BZ31="","",IF($BX$15="SALE",INDEX(inventory[COSTO UNITARIO],MATCH(BZ31,inventory[ARTICOLO],0)),IF($BX$15="SAMPLING",INDEX(inventory[COSTO UNITARIO],MATCH(BZ31,inventory[ARTICOLO],0)),""))),"")</f>
        <v/>
      </c>
      <c r="CR31" s="365" t="str">
        <f t="shared" si="0"/>
        <v/>
      </c>
      <c r="CS31" s="264" t="str">
        <f t="shared" si="1"/>
        <v/>
      </c>
      <c r="DA31" s="432" t="str">
        <f>IFERROR(VLOOKUP(BZ31,bhpc_data[],22,FALSE),"")</f>
        <v/>
      </c>
      <c r="DH31" s="296"/>
      <c r="EE31" s="202" t="str" cm="1">
        <f t="array" ref="EE31">IFERROR(IF($EC$9="",IF($EC$11="",IF($EC$13="",INDEX(bhpc_data[sku],SMALL(MATCH(ROW(bhpc_data[sku]),ROW(bhpc_data[sku])),ROWS($A$15:A36)+$B$3)),INDEX(bhpc_data[sku],SMALL(IF(ISNUMBER(MATCH(bhpc_data[size1],$EC$13,0)),MATCH(ROW(bhpc_data[sku]),ROW(bhpc_data[sku])),""),ROWS($A$15:A36)+$B$3))),IF($EC$13="",INDEX(bhpc_data[sku],SMALL(IF(ISNUMBER(MATCH(bhpc_data[sex],$EC$11,0)),MATCH(ROW(bhpc_data[sku]),ROW(bhpc_data[sku])),""),ROWS($A$15:A36)+$B$3)),INDEX(bhpc_data[sku],SMALL(IF(ISNUMBER(MATCH(bhpc_data[sex],$EC$11,0)*MATCH(bhpc_data[size1],$EC$13,0)),MATCH(ROW(bhpc_data[sku]),ROW(bhpc_data[sku])),""),ROWS($A$15:A36)+$B$3)))),IF($EC$11="",IF($EC$13="",INDEX(bhpc_data[sku],SMALL(IF(ISNUMBER(MATCH(bhpc_data[category],$EC$9,0)),MATCH(ROW(bhpc_data[sku]),ROW(bhpc_data[sku])),""),ROWS($A$15:A36)+$B$3)),INDEX(bhpc_data[sku],SMALL(IF(ISNUMBER(MATCH(bhpc_data[category],$EC$9,0)*MATCH(bhpc_data[size1],$EC$13,0)),MATCH(ROW(bhpc_data[sku]),ROW(bhpc_data[sku])),""),ROWS($A$15:A36)+$B$3))),IF($EC$13="",INDEX(bhpc_data[sku],SMALL(IF(ISNUMBER(MATCH(bhpc_data[category],$EC$9,0)*MATCH(bhpc_data[sex],$EC$11,0)),MATCH(ROW(bhpc_data[sku]),ROW(bhpc_data[sku])),""),ROWS($A$15:A36)+$B$3)),INDEX(bhpc_data[sku],SMALL(IF(ISNUMBER(MATCH(bhpc_data[category],$EC$9,0)*MATCH(bhpc_data[sex],$EC$11,0)*MATCH(bhpc_data[size1],$EC$13,0)),MATCH(ROW(bhpc_data[sku]),ROW(bhpc_data[sku])),""),ROWS($A$15:A36)+$B$3))))),"")</f>
        <v>GS7025</v>
      </c>
      <c r="EF31" s="198" t="str" cm="1">
        <f t="array" ref="EF31">IFERROR(IF($EC$9="",IF($EC$11="",IF($EC$13="",INDEX(bhpc_data[description],SMALL(MATCH(ROW(bhpc_data[sku]),ROW(bhpc_data[sku])),ROWS($A$15:A36)+$B$3)),INDEX(bhpc_data[description],SMALL(IF(ISNUMBER(MATCH(bhpc_data[size1],$EC$13,0)),MATCH(ROW(bhpc_data[sku]),ROW(bhpc_data[sku])),""),ROWS($A$15:A36)+$B$3))),IF($EC$13="",INDEX(bhpc_data[description],SMALL(IF(ISNUMBER(MATCH(bhpc_data[sex],$EC$11,0)),MATCH(ROW(bhpc_data[sku]),ROW(bhpc_data[sku])),""),ROWS($A$15:A36)+$B$3)),INDEX(bhpc_data[description],SMALL(IF(ISNUMBER(MATCH(bhpc_data[sex],$EC$11,0)*MATCH(bhpc_data[size1],$EC$13,0)),MATCH(ROW(bhpc_data[sku]),ROW(bhpc_data[sku])),""),ROWS($A$15:A36)+$B$3)))),IF($EC$11="",IF($EC$13="",INDEX(bhpc_data[description],SMALL(IF(ISNUMBER(MATCH(bhpc_data[category],$EC$9,0)),MATCH(ROW(bhpc_data[sku]),ROW(bhpc_data[sku])),""),ROWS($A$15:A36)+$B$3)),INDEX(bhpc_data[description],SMALL(IF(ISNUMBER(MATCH(bhpc_data[category],$EC$9,0)*MATCH(bhpc_data[size1],$EC$13,0)),MATCH(ROW(bhpc_data[sku]),ROW(bhpc_data[sku])),""),ROWS($A$15:A36)+$B$3))),IF($EC$13="",INDEX(bhpc_data[description],SMALL(IF(ISNUMBER(MATCH(bhpc_data[category],$EC$9,0)*MATCH(bhpc_data[sex],$EC$11,0)),MATCH(ROW(bhpc_data[sku]),ROW(bhpc_data[sku])),""),ROWS($A$15:A36)+$B$3)),INDEX(bhpc_data[description],SMALL(IF(ISNUMBER(MATCH(bhpc_data[category],$EC$9,0)*MATCH(bhpc_data[sex],$EC$11,0)*MATCH(bhpc_data[size1],$EC$13,0)),MATCH(ROW(bhpc_data[sku]),ROW(bhpc_data[sku])),""),ROWS($A$15:A36)+$B$3))))),"")</f>
        <v>BHPC GIFT SET WOMEN #9 EDP50ML+DEO150ML+ROLLON50ML</v>
      </c>
      <c r="EG31" s="263">
        <f>IFERROR(IF(warehouse[[#This Row],[SKU]]="","",INDEX(inventory[ESISTENZA],MATCH(warehouse[[#This Row],[SKU]],inventory[ARTICOLO],0))),"")</f>
        <v>286</v>
      </c>
      <c r="EH31" s="328"/>
      <c r="EI31" s="328"/>
      <c r="EJ31" s="263"/>
      <c r="EK31" s="113"/>
      <c r="FF31" s="413"/>
      <c r="FG31" s="413"/>
      <c r="FH31" s="413"/>
      <c r="FI31" s="413"/>
      <c r="FJ31" s="413"/>
      <c r="FK31" s="413"/>
      <c r="FL31" s="413"/>
      <c r="FM31" s="413"/>
      <c r="FN31" s="413"/>
      <c r="FO31" s="413"/>
      <c r="FP31" s="413"/>
      <c r="FQ31" s="413"/>
      <c r="FR31" s="413"/>
      <c r="FS31" s="413"/>
      <c r="FT31" s="413"/>
      <c r="FU31" s="413"/>
      <c r="FV31" s="413"/>
      <c r="FW31" s="413"/>
      <c r="FX31" s="413"/>
      <c r="FY31" s="413"/>
      <c r="FZ31" s="413"/>
      <c r="GA31" s="413"/>
      <c r="GB31" s="413"/>
      <c r="GC31" s="413"/>
      <c r="GD31" s="413"/>
      <c r="GE31" s="413"/>
      <c r="GF31" s="413"/>
      <c r="GG31" s="413"/>
      <c r="GH31" s="413"/>
      <c r="GI31" s="413"/>
      <c r="GJ31" s="413"/>
      <c r="GK31" s="413"/>
      <c r="GL31" s="413"/>
      <c r="GM31" s="413"/>
      <c r="GN31" s="413"/>
      <c r="GO31" s="413"/>
      <c r="GP31" s="413"/>
      <c r="GQ31" s="413"/>
      <c r="GR31" s="413"/>
      <c r="GS31" s="413"/>
      <c r="GT31" s="413"/>
      <c r="GU31" s="413"/>
      <c r="GV31" s="413"/>
      <c r="GW31" s="413"/>
      <c r="GX31" s="413"/>
      <c r="GY31" s="413"/>
      <c r="GZ31" s="413"/>
      <c r="HA31" s="413"/>
      <c r="HB31" s="413"/>
      <c r="HC31" s="413"/>
      <c r="HD31" s="413"/>
      <c r="HE31" s="413"/>
      <c r="HF31" s="413"/>
      <c r="HG31" s="413"/>
      <c r="HH31" s="413"/>
      <c r="HI31" s="413"/>
      <c r="HJ31" s="413"/>
      <c r="HK31" s="413"/>
      <c r="HL31" s="413"/>
      <c r="HM31" s="413"/>
      <c r="HN31" s="413"/>
      <c r="HO31" s="413"/>
      <c r="HP31" s="413"/>
      <c r="HQ31" s="413"/>
      <c r="HR31" s="413"/>
      <c r="HS31" s="413"/>
      <c r="HT31" s="413"/>
    </row>
    <row r="32" spans="1:228" ht="15" customHeight="1" x14ac:dyDescent="0.35">
      <c r="L32" s="539" t="str">
        <f t="array" ref="L32">IFERROR(IF($D$9="",IF($D$11="",IF($D$13="",IF($D$15="",INDEX(orderHistory[customer],SMALL(MATCH(ROW(orderHistory[customer]),ROW(orderHistory[customer])),ROWS($A$15:A37)+$B$3)),INDEX(orderHistory[customer],SMALL(IF(ISNUMBER(MATCH(YEAR(orderHistory[invoice_date]),$D$15,0)),MATCH(ROW(orderHistory[customer]),ROW(orderHistory[customer])),""),ROWS($A$15:A37)+$B$3))),IF($D$15="",INDEX(orderHistory[customer],SMALL(IF(ISNUMBER(MATCH(orderHistory[order_type],$D$13,0)),MATCH(ROW(orderHistory[customer]),ROW(orderHistory[customer])),""),ROWS($A$15:A37)+$B$3)),INDEX(orderHistory[customer],SMALL(IF(ISNUMBER(MATCH(orderHistory[order_type],$D$13,0)*MATCH(YEAR(orderHistory[invoice_date]),$D$15,0)),MATCH(ROW(orderHistory[customer]),ROW(orderHistory[customer])),""),ROWS($A$15:A37)+$B$3)))),IF($D$13="",IF($D$15="",INDEX(orderHistory[customer],SMALL(IF(ISNUMBER(MATCH(orderHistory[status],$D$11,0)),MATCH(ROW(orderHistory[customer]),ROW(orderHistory[customer])),""),ROWS($A$15:A37)+$B$3)),INDEX(orderHistory[customer],SMALL(IF(ISNUMBER(MATCH(orderHistory[status],$D$11,0)*MATCH(YEAR(orderHistory[invoice_date]),$D$15,0)),MATCH(ROW(orderHistory[customer]),ROW(orderHistory[customer])),""),ROWS($A$15:A37)+$B$3))),IF($D$15="",INDEX(orderHistory[customer],SMALL(IF(ISNUMBER(MATCH(orderHistory[status],$D$11,0)*MATCH(orderHistory[order_type],$D$13,0)),MATCH(ROW(orderHistory[customer]),ROW(orderHistory[customer])),""),ROWS($A$15:A37)+$B$3)),INDEX(orderHistory[customer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customer],SMALL(IF(ISNUMBER(MATCH(orderHistory[customer],$D$9,0)),MATCH(ROW(orderHistory[customer]),ROW(orderHistory[customer])),""),ROWS($A$15:A37)+$B$3)),INDEX(orderHistory[customer],SMALL(IF(ISNUMBER(MATCH(orderHistory[customer],$D$9,0)*MATCH(YEAR(orderHistory[invoice_date]),$D$15,0)),MATCH(ROW(orderHistory[customer]),ROW(orderHistory[customer])),""),ROWS($A$15:A37)+$B$3))),IF($D$15="",INDEX(orderHistory[customer],SMALL(IF(ISNUMBER(MATCH(orderHistory[customer],$D$9,0)*MATCH(orderHistory[order_type],$D$13,0)),MATCH(ROW(orderHistory[customer]),ROW(orderHistory[customer])),""),ROWS($A$15:A37)+$B$3)),INDEX(orderHistory[customer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customer],SMALL(IF(ISNUMBER(MATCH(orderHistory[customer],$D$9,0)*MATCH(orderHistory[status],$D$11,0)),MATCH(ROW(orderHistory[customer]),ROW(orderHistory[customer])),""),ROWS($A$15:A37)+$B$3)),INDEX(orderHistory[customer],SMALL(IF(ISNUMBER(MATCH(orderHistory[customer],$D$9,0)*MATCH(orderHistory[status],$D$11,0)*MATCH(YEAR(orderHistory[invoice_date]),$D$15,0)),MATCH(ROW(orderHistory[customer]),ROW(orderHistory[customer])),""),ROWS($A$15:A37)+$B$3))),IF($D$15="",INDEX(orderHistory[customer],SMALL(IF(ISNUMBER(MATCH(orderHistory[customer],$D$9,0)*MATCH(orderHistory[status],$D$11,0)*MATCH(orderHistory[order_type],$D$13,0)),MATCH(ROW(orderHistory[customer]),ROW(orderHistory[customer])),""),ROWS($A$15:A37)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M32" s="540" t="str">
        <f t="array" ref="M32">IFERROR(IF($D$9="",IF($D$11="",IF($D$13="",IF($D$15="",INDEX(orderHistory[order_no],SMALL(MATCH(ROW(orderHistory[customer]),ROW(orderHistory[customer])),ROWS($A$15:A37)+$B$3)),INDEX(orderHistory[order_no],SMALL(IF(ISNUMBER(MATCH(YEAR(orderHistory[invoice_date]),$D$15,0)),MATCH(ROW(orderHistory[customer]),ROW(orderHistory[customer])),""),ROWS($A$15:A37)+$B$3))),IF($D$15="",INDEX(orderHistory[order_no],SMALL(IF(ISNUMBER(MATCH(orderHistory[order_type],$D$13,0)),MATCH(ROW(orderHistory[customer]),ROW(orderHistory[customer])),""),ROWS($A$15:A37)+$B$3)),INDEX(orderHistory[order_no],SMALL(IF(ISNUMBER(MATCH(orderHistory[order_type],$D$13,0)*MATCH(YEAR(orderHistory[invoice_date]),$D$15,0)),MATCH(ROW(orderHistory[customer]),ROW(orderHistory[customer])),""),ROWS($A$15:A37)+$B$3)))),IF($D$13="",IF($D$15="",INDEX(orderHistory[order_no],SMALL(IF(ISNUMBER(MATCH(orderHistory[status],$D$11,0)),MATCH(ROW(orderHistory[customer]),ROW(orderHistory[customer])),""),ROWS($A$15:A37)+$B$3)),INDEX(orderHistory[order_no],SMALL(IF(ISNUMBER(MATCH(orderHistory[status],$D$11,0)*MATCH(YEAR(orderHistory[invoice_date]),$D$15,0)),MATCH(ROW(orderHistory[customer]),ROW(orderHistory[customer])),""),ROWS($A$15:A37)+$B$3))),IF($D$15="",INDEX(orderHistory[order_no],SMALL(IF(ISNUMBER(MATCH(orderHistory[status],$D$11,0)*MATCH(orderHistory[order_type],$D$13,0)),MATCH(ROW(orderHistory[customer]),ROW(orderHistory[customer])),""),ROWS($A$15:A37)+$B$3)),INDEX(orderHistory[order_no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no],SMALL(IF(ISNUMBER(MATCH(orderHistory[customer],$D$9,0)),MATCH(ROW(orderHistory[customer]),ROW(orderHistory[customer])),""),ROWS($A$15:A37)+$B$3)),INDEX(orderHistory[order_no],SMALL(IF(ISNUMBER(MATCH(orderHistory[customer],$D$9,0)*MATCH(YEAR(orderHistory[invoice_date]),$D$15,0)),MATCH(ROW(orderHistory[customer]),ROW(orderHistory[customer])),""),ROWS($A$15:A37)+$B$3))),IF($D$15="",INDEX(orderHistory[order_no],SMALL(IF(ISNUMBER(MATCH(orderHistory[customer],$D$9,0)*MATCH(orderHistory[order_type],$D$13,0)),MATCH(ROW(orderHistory[customer]),ROW(orderHistory[customer])),""),ROWS($A$15:A37)+$B$3)),INDEX(orderHistory[order_no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no],SMALL(IF(ISNUMBER(MATCH(orderHistory[customer],$D$9,0)*MATCH(orderHistory[status],$D$11,0)),MATCH(ROW(orderHistory[customer]),ROW(orderHistory[customer])),""),ROWS($A$15:A37)+$B$3)),INDEX(orderHistory[order_no],SMALL(IF(ISNUMBER(MATCH(orderHistory[customer],$D$9,0)*MATCH(orderHistory[status],$D$11,0)*MATCH(YEAR(orderHistory[invoice_date]),$D$15,0)),MATCH(ROW(orderHistory[customer]),ROW(orderHistory[customer])),""),ROWS($A$15:A37)+$B$3))),IF($D$15="",INDEX(orderHistory[order_no],SMALL(IF(ISNUMBER(MATCH(orderHistory[customer],$D$9,0)*MATCH(orderHistory[status],$D$11,0)*MATCH(orderHistory[order_type],$D$13,0)),MATCH(ROW(orderHistory[customer]),ROW(orderHistory[customer])),""),ROWS($A$15:A37)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N32" s="541" t="str">
        <f t="array" ref="N32">IFERROR(IF($D$9="",IF($D$11="",IF($D$13="",IF($D$15="",INDEX(orderHistory[order_type],SMALL(MATCH(ROW(orderHistory[customer]),ROW(orderHistory[customer])),ROWS($A$15:A37)+$B$3)),INDEX(orderHistory[order_type],SMALL(IF(ISNUMBER(MATCH(YEAR(orderHistory[invoice_date]),$D$15,0)),MATCH(ROW(orderHistory[customer]),ROW(orderHistory[customer])),""),ROWS($A$15:A37)+$B$3))),IF($D$15="",INDEX(orderHistory[order_type],SMALL(IF(ISNUMBER(MATCH(orderHistory[order_type],$D$13,0)),MATCH(ROW(orderHistory[customer]),ROW(orderHistory[customer])),""),ROWS($A$15:A37)+$B$3)),INDEX(orderHistory[order_type],SMALL(IF(ISNUMBER(MATCH(orderHistory[order_type],$D$13,0)*MATCH(YEAR(orderHistory[invoice_date]),$D$15,0)),MATCH(ROW(orderHistory[customer]),ROW(orderHistory[customer])),""),ROWS($A$15:A37)+$B$3)))),IF($D$13="",IF($D$15="",INDEX(orderHistory[order_type],SMALL(IF(ISNUMBER(MATCH(orderHistory[status],$D$11,0)),MATCH(ROW(orderHistory[customer]),ROW(orderHistory[customer])),""),ROWS($A$15:A37)+$B$3)),INDEX(orderHistory[order_type],SMALL(IF(ISNUMBER(MATCH(orderHistory[status],$D$11,0)*MATCH(YEAR(orderHistory[invoice_date]),$D$15,0)),MATCH(ROW(orderHistory[customer]),ROW(orderHistory[customer])),""),ROWS($A$15:A37)+$B$3))),IF($D$15="",INDEX(orderHistory[order_type],SMALL(IF(ISNUMBER(MATCH(orderHistory[status],$D$11,0)*MATCH(orderHistory[order_type],$D$13,0)),MATCH(ROW(orderHistory[customer]),ROW(orderHistory[customer])),""),ROWS($A$15:A37)+$B$3)),INDEX(orderHistory[order_typ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type],SMALL(IF(ISNUMBER(MATCH(orderHistory[customer],$D$9,0)),MATCH(ROW(orderHistory[customer]),ROW(orderHistory[customer])),""),ROWS($A$15:A37)+$B$3)),INDEX(orderHistory[order_type],SMALL(IF(ISNUMBER(MATCH(orderHistory[customer],$D$9,0)*MATCH(YEAR(orderHistory[invoice_date]),$D$15,0)),MATCH(ROW(orderHistory[customer]),ROW(orderHistory[customer])),""),ROWS($A$15:A37)+$B$3))),IF($D$15="",INDEX(orderHistory[order_type],SMALL(IF(ISNUMBER(MATCH(orderHistory[customer],$D$9,0)*MATCH(orderHistory[order_type],$D$13,0)),MATCH(ROW(orderHistory[customer]),ROW(orderHistory[customer])),""),ROWS($A$15:A37)+$B$3)),INDEX(orderHistory[order_typ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type],SMALL(IF(ISNUMBER(MATCH(orderHistory[customer],$D$9,0)*MATCH(orderHistory[status],$D$11,0)),MATCH(ROW(orderHistory[customer]),ROW(orderHistory[customer])),""),ROWS($A$15:A37)+$B$3)),INDEX(orderHistory[order_type],SMALL(IF(ISNUMBER(MATCH(orderHistory[customer],$D$9,0)*MATCH(orderHistory[status],$D$11,0)*MATCH(YEAR(orderHistory[invoice_date]),$D$15,0)),MATCH(ROW(orderHistory[customer]),ROW(orderHistory[customer])),""),ROWS($A$15:A37)+$B$3))),IF($D$15="",INDEX(orderHistory[order_type],SMALL(IF(ISNUMBER(MATCH(orderHistory[customer],$D$9,0)*MATCH(orderHistory[status],$D$11,0)*MATCH(orderHistory[order_type],$D$13,0)),MATCH(ROW(orderHistory[customer]),ROW(orderHistory[customer])),""),ROWS($A$15:A37)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O32" s="542" t="str">
        <f t="array" ref="O32">IFERROR(IF($D$9="",IF($D$11="",IF($D$13="",IF($D$15="",INDEX(orderHistory[order_date],SMALL(MATCH(ROW(orderHistory[customer]),ROW(orderHistory[customer])),ROWS($A$15:A37)+$B$3)),INDEX(orderHistory[order_date],SMALL(IF(ISNUMBER(MATCH(YEAR(orderHistory[invoice_date]),$D$15,0)),MATCH(ROW(orderHistory[customer]),ROW(orderHistory[customer])),""),ROWS($A$15:A37)+$B$3))),IF($D$15="",INDEX(orderHistory[order_date],SMALL(IF(ISNUMBER(MATCH(orderHistory[order_type],$D$13,0)),MATCH(ROW(orderHistory[customer]),ROW(orderHistory[customer])),""),ROWS($A$15:A37)+$B$3)),INDEX(orderHistory[order_date],SMALL(IF(ISNUMBER(MATCH(orderHistory[order_type],$D$13,0)*MATCH(YEAR(orderHistory[invoice_date]),$D$15,0)),MATCH(ROW(orderHistory[customer]),ROW(orderHistory[customer])),""),ROWS($A$15:A37)+$B$3)))),IF($D$13="",IF($D$15="",INDEX(orderHistory[order_date],SMALL(IF(ISNUMBER(MATCH(orderHistory[status],$D$11,0)),MATCH(ROW(orderHistory[customer]),ROW(orderHistory[customer])),""),ROWS($A$15:A37)+$B$3)),INDEX(orderHistory[order_date],SMALL(IF(ISNUMBER(MATCH(orderHistory[status],$D$11,0)*MATCH(YEAR(orderHistory[invoice_date]),$D$15,0)),MATCH(ROW(orderHistory[customer]),ROW(orderHistory[customer])),""),ROWS($A$15:A37)+$B$3))),IF($D$15="",INDEX(orderHistory[order_date],SMALL(IF(ISNUMBER(MATCH(orderHistory[status],$D$11,0)*MATCH(orderHistory[order_type],$D$13,0)),MATCH(ROW(orderHistory[customer]),ROW(orderHistory[customer])),""),ROWS($A$15:A37)+$B$3)),INDEX(orderHistory[order_dat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date],SMALL(IF(ISNUMBER(MATCH(orderHistory[customer],$D$9,0)),MATCH(ROW(orderHistory[customer]),ROW(orderHistory[customer])),""),ROWS($A$15:A37)+$B$3)),INDEX(orderHistory[order_date],SMALL(IF(ISNUMBER(MATCH(orderHistory[customer],$D$9,0)*MATCH(YEAR(orderHistory[invoice_date]),$D$15,0)),MATCH(ROW(orderHistory[customer]),ROW(orderHistory[customer])),""),ROWS($A$15:A37)+$B$3))),IF($D$15="",INDEX(orderHistory[order_date],SMALL(IF(ISNUMBER(MATCH(orderHistory[customer],$D$9,0)*MATCH(orderHistory[order_type],$D$13,0)),MATCH(ROW(orderHistory[customer]),ROW(orderHistory[customer])),""),ROWS($A$15:A37)+$B$3)),INDEX(orderHistory[order_dat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date],SMALL(IF(ISNUMBER(MATCH(orderHistory[customer],$D$9,0)*MATCH(orderHistory[status],$D$11,0)),MATCH(ROW(orderHistory[customer]),ROW(orderHistory[customer])),""),ROWS($A$15:A37)+$B$3)),INDEX(orderHistory[order_date],SMALL(IF(ISNUMBER(MATCH(orderHistory[customer],$D$9,0)*MATCH(orderHistory[status],$D$11,0)*MATCH(YEAR(orderHistory[invoice_date]),$D$15,0)),MATCH(ROW(orderHistory[customer]),ROW(orderHistory[customer])),""),ROWS($A$15:A37)+$B$3))),IF($D$15="",INDEX(orderHistory[order_date],SMALL(IF(ISNUMBER(MATCH(orderHistory[customer],$D$9,0)*MATCH(orderHistory[status],$D$11,0)*MATCH(orderHistory[order_type],$D$13,0)),MATCH(ROW(orderHistory[customer]),ROW(orderHistory[customer])),""),ROWS($A$15:A37)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P32" s="543" t="str">
        <f t="array" ref="P32">IFERROR(IF($D$9="",IF($D$11="",IF($D$13="",IF($D$15="",INDEX(orderHistory[invoice_no],SMALL(MATCH(ROW(orderHistory[customer]),ROW(orderHistory[customer])),ROWS($A$15:A37)+$B$3)),INDEX(orderHistory[invoice_no],SMALL(IF(ISNUMBER(MATCH(YEAR(orderHistory[invoice_date]),$D$15,0)),MATCH(ROW(orderHistory[customer]),ROW(orderHistory[customer])),""),ROWS($A$15:A37)+$B$3))),IF($D$15="",INDEX(orderHistory[invoice_no],SMALL(IF(ISNUMBER(MATCH(orderHistory[order_type],$D$13,0)),MATCH(ROW(orderHistory[customer]),ROW(orderHistory[customer])),""),ROWS($A$15:A37)+$B$3)),INDEX(orderHistory[invoice_no],SMALL(IF(ISNUMBER(MATCH(orderHistory[order_type],$D$13,0)*MATCH(YEAR(orderHistory[invoice_date]),$D$15,0)),MATCH(ROW(orderHistory[customer]),ROW(orderHistory[customer])),""),ROWS($A$15:A37)+$B$3)))),IF($D$13="",IF($D$15="",INDEX(orderHistory[invoice_no],SMALL(IF(ISNUMBER(MATCH(orderHistory[status],$D$11,0)),MATCH(ROW(orderHistory[customer]),ROW(orderHistory[customer])),""),ROWS($A$15:A37)+$B$3)),INDEX(orderHistory[invoice_no],SMALL(IF(ISNUMBER(MATCH(orderHistory[status],$D$11,0)*MATCH(YEAR(orderHistory[invoice_date]),$D$15,0)),MATCH(ROW(orderHistory[customer]),ROW(orderHistory[customer])),""),ROWS($A$15:A37)+$B$3))),IF($D$15="",INDEX(orderHistory[invoice_no],SMALL(IF(ISNUMBER(MATCH(orderHistory[status],$D$11,0)*MATCH(orderHistory[order_type],$D$13,0)),MATCH(ROW(orderHistory[customer]),ROW(orderHistory[customer])),""),ROWS($A$15:A37)+$B$3)),INDEX(orderHistory[invoice_no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oice_no],SMALL(IF(ISNUMBER(MATCH(orderHistory[customer],$D$9,0)),MATCH(ROW(orderHistory[customer]),ROW(orderHistory[customer])),""),ROWS($A$15:A37)+$B$3)),INDEX(orderHistory[invoice_no],SMALL(IF(ISNUMBER(MATCH(orderHistory[customer],$D$9,0)*MATCH(YEAR(orderHistory[invoice_date]),$D$15,0)),MATCH(ROW(orderHistory[customer]),ROW(orderHistory[customer])),""),ROWS($A$15:A37)+$B$3))),IF($D$15="",INDEX(orderHistory[invoice_no],SMALL(IF(ISNUMBER(MATCH(orderHistory[customer],$D$9,0)*MATCH(orderHistory[order_type],$D$13,0)),MATCH(ROW(orderHistory[customer]),ROW(orderHistory[customer])),""),ROWS($A$15:A37)+$B$3)),INDEX(orderHistory[invoice_no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YEAR(orderHistory[invoice_date]),$D$15,0)),MATCH(ROW(orderHistory[customer]),ROW(orderHistory[customer])),""),ROWS($A$15:A37)+$B$3))),IF($D$15="",INDEX(orderHistory[invoice_no],SMALL(IF(ISNUMBER(MATCH(orderHistory[customer],$D$9,0)*MATCH(orderHistory[status],$D$11,0)*MATCH(orderHistory[order_type],$D$13,0)),MATCH(ROW(orderHistory[customer]),ROW(orderHistory[customer])),""),ROWS($A$15:A37)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Q32" s="544" t="str">
        <f t="array" ref="Q32">IFERROR(IF($D$9="",IF($D$11="",IF($D$13="",IF($D$15="",INDEX(orderHistory[invoice_date],SMALL(MATCH(ROW(orderHistory[customer]),ROW(orderHistory[customer])),ROWS($A$15:A37)+$B$3)),INDEX(orderHistory[invoice_date],SMALL(IF(ISNUMBER(MATCH(YEAR(orderHistory[invoice_date]),$D$15,0)),MATCH(ROW(orderHistory[customer]),ROW(orderHistory[customer])),""),ROWS($A$15:A37)+$B$3))),IF($D$15="",INDEX(orderHistory[invoice_date],SMALL(IF(ISNUMBER(MATCH(orderHistory[order_type],$D$13,0)),MATCH(ROW(orderHistory[customer]),ROW(orderHistory[customer])),""),ROWS($A$15:A37)+$B$3)),INDEX(orderHistory[invoice_date],SMALL(IF(ISNUMBER(MATCH(orderHistory[order_type],$D$13,0)*MATCH(YEAR(orderHistory[invoice_date]),$D$15,0)),MATCH(ROW(orderHistory[customer]),ROW(orderHistory[customer])),""),ROWS($A$15:A37)+$B$3)))),IF($D$13="",IF($D$15="",INDEX(orderHistory[invoice_date],SMALL(IF(ISNUMBER(MATCH(orderHistory[status],$D$11,0)),MATCH(ROW(orderHistory[customer]),ROW(orderHistory[customer])),""),ROWS($A$15:A37)+$B$3)),INDEX(orderHistory[invoice_date],SMALL(IF(ISNUMBER(MATCH(orderHistory[status],$D$11,0)*MATCH(YEAR(orderHistory[invoice_date]),$D$15,0)),MATCH(ROW(orderHistory[customer]),ROW(orderHistory[customer])),""),ROWS($A$15:A37)+$B$3))),IF($D$15="",INDEX(orderHistory[invoice_date],SMALL(IF(ISNUMBER(MATCH(orderHistory[status],$D$11,0)*MATCH(orderHistory[order_type],$D$13,0)),MATCH(ROW(orderHistory[customer]),ROW(orderHistory[customer])),""),ROWS($A$15:A37)+$B$3)),INDEX(orderHistory[invoice_dat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oice_date],SMALL(IF(ISNUMBER(MATCH(orderHistory[customer],$D$9,0)),MATCH(ROW(orderHistory[customer]),ROW(orderHistory[customer])),""),ROWS($A$15:A37)+$B$3)),INDEX(orderHistory[invoice_date],SMALL(IF(ISNUMBER(MATCH(orderHistory[customer],$D$9,0)*MATCH(YEAR(orderHistory[invoice_date]),$D$15,0)),MATCH(ROW(orderHistory[customer]),ROW(orderHistory[customer])),""),ROWS($A$15:A37)+$B$3))),IF($D$15="",INDEX(orderHistory[invoice_date],SMALL(IF(ISNUMBER(MATCH(orderHistory[customer],$D$9,0)*MATCH(orderHistory[order_type],$D$13,0)),MATCH(ROW(orderHistory[customer]),ROW(orderHistory[customer])),""),ROWS($A$15:A37)+$B$3)),INDEX(orderHistory[invoice_dat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YEAR(orderHistory[invoice_date]),$D$15,0)),MATCH(ROW(orderHistory[customer]),ROW(orderHistory[customer])),""),ROWS($A$15:A37)+$B$3))),IF($D$15="",INDEX(orderHistory[invoice_date],SMALL(IF(ISNUMBER(MATCH(orderHistory[customer],$D$9,0)*MATCH(orderHistory[status],$D$11,0)*MATCH(orderHistory[order_type],$D$13,0)),MATCH(ROW(orderHistory[customer]),ROW(orderHistory[customer])),""),ROWS($A$15:A37)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R32" s="545" t="str">
        <f t="array" ref="R32">IFERROR(IF($D$9="",IF($D$11="",IF($D$13="",IF($D$15="",INDEX(orderHistory[inv_amount],SMALL(MATCH(ROW(orderHistory[customer]),ROW(orderHistory[customer])),ROWS($A$15:A37)+$B$3)),INDEX(orderHistory[inv_amount],SMALL(IF(ISNUMBER(MATCH(YEAR(orderHistory[invoice_date]),$D$15,0)),MATCH(ROW(orderHistory[customer]),ROW(orderHistory[customer])),""),ROWS($A$15:A37)+$B$3))),IF($D$15="",INDEX(orderHistory[inv_amount],SMALL(IF(ISNUMBER(MATCH(orderHistory[order_type],$D$13,0)),MATCH(ROW(orderHistory[customer]),ROW(orderHistory[customer])),""),ROWS($A$15:A37)+$B$3)),INDEX(orderHistory[inv_amount],SMALL(IF(ISNUMBER(MATCH(orderHistory[order_type],$D$13,0)*MATCH(YEAR(orderHistory[invoice_date]),$D$15,0)),MATCH(ROW(orderHistory[customer]),ROW(orderHistory[customer])),""),ROWS($A$15:A37)+$B$3)))),IF($D$13="",IF($D$15="",INDEX(orderHistory[inv_amount],SMALL(IF(ISNUMBER(MATCH(orderHistory[status],$D$11,0)),MATCH(ROW(orderHistory[customer]),ROW(orderHistory[customer])),""),ROWS($A$15:A37)+$B$3)),INDEX(orderHistory[inv_amount],SMALL(IF(ISNUMBER(MATCH(orderHistory[status],$D$11,0)*MATCH(YEAR(orderHistory[invoice_date]),$D$15,0)),MATCH(ROW(orderHistory[customer]),ROW(orderHistory[customer])),""),ROWS($A$15:A37)+$B$3))),IF($D$15="",INDEX(orderHistory[inv_amount],SMALL(IF(ISNUMBER(MATCH(orderHistory[status],$D$11,0)*MATCH(orderHistory[order_type],$D$13,0)),MATCH(ROW(orderHistory[customer]),ROW(orderHistory[customer])),""),ROWS($A$15:A37)+$B$3)),INDEX(orderHistory[inv_amount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_amount],SMALL(IF(ISNUMBER(MATCH(orderHistory[customer],$D$9,0)),MATCH(ROW(orderHistory[customer]),ROW(orderHistory[customer])),""),ROWS($A$15:A37)+$B$3)),INDEX(orderHistory[inv_amount],SMALL(IF(ISNUMBER(MATCH(orderHistory[customer],$D$9,0)*MATCH(YEAR(orderHistory[invoice_date]),$D$15,0)),MATCH(ROW(orderHistory[customer]),ROW(orderHistory[customer])),""),ROWS($A$15:A37)+$B$3))),IF($D$15="",INDEX(orderHistory[inv_amount],SMALL(IF(ISNUMBER(MATCH(orderHistory[customer],$D$9,0)*MATCH(orderHistory[order_type],$D$13,0)),MATCH(ROW(orderHistory[customer]),ROW(orderHistory[customer])),""),ROWS($A$15:A37)+$B$3)),INDEX(orderHistory[inv_amount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_amount],SMALL(IF(ISNUMBER(MATCH(orderHistory[customer],$D$9,0)*MATCH(orderHistory[status],$D$11,0)),MATCH(ROW(orderHistory[customer]),ROW(orderHistory[customer])),""),ROWS($A$15:A37)+$B$3)),INDEX(orderHistory[inv_amount],SMALL(IF(ISNUMBER(MATCH(orderHistory[customer],$D$9,0)*MATCH(orderHistory[status],$D$11,0)*MATCH(YEAR(orderHistory[inv_amount]),$D$15,0)),MATCH(ROW(orderHistory[customer]),ROW(orderHistory[customer])),""),ROWS($A$15:A37)+$B$3))),IF($D$15="",INDEX(orderHistory[inv_amount],SMALL(IF(ISNUMBER(MATCH(orderHistory[customer],$D$9,0)*MATCH(orderHistory[status],$D$11,0)*MATCH(orderHistory[order_type],$D$13,0)),MATCH(ROW(orderHistory[customer]),ROW(orderHistory[customer])),""),ROWS($A$15:A37)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S32" s="546" t="str">
        <f t="shared" si="2"/>
        <v/>
      </c>
      <c r="T32" s="547" t="str">
        <f t="array" ref="T32">IFERROR(IF($D$9="",IF($D$11="",IF($D$13="",IF($D$15="",INDEX(orderHistory[payed],SMALL(MATCH(ROW(orderHistory[customer]),ROW(orderHistory[customer])),ROWS($A$15:A37)+$B$3)),INDEX(orderHistory[payed],SMALL(IF(ISNUMBER(MATCH(YEAR(orderHistory[invoice_date]),$D$15,0)),MATCH(ROW(orderHistory[customer]),ROW(orderHistory[customer])),""),ROWS($A$15:A37)+$B$3))),IF($D$15="",INDEX(orderHistory[payed],SMALL(IF(ISNUMBER(MATCH(orderHistory[order_type],$D$13,0)),MATCH(ROW(orderHistory[customer]),ROW(orderHistory[customer])),""),ROWS($A$15:A37)+$B$3)),INDEX(orderHistory[payed],SMALL(IF(ISNUMBER(MATCH(orderHistory[order_type],$D$13,0)*MATCH(YEAR(orderHistory[invoice_date]),$D$15,0)),MATCH(ROW(orderHistory[customer]),ROW(orderHistory[customer])),""),ROWS($A$15:A37)+$B$3)))),IF($D$13="",IF($D$15="",INDEX(orderHistory[payed],SMALL(IF(ISNUMBER(MATCH(orderHistory[status],$D$11,0)),MATCH(ROW(orderHistory[customer]),ROW(orderHistory[customer])),""),ROWS($A$15:A37)+$B$3)),INDEX(orderHistory[payed],SMALL(IF(ISNUMBER(MATCH(orderHistory[status],$D$11,0)*MATCH(YEAR(orderHistory[invoice_date]),$D$15,0)),MATCH(ROW(orderHistory[customer]),ROW(orderHistory[customer])),""),ROWS($A$15:A37)+$B$3))),IF($D$15="",INDEX(orderHistory[payed],SMALL(IF(ISNUMBER(MATCH(orderHistory[status],$D$11,0)*MATCH(orderHistory[order_type],$D$13,0)),MATCH(ROW(orderHistory[customer]),ROW(orderHistory[customer])),""),ROWS($A$15:A37)+$B$3)),INDEX(orderHistory[payed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payed],SMALL(IF(ISNUMBER(MATCH(orderHistory[customer],$D$9,0)),MATCH(ROW(orderHistory[customer]),ROW(orderHistory[customer])),""),ROWS($A$15:A37)+$B$3)),INDEX(orderHistory[payed],SMALL(IF(ISNUMBER(MATCH(orderHistory[customer],$D$9,0)*MATCH(YEAR(orderHistory[invoice_date]),$D$15,0)),MATCH(ROW(orderHistory[customer]),ROW(orderHistory[customer])),""),ROWS($A$15:A37)+$B$3))),IF($D$15="",INDEX(orderHistory[payed],SMALL(IF(ISNUMBER(MATCH(orderHistory[customer],$D$9,0)*MATCH(orderHistory[order_type],$D$13,0)),MATCH(ROW(orderHistory[customer]),ROW(orderHistory[customer])),""),ROWS($A$15:A37)+$B$3)),INDEX(orderHistory[payed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payed],SMALL(IF(ISNUMBER(MATCH(orderHistory[customer],$D$9,0)*MATCH(orderHistory[status],$D$11,0)),MATCH(ROW(orderHistory[customer]),ROW(orderHistory[customer])),""),ROWS($A$15:A37)+$B$3)),INDEX(orderHistory[payed],SMALL(IF(ISNUMBER(MATCH(orderHistory[customer],$D$9,0)*MATCH(orderHistory[status],$D$11,0)*MATCH(YEAR(orderHistory[payed]),$D$15,0)),MATCH(ROW(orderHistory[customer]),ROW(orderHistory[customer])),""),ROWS($A$15:A37)+$B$3))),IF($D$15="",INDEX(orderHistory[payed],SMALL(IF(ISNUMBER(MATCH(orderHistory[customer],$D$9,0)*MATCH(orderHistory[status],$D$11,0)*MATCH(orderHistory[order_type],$D$13,0)),MATCH(ROW(orderHistory[customer]),ROW(orderHistory[customer])),""),ROWS($A$15:A37)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U32" s="541" t="str">
        <f t="array" ref="U32">IFERROR(IF($D$9="",IF($D$11="",IF($D$13="",IF($D$15="",INDEX(orderHistory[shipping_method],SMALL(MATCH(ROW(orderHistory[customer]),ROW(orderHistory[customer])),ROWS($A$15:A37)+$B$3)),INDEX(orderHistory[shipping_method],SMALL(IF(ISNUMBER(MATCH(YEAR(orderHistory[invoice_date]),$D$15,0)),MATCH(ROW(orderHistory[customer]),ROW(orderHistory[customer])),""),ROWS($A$15:A37)+$B$3))),IF($D$15="",INDEX(orderHistory[shipping_method],SMALL(IF(ISNUMBER(MATCH(orderHistory[order_type],$D$13,0)),MATCH(ROW(orderHistory[customer]),ROW(orderHistory[customer])),""),ROWS($A$15:A37)+$B$3)),INDEX(orderHistory[shipping_method],SMALL(IF(ISNUMBER(MATCH(orderHistory[order_type],$D$13,0)*MATCH(YEAR(orderHistory[invoice_date]),$D$15,0)),MATCH(ROW(orderHistory[customer]),ROW(orderHistory[customer])),""),ROWS($A$15:A37)+$B$3)))),IF($D$13="",IF($D$15="",INDEX(orderHistory[shipping_method],SMALL(IF(ISNUMBER(MATCH(orderHistory[status],$D$11,0)),MATCH(ROW(orderHistory[customer]),ROW(orderHistory[customer])),""),ROWS($A$15:A37)+$B$3)),INDEX(orderHistory[shipping_method],SMALL(IF(ISNUMBER(MATCH(orderHistory[status],$D$11,0)*MATCH(YEAR(orderHistory[invoice_date]),$D$15,0)),MATCH(ROW(orderHistory[customer]),ROW(orderHistory[customer])),""),ROWS($A$15:A37)+$B$3))),IF($D$15="",INDEX(orderHistory[shipping_method],SMALL(IF(ISNUMBER(MATCH(orderHistory[status],$D$11,0)*MATCH(orderHistory[order_type],$D$13,0)),MATCH(ROW(orderHistory[customer]),ROW(orderHistory[customer])),""),ROWS($A$15:A37)+$B$3)),INDEX(orderHistory[shipping_method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shipping_method],SMALL(IF(ISNUMBER(MATCH(orderHistory[customer],$D$9,0)),MATCH(ROW(orderHistory[customer]),ROW(orderHistory[customer])),""),ROWS($A$15:A37)+$B$3)),INDEX(orderHistory[shipping_method],SMALL(IF(ISNUMBER(MATCH(orderHistory[customer],$D$9,0)*MATCH(YEAR(orderHistory[invoice_date]),$D$15,0)),MATCH(ROW(orderHistory[customer]),ROW(orderHistory[customer])),""),ROWS($A$15:A37)+$B$3))),IF($D$15="",INDEX(orderHistory[shipping_method],SMALL(IF(ISNUMBER(MATCH(orderHistory[customer],$D$9,0)*MATCH(orderHistory[order_type],$D$13,0)),MATCH(ROW(orderHistory[customer]),ROW(orderHistory[customer])),""),ROWS($A$15:A37)+$B$3)),INDEX(orderHistory[shipping_method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shipping_method],SMALL(IF(ISNUMBER(MATCH(orderHistory[customer],$D$9,0)*MATCH(orderHistory[status],$D$11,0)),MATCH(ROW(orderHistory[customer]),ROW(orderHistory[customer])),""),ROWS($A$15:A37)+$B$3)),INDEX(orderHistory[shipping_method],SMALL(IF(ISNUMBER(MATCH(orderHistory[customer],$D$9,0)*MATCH(orderHistory[status],$D$11,0)*MATCH(YEAR(orderHistory[shipping_method]),$D$15,0)),MATCH(ROW(orderHistory[customer]),ROW(orderHistory[customer])),""),ROWS($A$15:A37)+$B$3))),IF($D$15="",INDEX(orderHistory[shipping_method],SMALL(IF(ISNUMBER(MATCH(orderHistory[customer],$D$9,0)*MATCH(orderHistory[status],$D$11,0)*MATCH(orderHistory[order_type],$D$13,0)),MATCH(ROW(orderHistory[customer]),ROW(orderHistory[customer])),""),ROWS($A$15:A37)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V32" s="548" t="str">
        <f t="array" ref="V32">IFERROR(IF($D$9="",IF($D$11="",IF($D$13="",IF($D$15="",INDEX(orderHistory[status],SMALL(MATCH(ROW(orderHistory[customer]),ROW(orderHistory[customer])),ROWS($A$15:A37)+$B$3)),INDEX(orderHistory[status],SMALL(IF(ISNUMBER(MATCH(YEAR(orderHistory[invoice_date]),$D$15,0)),MATCH(ROW(orderHistory[customer]),ROW(orderHistory[customer])),""),ROWS($A$15:A37)+$B$3))),IF($D$15="",INDEX(orderHistory[status],SMALL(IF(ISNUMBER(MATCH(orderHistory[order_type],$D$13,0)),MATCH(ROW(orderHistory[customer]),ROW(orderHistory[customer])),""),ROWS($A$15:A37)+$B$3)),INDEX(orderHistory[status],SMALL(IF(ISNUMBER(MATCH(orderHistory[order_type],$D$13,0)*MATCH(YEAR(orderHistory[invoice_date]),$D$15,0)),MATCH(ROW(orderHistory[customer]),ROW(orderHistory[customer])),""),ROWS($A$15:A37)+$B$3)))),IF($D$13="",IF($D$15="",INDEX(orderHistory[status],SMALL(IF(ISNUMBER(MATCH(orderHistory[status],$D$11,0)),MATCH(ROW(orderHistory[customer]),ROW(orderHistory[customer])),""),ROWS($A$15:A37)+$B$3)),INDEX(orderHistory[status],SMALL(IF(ISNUMBER(MATCH(orderHistory[status],$D$11,0)*MATCH(YEAR(orderHistory[invoice_date]),$D$15,0)),MATCH(ROW(orderHistory[customer]),ROW(orderHistory[customer])),""),ROWS($A$15:A37)+$B$3))),IF($D$15="",INDEX(orderHistory[status],SMALL(IF(ISNUMBER(MATCH(orderHistory[status],$D$11,0)*MATCH(orderHistory[order_type],$D$13,0)),MATCH(ROW(orderHistory[customer]),ROW(orderHistory[customer])),""),ROWS($A$15:A37)+$B$3)),INDEX(orderHistory[status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status],SMALL(IF(ISNUMBER(MATCH(orderHistory[customer],$D$9,0)),MATCH(ROW(orderHistory[customer]),ROW(orderHistory[customer])),""),ROWS($A$15:A37)+$B$3)),INDEX(orderHistory[status],SMALL(IF(ISNUMBER(MATCH(orderHistory[customer],$D$9,0)*MATCH(YEAR(orderHistory[invoice_date]),$D$15,0)),MATCH(ROW(orderHistory[customer]),ROW(orderHistory[customer])),""),ROWS($A$15:A37)+$B$3))),IF($D$15="",INDEX(orderHistory[status],SMALL(IF(ISNUMBER(MATCH(orderHistory[customer],$D$9,0)*MATCH(orderHistory[order_type],$D$13,0)),MATCH(ROW(orderHistory[customer]),ROW(orderHistory[customer])),""),ROWS($A$15:A37)+$B$3)),INDEX(orderHistory[status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status],SMALL(IF(ISNUMBER(MATCH(orderHistory[customer],$D$9,0)*MATCH(orderHistory[status],$D$11,0)),MATCH(ROW(orderHistory[customer]),ROW(orderHistory[customer])),""),ROWS($A$15:A37)+$B$3)),INDEX(orderHistory[status],SMALL(IF(ISNUMBER(MATCH(orderHistory[customer],$D$9,0)*MATCH(orderHistory[status],$D$11,0)*MATCH(YEAR(orderHistory[status]),$D$15,0)),MATCH(ROW(orderHistory[customer]),ROW(orderHistory[customer])),""),ROWS($A$15:A37)+$B$3))),IF($D$15="",INDEX(orderHistory[status],SMALL(IF(ISNUMBER(MATCH(orderHistory[customer],$D$9,0)*MATCH(orderHistory[status],$D$11,0)*MATCH(orderHistory[order_type],$D$13,0)),MATCH(ROW(orderHistory[customer]),ROW(orderHistory[customer])),""),ROWS($A$15:A37)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W32" s="107" t="str">
        <f t="array" ref="W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Z32" s="296" t="str">
        <f t="array" ref="Z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A32" s="296" t="str">
        <f t="array" ref="AA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Q32" s="462"/>
      <c r="AR32" s="507"/>
      <c r="AS32" s="508"/>
      <c r="AT32" s="509"/>
      <c r="AU32" s="421"/>
      <c r="AW32" s="460"/>
      <c r="AX32" s="510"/>
      <c r="BA32" s="505"/>
      <c r="BB32" s="773"/>
      <c r="BC32" s="774"/>
      <c r="BD32" s="775"/>
      <c r="BF32" s="511"/>
      <c r="BJ32" s="421"/>
      <c r="BK32" s="450"/>
      <c r="BL32" s="451"/>
      <c r="BM32" s="452"/>
      <c r="BN32" s="451"/>
      <c r="BO32" s="452"/>
      <c r="BZ32" s="167"/>
      <c r="CA32" s="154" t="str">
        <f>IF(BZ32="","",INDEX(bhpc_data[description],MATCH(BZ32,bhpc_data[sku],0)))</f>
        <v/>
      </c>
      <c r="CB32" s="159"/>
      <c r="CC32" s="357"/>
      <c r="CD32" s="259"/>
      <c r="CE32" s="360"/>
      <c r="CF32" s="161"/>
      <c r="CG32" s="164" t="str">
        <f>IFERROR(ROUNDUP(CB32/INDEX(bhpc_data[units_per_carton],MATCH(BZ32,bhpc_data[sku],0)),0),"")</f>
        <v/>
      </c>
      <c r="CH32" s="165" t="str">
        <f>IFERROR(ROUNDUP(CD32/INDEX(bhpc_data[units_per_carton],MATCH(BZ32,bhpc_data[sku],0)),0),"")</f>
        <v/>
      </c>
      <c r="CI32" s="165" t="str">
        <f>IFERROR(ROUNDUP(CF32/INDEX(bhpc_data[units_per_carton],MATCH(BZ32,bhpc_data[sku])),0),"")</f>
        <v/>
      </c>
      <c r="CJ32" s="165" t="str">
        <f>IFERROR(((CB32+CD32+CF32)/INDEX(bhpc_data[units_per_carton],MATCH(BZ32,bhpc_data[sku],0)))*INDEX(bhpc_data[net_weight],MATCH(BZ32,bhpc_data[sku],0)),"")</f>
        <v/>
      </c>
      <c r="CK32" s="165" t="str">
        <f>IFERROR(((CB32+CD32+CF32)/INDEX(bhpc_data[units_per_carton],MATCH(BZ32,bhpc_data[sku],0)))*INDEX(bhpc_data[gross_weight],MATCH(BZ32,bhpc_data[sku],0)),"")</f>
        <v/>
      </c>
      <c r="CL32" s="180" t="str">
        <f>IFERROR((CB32+CD32+CF32)/INDEX(bhpc_data[units_per_carton],MATCH(BZ32,bhpc_data[sku],0))*INDEX(bhpc_data[lenght],MATCH(BZ32,bhpc_data[sku],0))*INDEX(bhpc_data[width],MATCH(BZ32,bhpc_data[sku],0))*INDEX(bhpc_data[height],MATCH(BZ32,bhpc_data[sku],0))/1000000000,"")</f>
        <v/>
      </c>
      <c r="CM32" s="189" t="str">
        <f>IFERROR(INDEX(bhpc_data[category],MATCH(BZ32,bhpc_data[sku],0)),"")</f>
        <v/>
      </c>
      <c r="CN32" s="189" t="str">
        <f>IFERROR(INDEX(bhpc_data[size1],MATCH(BZ32,bhpc_data[sku],0)),"")</f>
        <v/>
      </c>
      <c r="CO32" s="388" t="str">
        <f>IFERROR(INDEX(bhpc_data[hs_code],MATCH(BZ32,bhpc_data[sku],0)),"")</f>
        <v/>
      </c>
      <c r="CP32" s="377" t="str">
        <f>IFERROR(INDEX(inventory[ESISTENZA],MATCH(BZ32,inventory[ARTICOLO],0)),"")</f>
        <v/>
      </c>
      <c r="CQ32" s="364" t="str">
        <f>IFERROR(IF(BZ32="","",IF($BX$15="SALE",INDEX(inventory[COSTO UNITARIO],MATCH(BZ32,inventory[ARTICOLO],0)),IF($BX$15="SAMPLING",INDEX(inventory[COSTO UNITARIO],MATCH(BZ32,inventory[ARTICOLO],0)),""))),"")</f>
        <v/>
      </c>
      <c r="CR32" s="365" t="str">
        <f t="shared" si="0"/>
        <v/>
      </c>
      <c r="CS32" s="264" t="str">
        <f t="shared" si="1"/>
        <v/>
      </c>
      <c r="DA32" s="432" t="str">
        <f>IFERROR(VLOOKUP(BZ32,bhpc_data[],22,FALSE),"")</f>
        <v/>
      </c>
      <c r="DH32" s="296"/>
      <c r="EE32" s="202" t="str" cm="1">
        <f t="array" ref="EE32">IFERROR(IF($EC$9="",IF($EC$11="",IF($EC$13="",INDEX(bhpc_data[sku],SMALL(MATCH(ROW(bhpc_data[sku]),ROW(bhpc_data[sku])),ROWS($A$15:A37)+$B$3)),INDEX(bhpc_data[sku],SMALL(IF(ISNUMBER(MATCH(bhpc_data[size1],$EC$13,0)),MATCH(ROW(bhpc_data[sku]),ROW(bhpc_data[sku])),""),ROWS($A$15:A37)+$B$3))),IF($EC$13="",INDEX(bhpc_data[sku],SMALL(IF(ISNUMBER(MATCH(bhpc_data[sex],$EC$11,0)),MATCH(ROW(bhpc_data[sku]),ROW(bhpc_data[sku])),""),ROWS($A$15:A37)+$B$3)),INDEX(bhpc_data[sku],SMALL(IF(ISNUMBER(MATCH(bhpc_data[sex],$EC$11,0)*MATCH(bhpc_data[size1],$EC$13,0)),MATCH(ROW(bhpc_data[sku]),ROW(bhpc_data[sku])),""),ROWS($A$15:A37)+$B$3)))),IF($EC$11="",IF($EC$13="",INDEX(bhpc_data[sku],SMALL(IF(ISNUMBER(MATCH(bhpc_data[category],$EC$9,0)),MATCH(ROW(bhpc_data[sku]),ROW(bhpc_data[sku])),""),ROWS($A$15:A37)+$B$3)),INDEX(bhpc_data[sku],SMALL(IF(ISNUMBER(MATCH(bhpc_data[category],$EC$9,0)*MATCH(bhpc_data[size1],$EC$13,0)),MATCH(ROW(bhpc_data[sku]),ROW(bhpc_data[sku])),""),ROWS($A$15:A37)+$B$3))),IF($EC$13="",INDEX(bhpc_data[sku],SMALL(IF(ISNUMBER(MATCH(bhpc_data[category],$EC$9,0)*MATCH(bhpc_data[sex],$EC$11,0)),MATCH(ROW(bhpc_data[sku]),ROW(bhpc_data[sku])),""),ROWS($A$15:A37)+$B$3)),INDEX(bhpc_data[sku],SMALL(IF(ISNUMBER(MATCH(bhpc_data[category],$EC$9,0)*MATCH(bhpc_data[sex],$EC$11,0)*MATCH(bhpc_data[size1],$EC$13,0)),MATCH(ROW(bhpc_data[sku]),ROW(bhpc_data[sku])),""),ROWS($A$15:A37)+$B$3))))),"")</f>
        <v>GS7026</v>
      </c>
      <c r="EF32" s="198" t="str" cm="1">
        <f t="array" ref="EF32">IFERROR(IF($EC$9="",IF($EC$11="",IF($EC$13="",INDEX(bhpc_data[description],SMALL(MATCH(ROW(bhpc_data[sku]),ROW(bhpc_data[sku])),ROWS($A$15:A37)+$B$3)),INDEX(bhpc_data[description],SMALL(IF(ISNUMBER(MATCH(bhpc_data[size1],$EC$13,0)),MATCH(ROW(bhpc_data[sku]),ROW(bhpc_data[sku])),""),ROWS($A$15:A37)+$B$3))),IF($EC$13="",INDEX(bhpc_data[description],SMALL(IF(ISNUMBER(MATCH(bhpc_data[sex],$EC$11,0)),MATCH(ROW(bhpc_data[sku]),ROW(bhpc_data[sku])),""),ROWS($A$15:A37)+$B$3)),INDEX(bhpc_data[description],SMALL(IF(ISNUMBER(MATCH(bhpc_data[sex],$EC$11,0)*MATCH(bhpc_data[size1],$EC$13,0)),MATCH(ROW(bhpc_data[sku]),ROW(bhpc_data[sku])),""),ROWS($A$15:A37)+$B$3)))),IF($EC$11="",IF($EC$13="",INDEX(bhpc_data[description],SMALL(IF(ISNUMBER(MATCH(bhpc_data[category],$EC$9,0)),MATCH(ROW(bhpc_data[sku]),ROW(bhpc_data[sku])),""),ROWS($A$15:A37)+$B$3)),INDEX(bhpc_data[description],SMALL(IF(ISNUMBER(MATCH(bhpc_data[category],$EC$9,0)*MATCH(bhpc_data[size1],$EC$13,0)),MATCH(ROW(bhpc_data[sku]),ROW(bhpc_data[sku])),""),ROWS($A$15:A37)+$B$3))),IF($EC$13="",INDEX(bhpc_data[description],SMALL(IF(ISNUMBER(MATCH(bhpc_data[category],$EC$9,0)*MATCH(bhpc_data[sex],$EC$11,0)),MATCH(ROW(bhpc_data[sku]),ROW(bhpc_data[sku])),""),ROWS($A$15:A37)+$B$3)),INDEX(bhpc_data[description],SMALL(IF(ISNUMBER(MATCH(bhpc_data[category],$EC$9,0)*MATCH(bhpc_data[sex],$EC$11,0)*MATCH(bhpc_data[size1],$EC$13,0)),MATCH(ROW(bhpc_data[sku]),ROW(bhpc_data[sku])),""),ROWS($A$15:A37)+$B$3))))),"")</f>
        <v>BHPC GIFT SET WOMEN #8 EDP50ML+DEO150ML+ROLLON50ML</v>
      </c>
      <c r="EG32" s="263">
        <f>IFERROR(IF(warehouse[[#This Row],[SKU]]="","",INDEX(inventory[ESISTENZA],MATCH(warehouse[[#This Row],[SKU]],inventory[ARTICOLO],0))),"")</f>
        <v>286</v>
      </c>
      <c r="EH32" s="328"/>
      <c r="EI32" s="328"/>
      <c r="EJ32" s="263"/>
      <c r="EK32" s="113"/>
      <c r="FF32" s="413"/>
      <c r="FG32" s="413"/>
      <c r="FH32" s="413"/>
      <c r="FI32" s="413"/>
      <c r="FJ32" s="413"/>
      <c r="FK32" s="413"/>
      <c r="FL32" s="413"/>
      <c r="FM32" s="413"/>
      <c r="FN32" s="413"/>
      <c r="FO32" s="413"/>
      <c r="FP32" s="413"/>
      <c r="FQ32" s="413"/>
      <c r="FR32" s="413"/>
      <c r="FS32" s="413"/>
      <c r="FT32" s="413"/>
      <c r="FU32" s="413"/>
      <c r="FV32" s="413"/>
      <c r="FW32" s="413"/>
      <c r="FX32" s="413"/>
      <c r="FY32" s="413"/>
      <c r="FZ32" s="413"/>
      <c r="GA32" s="413"/>
      <c r="GB32" s="413"/>
      <c r="GC32" s="413"/>
      <c r="GD32" s="413"/>
      <c r="GE32" s="413"/>
      <c r="GF32" s="413"/>
      <c r="GG32" s="413"/>
      <c r="GH32" s="413"/>
      <c r="GI32" s="413"/>
      <c r="GJ32" s="413"/>
      <c r="GK32" s="413"/>
      <c r="GL32" s="413"/>
      <c r="GM32" s="413"/>
      <c r="GN32" s="413"/>
      <c r="GO32" s="413"/>
      <c r="GP32" s="413"/>
      <c r="GQ32" s="413"/>
      <c r="GR32" s="413"/>
      <c r="GS32" s="413"/>
      <c r="GT32" s="413"/>
      <c r="GU32" s="413"/>
      <c r="GV32" s="413"/>
      <c r="GW32" s="413"/>
      <c r="GX32" s="413"/>
      <c r="GY32" s="413"/>
      <c r="GZ32" s="413"/>
      <c r="HA32" s="413"/>
      <c r="HB32" s="413"/>
      <c r="HC32" s="413"/>
      <c r="HD32" s="413"/>
      <c r="HE32" s="413"/>
      <c r="HF32" s="413"/>
      <c r="HG32" s="413"/>
      <c r="HH32" s="413"/>
      <c r="HI32" s="413"/>
      <c r="HJ32" s="413"/>
      <c r="HK32" s="413"/>
      <c r="HL32" s="413"/>
      <c r="HM32" s="413"/>
      <c r="HN32" s="413"/>
      <c r="HO32" s="413"/>
      <c r="HP32" s="413"/>
      <c r="HQ32" s="413"/>
      <c r="HR32" s="413"/>
      <c r="HS32" s="413"/>
      <c r="HT32" s="413"/>
    </row>
    <row r="33" spans="10:228" ht="15" customHeight="1" x14ac:dyDescent="0.35">
      <c r="L33" s="539" t="str">
        <f t="array" ref="L33">IFERROR(IF($D$9="",IF($D$11="",IF($D$13="",IF($D$15="",INDEX(orderHistory[customer],SMALL(MATCH(ROW(orderHistory[customer]),ROW(orderHistory[customer])),ROWS($A$15:A38)+$B$3)),INDEX(orderHistory[customer],SMALL(IF(ISNUMBER(MATCH(YEAR(orderHistory[invoice_date]),$D$15,0)),MATCH(ROW(orderHistory[customer]),ROW(orderHistory[customer])),""),ROWS($A$15:A38)+$B$3))),IF($D$15="",INDEX(orderHistory[customer],SMALL(IF(ISNUMBER(MATCH(orderHistory[order_type],$D$13,0)),MATCH(ROW(orderHistory[customer]),ROW(orderHistory[customer])),""),ROWS($A$15:A38)+$B$3)),INDEX(orderHistory[customer],SMALL(IF(ISNUMBER(MATCH(orderHistory[order_type],$D$13,0)*MATCH(YEAR(orderHistory[invoice_date]),$D$15,0)),MATCH(ROW(orderHistory[customer]),ROW(orderHistory[customer])),""),ROWS($A$15:A38)+$B$3)))),IF($D$13="",IF($D$15="",INDEX(orderHistory[customer],SMALL(IF(ISNUMBER(MATCH(orderHistory[status],$D$11,0)),MATCH(ROW(orderHistory[customer]),ROW(orderHistory[customer])),""),ROWS($A$15:A38)+$B$3)),INDEX(orderHistory[customer],SMALL(IF(ISNUMBER(MATCH(orderHistory[status],$D$11,0)*MATCH(YEAR(orderHistory[invoice_date]),$D$15,0)),MATCH(ROW(orderHistory[customer]),ROW(orderHistory[customer])),""),ROWS($A$15:A38)+$B$3))),IF($D$15="",INDEX(orderHistory[customer],SMALL(IF(ISNUMBER(MATCH(orderHistory[status],$D$11,0)*MATCH(orderHistory[order_type],$D$13,0)),MATCH(ROW(orderHistory[customer]),ROW(orderHistory[customer])),""),ROWS($A$15:A38)+$B$3)),INDEX(orderHistory[customer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customer],SMALL(IF(ISNUMBER(MATCH(orderHistory[customer],$D$9,0)),MATCH(ROW(orderHistory[customer]),ROW(orderHistory[customer])),""),ROWS($A$15:A38)+$B$3)),INDEX(orderHistory[customer],SMALL(IF(ISNUMBER(MATCH(orderHistory[customer],$D$9,0)*MATCH(YEAR(orderHistory[invoice_date]),$D$15,0)),MATCH(ROW(orderHistory[customer]),ROW(orderHistory[customer])),""),ROWS($A$15:A38)+$B$3))),IF($D$15="",INDEX(orderHistory[customer],SMALL(IF(ISNUMBER(MATCH(orderHistory[customer],$D$9,0)*MATCH(orderHistory[order_type],$D$13,0)),MATCH(ROW(orderHistory[customer]),ROW(orderHistory[customer])),""),ROWS($A$15:A38)+$B$3)),INDEX(orderHistory[customer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customer],SMALL(IF(ISNUMBER(MATCH(orderHistory[customer],$D$9,0)*MATCH(orderHistory[status],$D$11,0)),MATCH(ROW(orderHistory[customer]),ROW(orderHistory[customer])),""),ROWS($A$15:A38)+$B$3)),INDEX(orderHistory[customer],SMALL(IF(ISNUMBER(MATCH(orderHistory[customer],$D$9,0)*MATCH(orderHistory[status],$D$11,0)*MATCH(YEAR(orderHistory[invoice_date]),$D$15,0)),MATCH(ROW(orderHistory[customer]),ROW(orderHistory[customer])),""),ROWS($A$15:A38)+$B$3))),IF($D$15="",INDEX(orderHistory[customer],SMALL(IF(ISNUMBER(MATCH(orderHistory[customer],$D$9,0)*MATCH(orderHistory[status],$D$11,0)*MATCH(orderHistory[order_type],$D$13,0)),MATCH(ROW(orderHistory[customer]),ROW(orderHistory[customer])),""),ROWS($A$15:A38)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M33" s="540" t="str">
        <f t="array" ref="M33">IFERROR(IF($D$9="",IF($D$11="",IF($D$13="",IF($D$15="",INDEX(orderHistory[order_no],SMALL(MATCH(ROW(orderHistory[customer]),ROW(orderHistory[customer])),ROWS($A$15:A38)+$B$3)),INDEX(orderHistory[order_no],SMALL(IF(ISNUMBER(MATCH(YEAR(orderHistory[invoice_date]),$D$15,0)),MATCH(ROW(orderHistory[customer]),ROW(orderHistory[customer])),""),ROWS($A$15:A38)+$B$3))),IF($D$15="",INDEX(orderHistory[order_no],SMALL(IF(ISNUMBER(MATCH(orderHistory[order_type],$D$13,0)),MATCH(ROW(orderHistory[customer]),ROW(orderHistory[customer])),""),ROWS($A$15:A38)+$B$3)),INDEX(orderHistory[order_no],SMALL(IF(ISNUMBER(MATCH(orderHistory[order_type],$D$13,0)*MATCH(YEAR(orderHistory[invoice_date]),$D$15,0)),MATCH(ROW(orderHistory[customer]),ROW(orderHistory[customer])),""),ROWS($A$15:A38)+$B$3)))),IF($D$13="",IF($D$15="",INDEX(orderHistory[order_no],SMALL(IF(ISNUMBER(MATCH(orderHistory[status],$D$11,0)),MATCH(ROW(orderHistory[customer]),ROW(orderHistory[customer])),""),ROWS($A$15:A38)+$B$3)),INDEX(orderHistory[order_no],SMALL(IF(ISNUMBER(MATCH(orderHistory[status],$D$11,0)*MATCH(YEAR(orderHistory[invoice_date]),$D$15,0)),MATCH(ROW(orderHistory[customer]),ROW(orderHistory[customer])),""),ROWS($A$15:A38)+$B$3))),IF($D$15="",INDEX(orderHistory[order_no],SMALL(IF(ISNUMBER(MATCH(orderHistory[status],$D$11,0)*MATCH(orderHistory[order_type],$D$13,0)),MATCH(ROW(orderHistory[customer]),ROW(orderHistory[customer])),""),ROWS($A$15:A38)+$B$3)),INDEX(orderHistory[order_no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no],SMALL(IF(ISNUMBER(MATCH(orderHistory[customer],$D$9,0)),MATCH(ROW(orderHistory[customer]),ROW(orderHistory[customer])),""),ROWS($A$15:A38)+$B$3)),INDEX(orderHistory[order_no],SMALL(IF(ISNUMBER(MATCH(orderHistory[customer],$D$9,0)*MATCH(YEAR(orderHistory[invoice_date]),$D$15,0)),MATCH(ROW(orderHistory[customer]),ROW(orderHistory[customer])),""),ROWS($A$15:A38)+$B$3))),IF($D$15="",INDEX(orderHistory[order_no],SMALL(IF(ISNUMBER(MATCH(orderHistory[customer],$D$9,0)*MATCH(orderHistory[order_type],$D$13,0)),MATCH(ROW(orderHistory[customer]),ROW(orderHistory[customer])),""),ROWS($A$15:A38)+$B$3)),INDEX(orderHistory[order_no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no],SMALL(IF(ISNUMBER(MATCH(orderHistory[customer],$D$9,0)*MATCH(orderHistory[status],$D$11,0)),MATCH(ROW(orderHistory[customer]),ROW(orderHistory[customer])),""),ROWS($A$15:A38)+$B$3)),INDEX(orderHistory[order_no],SMALL(IF(ISNUMBER(MATCH(orderHistory[customer],$D$9,0)*MATCH(orderHistory[status],$D$11,0)*MATCH(YEAR(orderHistory[invoice_date]),$D$15,0)),MATCH(ROW(orderHistory[customer]),ROW(orderHistory[customer])),""),ROWS($A$15:A38)+$B$3))),IF($D$15="",INDEX(orderHistory[order_no],SMALL(IF(ISNUMBER(MATCH(orderHistory[customer],$D$9,0)*MATCH(orderHistory[status],$D$11,0)*MATCH(orderHistory[order_type],$D$13,0)),MATCH(ROW(orderHistory[customer]),ROW(orderHistory[customer])),""),ROWS($A$15:A38)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N33" s="541" t="str">
        <f t="array" ref="N33">IFERROR(IF($D$9="",IF($D$11="",IF($D$13="",IF($D$15="",INDEX(orderHistory[order_type],SMALL(MATCH(ROW(orderHistory[customer]),ROW(orderHistory[customer])),ROWS($A$15:A38)+$B$3)),INDEX(orderHistory[order_type],SMALL(IF(ISNUMBER(MATCH(YEAR(orderHistory[invoice_date]),$D$15,0)),MATCH(ROW(orderHistory[customer]),ROW(orderHistory[customer])),""),ROWS($A$15:A38)+$B$3))),IF($D$15="",INDEX(orderHistory[order_type],SMALL(IF(ISNUMBER(MATCH(orderHistory[order_type],$D$13,0)),MATCH(ROW(orderHistory[customer]),ROW(orderHistory[customer])),""),ROWS($A$15:A38)+$B$3)),INDEX(orderHistory[order_type],SMALL(IF(ISNUMBER(MATCH(orderHistory[order_type],$D$13,0)*MATCH(YEAR(orderHistory[invoice_date]),$D$15,0)),MATCH(ROW(orderHistory[customer]),ROW(orderHistory[customer])),""),ROWS($A$15:A38)+$B$3)))),IF($D$13="",IF($D$15="",INDEX(orderHistory[order_type],SMALL(IF(ISNUMBER(MATCH(orderHistory[status],$D$11,0)),MATCH(ROW(orderHistory[customer]),ROW(orderHistory[customer])),""),ROWS($A$15:A38)+$B$3)),INDEX(orderHistory[order_type],SMALL(IF(ISNUMBER(MATCH(orderHistory[status],$D$11,0)*MATCH(YEAR(orderHistory[invoice_date]),$D$15,0)),MATCH(ROW(orderHistory[customer]),ROW(orderHistory[customer])),""),ROWS($A$15:A38)+$B$3))),IF($D$15="",INDEX(orderHistory[order_type],SMALL(IF(ISNUMBER(MATCH(orderHistory[status],$D$11,0)*MATCH(orderHistory[order_type],$D$13,0)),MATCH(ROW(orderHistory[customer]),ROW(orderHistory[customer])),""),ROWS($A$15:A38)+$B$3)),INDEX(orderHistory[order_typ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type],SMALL(IF(ISNUMBER(MATCH(orderHistory[customer],$D$9,0)),MATCH(ROW(orderHistory[customer]),ROW(orderHistory[customer])),""),ROWS($A$15:A38)+$B$3)),INDEX(orderHistory[order_type],SMALL(IF(ISNUMBER(MATCH(orderHistory[customer],$D$9,0)*MATCH(YEAR(orderHistory[invoice_date]),$D$15,0)),MATCH(ROW(orderHistory[customer]),ROW(orderHistory[customer])),""),ROWS($A$15:A38)+$B$3))),IF($D$15="",INDEX(orderHistory[order_type],SMALL(IF(ISNUMBER(MATCH(orderHistory[customer],$D$9,0)*MATCH(orderHistory[order_type],$D$13,0)),MATCH(ROW(orderHistory[customer]),ROW(orderHistory[customer])),""),ROWS($A$15:A38)+$B$3)),INDEX(orderHistory[order_typ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type],SMALL(IF(ISNUMBER(MATCH(orderHistory[customer],$D$9,0)*MATCH(orderHistory[status],$D$11,0)),MATCH(ROW(orderHistory[customer]),ROW(orderHistory[customer])),""),ROWS($A$15:A38)+$B$3)),INDEX(orderHistory[order_type],SMALL(IF(ISNUMBER(MATCH(orderHistory[customer],$D$9,0)*MATCH(orderHistory[status],$D$11,0)*MATCH(YEAR(orderHistory[invoice_date]),$D$15,0)),MATCH(ROW(orderHistory[customer]),ROW(orderHistory[customer])),""),ROWS($A$15:A38)+$B$3))),IF($D$15="",INDEX(orderHistory[order_type],SMALL(IF(ISNUMBER(MATCH(orderHistory[customer],$D$9,0)*MATCH(orderHistory[status],$D$11,0)*MATCH(orderHistory[order_type],$D$13,0)),MATCH(ROW(orderHistory[customer]),ROW(orderHistory[customer])),""),ROWS($A$15:A38)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O33" s="542" t="str">
        <f t="array" ref="O33">IFERROR(IF($D$9="",IF($D$11="",IF($D$13="",IF($D$15="",INDEX(orderHistory[order_date],SMALL(MATCH(ROW(orderHistory[customer]),ROW(orderHistory[customer])),ROWS($A$15:A38)+$B$3)),INDEX(orderHistory[order_date],SMALL(IF(ISNUMBER(MATCH(YEAR(orderHistory[invoice_date]),$D$15,0)),MATCH(ROW(orderHistory[customer]),ROW(orderHistory[customer])),""),ROWS($A$15:A38)+$B$3))),IF($D$15="",INDEX(orderHistory[order_date],SMALL(IF(ISNUMBER(MATCH(orderHistory[order_type],$D$13,0)),MATCH(ROW(orderHistory[customer]),ROW(orderHistory[customer])),""),ROWS($A$15:A38)+$B$3)),INDEX(orderHistory[order_date],SMALL(IF(ISNUMBER(MATCH(orderHistory[order_type],$D$13,0)*MATCH(YEAR(orderHistory[invoice_date]),$D$15,0)),MATCH(ROW(orderHistory[customer]),ROW(orderHistory[customer])),""),ROWS($A$15:A38)+$B$3)))),IF($D$13="",IF($D$15="",INDEX(orderHistory[order_date],SMALL(IF(ISNUMBER(MATCH(orderHistory[status],$D$11,0)),MATCH(ROW(orderHistory[customer]),ROW(orderHistory[customer])),""),ROWS($A$15:A38)+$B$3)),INDEX(orderHistory[order_date],SMALL(IF(ISNUMBER(MATCH(orderHistory[status],$D$11,0)*MATCH(YEAR(orderHistory[invoice_date]),$D$15,0)),MATCH(ROW(orderHistory[customer]),ROW(orderHistory[customer])),""),ROWS($A$15:A38)+$B$3))),IF($D$15="",INDEX(orderHistory[order_date],SMALL(IF(ISNUMBER(MATCH(orderHistory[status],$D$11,0)*MATCH(orderHistory[order_type],$D$13,0)),MATCH(ROW(orderHistory[customer]),ROW(orderHistory[customer])),""),ROWS($A$15:A38)+$B$3)),INDEX(orderHistory[order_dat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date],SMALL(IF(ISNUMBER(MATCH(orderHistory[customer],$D$9,0)),MATCH(ROW(orderHistory[customer]),ROW(orderHistory[customer])),""),ROWS($A$15:A38)+$B$3)),INDEX(orderHistory[order_date],SMALL(IF(ISNUMBER(MATCH(orderHistory[customer],$D$9,0)*MATCH(YEAR(orderHistory[invoice_date]),$D$15,0)),MATCH(ROW(orderHistory[customer]),ROW(orderHistory[customer])),""),ROWS($A$15:A38)+$B$3))),IF($D$15="",INDEX(orderHistory[order_date],SMALL(IF(ISNUMBER(MATCH(orderHistory[customer],$D$9,0)*MATCH(orderHistory[order_type],$D$13,0)),MATCH(ROW(orderHistory[customer]),ROW(orderHistory[customer])),""),ROWS($A$15:A38)+$B$3)),INDEX(orderHistory[order_dat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date],SMALL(IF(ISNUMBER(MATCH(orderHistory[customer],$D$9,0)*MATCH(orderHistory[status],$D$11,0)),MATCH(ROW(orderHistory[customer]),ROW(orderHistory[customer])),""),ROWS($A$15:A38)+$B$3)),INDEX(orderHistory[order_date],SMALL(IF(ISNUMBER(MATCH(orderHistory[customer],$D$9,0)*MATCH(orderHistory[status],$D$11,0)*MATCH(YEAR(orderHistory[invoice_date]),$D$15,0)),MATCH(ROW(orderHistory[customer]),ROW(orderHistory[customer])),""),ROWS($A$15:A38)+$B$3))),IF($D$15="",INDEX(orderHistory[order_date],SMALL(IF(ISNUMBER(MATCH(orderHistory[customer],$D$9,0)*MATCH(orderHistory[status],$D$11,0)*MATCH(orderHistory[order_type],$D$13,0)),MATCH(ROW(orderHistory[customer]),ROW(orderHistory[customer])),""),ROWS($A$15:A38)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P33" s="543" t="str">
        <f t="array" ref="P33">IFERROR(IF($D$9="",IF($D$11="",IF($D$13="",IF($D$15="",INDEX(orderHistory[invoice_no],SMALL(MATCH(ROW(orderHistory[customer]),ROW(orderHistory[customer])),ROWS($A$15:A38)+$B$3)),INDEX(orderHistory[invoice_no],SMALL(IF(ISNUMBER(MATCH(YEAR(orderHistory[invoice_date]),$D$15,0)),MATCH(ROW(orderHistory[customer]),ROW(orderHistory[customer])),""),ROWS($A$15:A38)+$B$3))),IF($D$15="",INDEX(orderHistory[invoice_no],SMALL(IF(ISNUMBER(MATCH(orderHistory[order_type],$D$13,0)),MATCH(ROW(orderHistory[customer]),ROW(orderHistory[customer])),""),ROWS($A$15:A38)+$B$3)),INDEX(orderHistory[invoice_no],SMALL(IF(ISNUMBER(MATCH(orderHistory[order_type],$D$13,0)*MATCH(YEAR(orderHistory[invoice_date]),$D$15,0)),MATCH(ROW(orderHistory[customer]),ROW(orderHistory[customer])),""),ROWS($A$15:A38)+$B$3)))),IF($D$13="",IF($D$15="",INDEX(orderHistory[invoice_no],SMALL(IF(ISNUMBER(MATCH(orderHistory[status],$D$11,0)),MATCH(ROW(orderHistory[customer]),ROW(orderHistory[customer])),""),ROWS($A$15:A38)+$B$3)),INDEX(orderHistory[invoice_no],SMALL(IF(ISNUMBER(MATCH(orderHistory[status],$D$11,0)*MATCH(YEAR(orderHistory[invoice_date]),$D$15,0)),MATCH(ROW(orderHistory[customer]),ROW(orderHistory[customer])),""),ROWS($A$15:A38)+$B$3))),IF($D$15="",INDEX(orderHistory[invoice_no],SMALL(IF(ISNUMBER(MATCH(orderHistory[status],$D$11,0)*MATCH(orderHistory[order_type],$D$13,0)),MATCH(ROW(orderHistory[customer]),ROW(orderHistory[customer])),""),ROWS($A$15:A38)+$B$3)),INDEX(orderHistory[invoice_no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oice_no],SMALL(IF(ISNUMBER(MATCH(orderHistory[customer],$D$9,0)),MATCH(ROW(orderHistory[customer]),ROW(orderHistory[customer])),""),ROWS($A$15:A38)+$B$3)),INDEX(orderHistory[invoice_no],SMALL(IF(ISNUMBER(MATCH(orderHistory[customer],$D$9,0)*MATCH(YEAR(orderHistory[invoice_date]),$D$15,0)),MATCH(ROW(orderHistory[customer]),ROW(orderHistory[customer])),""),ROWS($A$15:A38)+$B$3))),IF($D$15="",INDEX(orderHistory[invoice_no],SMALL(IF(ISNUMBER(MATCH(orderHistory[customer],$D$9,0)*MATCH(orderHistory[order_type],$D$13,0)),MATCH(ROW(orderHistory[customer]),ROW(orderHistory[customer])),""),ROWS($A$15:A38)+$B$3)),INDEX(orderHistory[invoice_no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YEAR(orderHistory[invoice_date]),$D$15,0)),MATCH(ROW(orderHistory[customer]),ROW(orderHistory[customer])),""),ROWS($A$15:A38)+$B$3))),IF($D$15="",INDEX(orderHistory[invoice_no],SMALL(IF(ISNUMBER(MATCH(orderHistory[customer],$D$9,0)*MATCH(orderHistory[status],$D$11,0)*MATCH(orderHistory[order_type],$D$13,0)),MATCH(ROW(orderHistory[customer]),ROW(orderHistory[customer])),""),ROWS($A$15:A38)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Q33" s="544" t="str">
        <f t="array" ref="Q33">IFERROR(IF($D$9="",IF($D$11="",IF($D$13="",IF($D$15="",INDEX(orderHistory[invoice_date],SMALL(MATCH(ROW(orderHistory[customer]),ROW(orderHistory[customer])),ROWS($A$15:A38)+$B$3)),INDEX(orderHistory[invoice_date],SMALL(IF(ISNUMBER(MATCH(YEAR(orderHistory[invoice_date]),$D$15,0)),MATCH(ROW(orderHistory[customer]),ROW(orderHistory[customer])),""),ROWS($A$15:A38)+$B$3))),IF($D$15="",INDEX(orderHistory[invoice_date],SMALL(IF(ISNUMBER(MATCH(orderHistory[order_type],$D$13,0)),MATCH(ROW(orderHistory[customer]),ROW(orderHistory[customer])),""),ROWS($A$15:A38)+$B$3)),INDEX(orderHistory[invoice_date],SMALL(IF(ISNUMBER(MATCH(orderHistory[order_type],$D$13,0)*MATCH(YEAR(orderHistory[invoice_date]),$D$15,0)),MATCH(ROW(orderHistory[customer]),ROW(orderHistory[customer])),""),ROWS($A$15:A38)+$B$3)))),IF($D$13="",IF($D$15="",INDEX(orderHistory[invoice_date],SMALL(IF(ISNUMBER(MATCH(orderHistory[status],$D$11,0)),MATCH(ROW(orderHistory[customer]),ROW(orderHistory[customer])),""),ROWS($A$15:A38)+$B$3)),INDEX(orderHistory[invoice_date],SMALL(IF(ISNUMBER(MATCH(orderHistory[status],$D$11,0)*MATCH(YEAR(orderHistory[invoice_date]),$D$15,0)),MATCH(ROW(orderHistory[customer]),ROW(orderHistory[customer])),""),ROWS($A$15:A38)+$B$3))),IF($D$15="",INDEX(orderHistory[invoice_date],SMALL(IF(ISNUMBER(MATCH(orderHistory[status],$D$11,0)*MATCH(orderHistory[order_type],$D$13,0)),MATCH(ROW(orderHistory[customer]),ROW(orderHistory[customer])),""),ROWS($A$15:A38)+$B$3)),INDEX(orderHistory[invoice_dat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oice_date],SMALL(IF(ISNUMBER(MATCH(orderHistory[customer],$D$9,0)),MATCH(ROW(orderHistory[customer]),ROW(orderHistory[customer])),""),ROWS($A$15:A38)+$B$3)),INDEX(orderHistory[invoice_date],SMALL(IF(ISNUMBER(MATCH(orderHistory[customer],$D$9,0)*MATCH(YEAR(orderHistory[invoice_date]),$D$15,0)),MATCH(ROW(orderHistory[customer]),ROW(orderHistory[customer])),""),ROWS($A$15:A38)+$B$3))),IF($D$15="",INDEX(orderHistory[invoice_date],SMALL(IF(ISNUMBER(MATCH(orderHistory[customer],$D$9,0)*MATCH(orderHistory[order_type],$D$13,0)),MATCH(ROW(orderHistory[customer]),ROW(orderHistory[customer])),""),ROWS($A$15:A38)+$B$3)),INDEX(orderHistory[invoice_dat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YEAR(orderHistory[invoice_date]),$D$15,0)),MATCH(ROW(orderHistory[customer]),ROW(orderHistory[customer])),""),ROWS($A$15:A38)+$B$3))),IF($D$15="",INDEX(orderHistory[invoice_date],SMALL(IF(ISNUMBER(MATCH(orderHistory[customer],$D$9,0)*MATCH(orderHistory[status],$D$11,0)*MATCH(orderHistory[order_type],$D$13,0)),MATCH(ROW(orderHistory[customer]),ROW(orderHistory[customer])),""),ROWS($A$15:A38)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R33" s="545" t="str">
        <f t="array" ref="R33">IFERROR(IF($D$9="",IF($D$11="",IF($D$13="",IF($D$15="",INDEX(orderHistory[inv_amount],SMALL(MATCH(ROW(orderHistory[customer]),ROW(orderHistory[customer])),ROWS($A$15:A38)+$B$3)),INDEX(orderHistory[inv_amount],SMALL(IF(ISNUMBER(MATCH(YEAR(orderHistory[invoice_date]),$D$15,0)),MATCH(ROW(orderHistory[customer]),ROW(orderHistory[customer])),""),ROWS($A$15:A38)+$B$3))),IF($D$15="",INDEX(orderHistory[inv_amount],SMALL(IF(ISNUMBER(MATCH(orderHistory[order_type],$D$13,0)),MATCH(ROW(orderHistory[customer]),ROW(orderHistory[customer])),""),ROWS($A$15:A38)+$B$3)),INDEX(orderHistory[inv_amount],SMALL(IF(ISNUMBER(MATCH(orderHistory[order_type],$D$13,0)*MATCH(YEAR(orderHistory[invoice_date]),$D$15,0)),MATCH(ROW(orderHistory[customer]),ROW(orderHistory[customer])),""),ROWS($A$15:A38)+$B$3)))),IF($D$13="",IF($D$15="",INDEX(orderHistory[inv_amount],SMALL(IF(ISNUMBER(MATCH(orderHistory[status],$D$11,0)),MATCH(ROW(orderHistory[customer]),ROW(orderHistory[customer])),""),ROWS($A$15:A38)+$B$3)),INDEX(orderHistory[inv_amount],SMALL(IF(ISNUMBER(MATCH(orderHistory[status],$D$11,0)*MATCH(YEAR(orderHistory[invoice_date]),$D$15,0)),MATCH(ROW(orderHistory[customer]),ROW(orderHistory[customer])),""),ROWS($A$15:A38)+$B$3))),IF($D$15="",INDEX(orderHistory[inv_amount],SMALL(IF(ISNUMBER(MATCH(orderHistory[status],$D$11,0)*MATCH(orderHistory[order_type],$D$13,0)),MATCH(ROW(orderHistory[customer]),ROW(orderHistory[customer])),""),ROWS($A$15:A38)+$B$3)),INDEX(orderHistory[inv_amount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_amount],SMALL(IF(ISNUMBER(MATCH(orderHistory[customer],$D$9,0)),MATCH(ROW(orderHistory[customer]),ROW(orderHistory[customer])),""),ROWS($A$15:A38)+$B$3)),INDEX(orderHistory[inv_amount],SMALL(IF(ISNUMBER(MATCH(orderHistory[customer],$D$9,0)*MATCH(YEAR(orderHistory[invoice_date]),$D$15,0)),MATCH(ROW(orderHistory[customer]),ROW(orderHistory[customer])),""),ROWS($A$15:A38)+$B$3))),IF($D$15="",INDEX(orderHistory[inv_amount],SMALL(IF(ISNUMBER(MATCH(orderHistory[customer],$D$9,0)*MATCH(orderHistory[order_type],$D$13,0)),MATCH(ROW(orderHistory[customer]),ROW(orderHistory[customer])),""),ROWS($A$15:A38)+$B$3)),INDEX(orderHistory[inv_amount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_amount],SMALL(IF(ISNUMBER(MATCH(orderHistory[customer],$D$9,0)*MATCH(orderHistory[status],$D$11,0)),MATCH(ROW(orderHistory[customer]),ROW(orderHistory[customer])),""),ROWS($A$15:A38)+$B$3)),INDEX(orderHistory[inv_amount],SMALL(IF(ISNUMBER(MATCH(orderHistory[customer],$D$9,0)*MATCH(orderHistory[status],$D$11,0)*MATCH(YEAR(orderHistory[inv_amount]),$D$15,0)),MATCH(ROW(orderHistory[customer]),ROW(orderHistory[customer])),""),ROWS($A$15:A38)+$B$3))),IF($D$15="",INDEX(orderHistory[inv_amount],SMALL(IF(ISNUMBER(MATCH(orderHistory[customer],$D$9,0)*MATCH(orderHistory[status],$D$11,0)*MATCH(orderHistory[order_type],$D$13,0)),MATCH(ROW(orderHistory[customer]),ROW(orderHistory[customer])),""),ROWS($A$15:A38)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S33" s="546" t="str">
        <f t="shared" si="2"/>
        <v/>
      </c>
      <c r="T33" s="547" t="str">
        <f t="array" ref="T33">IFERROR(IF($D$9="",IF($D$11="",IF($D$13="",IF($D$15="",INDEX(orderHistory[payed],SMALL(MATCH(ROW(orderHistory[customer]),ROW(orderHistory[customer])),ROWS($A$15:A38)+$B$3)),INDEX(orderHistory[payed],SMALL(IF(ISNUMBER(MATCH(YEAR(orderHistory[invoice_date]),$D$15,0)),MATCH(ROW(orderHistory[customer]),ROW(orderHistory[customer])),""),ROWS($A$15:A38)+$B$3))),IF($D$15="",INDEX(orderHistory[payed],SMALL(IF(ISNUMBER(MATCH(orderHistory[order_type],$D$13,0)),MATCH(ROW(orderHistory[customer]),ROW(orderHistory[customer])),""),ROWS($A$15:A38)+$B$3)),INDEX(orderHistory[payed],SMALL(IF(ISNUMBER(MATCH(orderHistory[order_type],$D$13,0)*MATCH(YEAR(orderHistory[invoice_date]),$D$15,0)),MATCH(ROW(orderHistory[customer]),ROW(orderHistory[customer])),""),ROWS($A$15:A38)+$B$3)))),IF($D$13="",IF($D$15="",INDEX(orderHistory[payed],SMALL(IF(ISNUMBER(MATCH(orderHistory[status],$D$11,0)),MATCH(ROW(orderHistory[customer]),ROW(orderHistory[customer])),""),ROWS($A$15:A38)+$B$3)),INDEX(orderHistory[payed],SMALL(IF(ISNUMBER(MATCH(orderHistory[status],$D$11,0)*MATCH(YEAR(orderHistory[invoice_date]),$D$15,0)),MATCH(ROW(orderHistory[customer]),ROW(orderHistory[customer])),""),ROWS($A$15:A38)+$B$3))),IF($D$15="",INDEX(orderHistory[payed],SMALL(IF(ISNUMBER(MATCH(orderHistory[status],$D$11,0)*MATCH(orderHistory[order_type],$D$13,0)),MATCH(ROW(orderHistory[customer]),ROW(orderHistory[customer])),""),ROWS($A$15:A38)+$B$3)),INDEX(orderHistory[payed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payed],SMALL(IF(ISNUMBER(MATCH(orderHistory[customer],$D$9,0)),MATCH(ROW(orderHistory[customer]),ROW(orderHistory[customer])),""),ROWS($A$15:A38)+$B$3)),INDEX(orderHistory[payed],SMALL(IF(ISNUMBER(MATCH(orderHistory[customer],$D$9,0)*MATCH(YEAR(orderHistory[invoice_date]),$D$15,0)),MATCH(ROW(orderHistory[customer]),ROW(orderHistory[customer])),""),ROWS($A$15:A38)+$B$3))),IF($D$15="",INDEX(orderHistory[payed],SMALL(IF(ISNUMBER(MATCH(orderHistory[customer],$D$9,0)*MATCH(orderHistory[order_type],$D$13,0)),MATCH(ROW(orderHistory[customer]),ROW(orderHistory[customer])),""),ROWS($A$15:A38)+$B$3)),INDEX(orderHistory[payed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payed],SMALL(IF(ISNUMBER(MATCH(orderHistory[customer],$D$9,0)*MATCH(orderHistory[status],$D$11,0)),MATCH(ROW(orderHistory[customer]),ROW(orderHistory[customer])),""),ROWS($A$15:A38)+$B$3)),INDEX(orderHistory[payed],SMALL(IF(ISNUMBER(MATCH(orderHistory[customer],$D$9,0)*MATCH(orderHistory[status],$D$11,0)*MATCH(YEAR(orderHistory[payed]),$D$15,0)),MATCH(ROW(orderHistory[customer]),ROW(orderHistory[customer])),""),ROWS($A$15:A38)+$B$3))),IF($D$15="",INDEX(orderHistory[payed],SMALL(IF(ISNUMBER(MATCH(orderHistory[customer],$D$9,0)*MATCH(orderHistory[status],$D$11,0)*MATCH(orderHistory[order_type],$D$13,0)),MATCH(ROW(orderHistory[customer]),ROW(orderHistory[customer])),""),ROWS($A$15:A38)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U33" s="541" t="str">
        <f t="array" ref="U33">IFERROR(IF($D$9="",IF($D$11="",IF($D$13="",IF($D$15="",INDEX(orderHistory[shipping_method],SMALL(MATCH(ROW(orderHistory[customer]),ROW(orderHistory[customer])),ROWS($A$15:A38)+$B$3)),INDEX(orderHistory[shipping_method],SMALL(IF(ISNUMBER(MATCH(YEAR(orderHistory[invoice_date]),$D$15,0)),MATCH(ROW(orderHistory[customer]),ROW(orderHistory[customer])),""),ROWS($A$15:A38)+$B$3))),IF($D$15="",INDEX(orderHistory[shipping_method],SMALL(IF(ISNUMBER(MATCH(orderHistory[order_type],$D$13,0)),MATCH(ROW(orderHistory[customer]),ROW(orderHistory[customer])),""),ROWS($A$15:A38)+$B$3)),INDEX(orderHistory[shipping_method],SMALL(IF(ISNUMBER(MATCH(orderHistory[order_type],$D$13,0)*MATCH(YEAR(orderHistory[invoice_date]),$D$15,0)),MATCH(ROW(orderHistory[customer]),ROW(orderHistory[customer])),""),ROWS($A$15:A38)+$B$3)))),IF($D$13="",IF($D$15="",INDEX(orderHistory[shipping_method],SMALL(IF(ISNUMBER(MATCH(orderHistory[status],$D$11,0)),MATCH(ROW(orderHistory[customer]),ROW(orderHistory[customer])),""),ROWS($A$15:A38)+$B$3)),INDEX(orderHistory[shipping_method],SMALL(IF(ISNUMBER(MATCH(orderHistory[status],$D$11,0)*MATCH(YEAR(orderHistory[invoice_date]),$D$15,0)),MATCH(ROW(orderHistory[customer]),ROW(orderHistory[customer])),""),ROWS($A$15:A38)+$B$3))),IF($D$15="",INDEX(orderHistory[shipping_method],SMALL(IF(ISNUMBER(MATCH(orderHistory[status],$D$11,0)*MATCH(orderHistory[order_type],$D$13,0)),MATCH(ROW(orderHistory[customer]),ROW(orderHistory[customer])),""),ROWS($A$15:A38)+$B$3)),INDEX(orderHistory[shipping_method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shipping_method],SMALL(IF(ISNUMBER(MATCH(orderHistory[customer],$D$9,0)),MATCH(ROW(orderHistory[customer]),ROW(orderHistory[customer])),""),ROWS($A$15:A38)+$B$3)),INDEX(orderHistory[shipping_method],SMALL(IF(ISNUMBER(MATCH(orderHistory[customer],$D$9,0)*MATCH(YEAR(orderHistory[invoice_date]),$D$15,0)),MATCH(ROW(orderHistory[customer]),ROW(orderHistory[customer])),""),ROWS($A$15:A38)+$B$3))),IF($D$15="",INDEX(orderHistory[shipping_method],SMALL(IF(ISNUMBER(MATCH(orderHistory[customer],$D$9,0)*MATCH(orderHistory[order_type],$D$13,0)),MATCH(ROW(orderHistory[customer]),ROW(orderHistory[customer])),""),ROWS($A$15:A38)+$B$3)),INDEX(orderHistory[shipping_method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shipping_method],SMALL(IF(ISNUMBER(MATCH(orderHistory[customer],$D$9,0)*MATCH(orderHistory[status],$D$11,0)),MATCH(ROW(orderHistory[customer]),ROW(orderHistory[customer])),""),ROWS($A$15:A38)+$B$3)),INDEX(orderHistory[shipping_method],SMALL(IF(ISNUMBER(MATCH(orderHistory[customer],$D$9,0)*MATCH(orderHistory[status],$D$11,0)*MATCH(YEAR(orderHistory[shipping_method]),$D$15,0)),MATCH(ROW(orderHistory[customer]),ROW(orderHistory[customer])),""),ROWS($A$15:A38)+$B$3))),IF($D$15="",INDEX(orderHistory[shipping_method],SMALL(IF(ISNUMBER(MATCH(orderHistory[customer],$D$9,0)*MATCH(orderHistory[status],$D$11,0)*MATCH(orderHistory[order_type],$D$13,0)),MATCH(ROW(orderHistory[customer]),ROW(orderHistory[customer])),""),ROWS($A$15:A38)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V33" s="548" t="str">
        <f t="array" ref="V33">IFERROR(IF($D$9="",IF($D$11="",IF($D$13="",IF($D$15="",INDEX(orderHistory[status],SMALL(MATCH(ROW(orderHistory[customer]),ROW(orderHistory[customer])),ROWS($A$15:A38)+$B$3)),INDEX(orderHistory[status],SMALL(IF(ISNUMBER(MATCH(YEAR(orderHistory[invoice_date]),$D$15,0)),MATCH(ROW(orderHistory[customer]),ROW(orderHistory[customer])),""),ROWS($A$15:A38)+$B$3))),IF($D$15="",INDEX(orderHistory[status],SMALL(IF(ISNUMBER(MATCH(orderHistory[order_type],$D$13,0)),MATCH(ROW(orderHistory[customer]),ROW(orderHistory[customer])),""),ROWS($A$15:A38)+$B$3)),INDEX(orderHistory[status],SMALL(IF(ISNUMBER(MATCH(orderHistory[order_type],$D$13,0)*MATCH(YEAR(orderHistory[invoice_date]),$D$15,0)),MATCH(ROW(orderHistory[customer]),ROW(orderHistory[customer])),""),ROWS($A$15:A38)+$B$3)))),IF($D$13="",IF($D$15="",INDEX(orderHistory[status],SMALL(IF(ISNUMBER(MATCH(orderHistory[status],$D$11,0)),MATCH(ROW(orderHistory[customer]),ROW(orderHistory[customer])),""),ROWS($A$15:A38)+$B$3)),INDEX(orderHistory[status],SMALL(IF(ISNUMBER(MATCH(orderHistory[status],$D$11,0)*MATCH(YEAR(orderHistory[invoice_date]),$D$15,0)),MATCH(ROW(orderHistory[customer]),ROW(orderHistory[customer])),""),ROWS($A$15:A38)+$B$3))),IF($D$15="",INDEX(orderHistory[status],SMALL(IF(ISNUMBER(MATCH(orderHistory[status],$D$11,0)*MATCH(orderHistory[order_type],$D$13,0)),MATCH(ROW(orderHistory[customer]),ROW(orderHistory[customer])),""),ROWS($A$15:A38)+$B$3)),INDEX(orderHistory[status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status],SMALL(IF(ISNUMBER(MATCH(orderHistory[customer],$D$9,0)),MATCH(ROW(orderHistory[customer]),ROW(orderHistory[customer])),""),ROWS($A$15:A38)+$B$3)),INDEX(orderHistory[status],SMALL(IF(ISNUMBER(MATCH(orderHistory[customer],$D$9,0)*MATCH(YEAR(orderHistory[invoice_date]),$D$15,0)),MATCH(ROW(orderHistory[customer]),ROW(orderHistory[customer])),""),ROWS($A$15:A38)+$B$3))),IF($D$15="",INDEX(orderHistory[status],SMALL(IF(ISNUMBER(MATCH(orderHistory[customer],$D$9,0)*MATCH(orderHistory[order_type],$D$13,0)),MATCH(ROW(orderHistory[customer]),ROW(orderHistory[customer])),""),ROWS($A$15:A38)+$B$3)),INDEX(orderHistory[status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status],SMALL(IF(ISNUMBER(MATCH(orderHistory[customer],$D$9,0)*MATCH(orderHistory[status],$D$11,0)),MATCH(ROW(orderHistory[customer]),ROW(orderHistory[customer])),""),ROWS($A$15:A38)+$B$3)),INDEX(orderHistory[status],SMALL(IF(ISNUMBER(MATCH(orderHistory[customer],$D$9,0)*MATCH(orderHistory[status],$D$11,0)*MATCH(YEAR(orderHistory[status]),$D$15,0)),MATCH(ROW(orderHistory[customer]),ROW(orderHistory[customer])),""),ROWS($A$15:A38)+$B$3))),IF($D$15="",INDEX(orderHistory[status],SMALL(IF(ISNUMBER(MATCH(orderHistory[customer],$D$9,0)*MATCH(orderHistory[status],$D$11,0)*MATCH(orderHistory[order_type],$D$13,0)),MATCH(ROW(orderHistory[customer]),ROW(orderHistory[customer])),""),ROWS($A$15:A38)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W33" s="107"/>
      <c r="AQ33" s="462"/>
      <c r="AR33" s="782"/>
      <c r="AS33" s="783"/>
      <c r="AT33" s="784"/>
      <c r="AU33" s="421"/>
      <c r="AW33" s="460"/>
      <c r="BJ33" s="421"/>
      <c r="BK33" s="450"/>
      <c r="BL33" s="451"/>
      <c r="BM33" s="452"/>
      <c r="BN33" s="451"/>
      <c r="BO33" s="452"/>
      <c r="BX33" s="521"/>
      <c r="BZ33" s="167"/>
      <c r="CA33" s="154" t="str">
        <f>IF(BZ33="","",INDEX(bhpc_data[description],MATCH(BZ33,bhpc_data[sku],0)))</f>
        <v/>
      </c>
      <c r="CB33" s="166"/>
      <c r="CC33" s="358"/>
      <c r="CD33" s="160"/>
      <c r="CE33" s="360"/>
      <c r="CF33" s="161"/>
      <c r="CG33" s="164" t="str">
        <f>IFERROR(ROUNDUP(CB33/INDEX(bhpc_data[units_per_carton],MATCH(BZ33,bhpc_data[sku],0)),0),"")</f>
        <v/>
      </c>
      <c r="CH33" s="165" t="str">
        <f>IFERROR(ROUNDUP(CD33/INDEX(bhpc_data[units_per_carton],MATCH(BZ33,bhpc_data[sku],0)),0),"")</f>
        <v/>
      </c>
      <c r="CI33" s="165" t="str">
        <f>IFERROR(ROUNDUP(CF33/INDEX(bhpc_data[units_per_carton],MATCH(BZ33,bhpc_data[sku])),0),"")</f>
        <v/>
      </c>
      <c r="CJ33" s="165" t="str">
        <f>IFERROR(((CB33+CD33+CF33)/INDEX(bhpc_data[units_per_carton],MATCH(BZ33,bhpc_data[sku],0)))*INDEX(bhpc_data[net_weight],MATCH(BZ33,bhpc_data[sku],0)),"")</f>
        <v/>
      </c>
      <c r="CK33" s="165" t="str">
        <f>IFERROR(((CB33+CD33+CF33)/INDEX(bhpc_data[units_per_carton],MATCH(BZ33,bhpc_data[sku],0)))*INDEX(bhpc_data[gross_weight],MATCH(BZ33,bhpc_data[sku],0)),"")</f>
        <v/>
      </c>
      <c r="CL33" s="180" t="str">
        <f>IFERROR((CB33+CD33+CF33)/INDEX(bhpc_data[units_per_carton],MATCH(BZ33,bhpc_data[sku],0))*INDEX(bhpc_data[lenght],MATCH(BZ33,bhpc_data[sku],0))*INDEX(bhpc_data[width],MATCH(BZ33,bhpc_data[sku],0))*INDEX(bhpc_data[height],MATCH(BZ33,bhpc_data[sku],0))/1000000000,"")</f>
        <v/>
      </c>
      <c r="CM33" s="189" t="str">
        <f>IFERROR(INDEX(bhpc_data[category],MATCH(BZ33,bhpc_data[sku],0)),"")</f>
        <v/>
      </c>
      <c r="CN33" s="189" t="str">
        <f>IFERROR(INDEX(bhpc_data[size1],MATCH(BZ33,bhpc_data[sku],0)),"")</f>
        <v/>
      </c>
      <c r="CO33" s="388" t="str">
        <f>IFERROR(INDEX(bhpc_data[hs_code],MATCH(BZ33,bhpc_data[sku],0)),"")</f>
        <v/>
      </c>
      <c r="CP33" s="377" t="str">
        <f>IFERROR(INDEX(inventory[ESISTENZA],MATCH(BZ33,inventory[ARTICOLO],0)),"")</f>
        <v/>
      </c>
      <c r="CQ33" s="367" t="str">
        <f>IFERROR(IF(BZ33="","",IF($BX$15="SALE",INDEX(inventory[COSTO UNITARIO],MATCH(BZ33,inventory[ARTICOLO],0)),IF($BX$15="SAMPLING",INDEX(inventory[COSTO UNITARIO],MATCH(BZ33,inventory[ARTICOLO],0)),""))),"")</f>
        <v/>
      </c>
      <c r="CR33" s="368" t="str">
        <f t="shared" si="0"/>
        <v/>
      </c>
      <c r="CS33" s="264" t="str">
        <f t="shared" si="1"/>
        <v/>
      </c>
      <c r="CU33" s="436"/>
      <c r="CV33" s="505"/>
      <c r="CW33" s="522"/>
      <c r="CX33" s="523"/>
      <c r="CY33" s="524"/>
      <c r="DA33" s="432" t="str">
        <f>IFERROR(VLOOKUP(BZ33,bhpc_data[],22,FALSE),"")</f>
        <v/>
      </c>
      <c r="DH33" s="296"/>
      <c r="EE33" s="202" t="str" cm="1">
        <f t="array" ref="EE33">IFERROR(IF($EC$9="",IF($EC$11="",IF($EC$13="",INDEX(bhpc_data[sku],SMALL(MATCH(ROW(bhpc_data[sku]),ROW(bhpc_data[sku])),ROWS($A$15:A38)+$B$3)),INDEX(bhpc_data[sku],SMALL(IF(ISNUMBER(MATCH(bhpc_data[size1],$EC$13,0)),MATCH(ROW(bhpc_data[sku]),ROW(bhpc_data[sku])),""),ROWS($A$15:A38)+$B$3))),IF($EC$13="",INDEX(bhpc_data[sku],SMALL(IF(ISNUMBER(MATCH(bhpc_data[sex],$EC$11,0)),MATCH(ROW(bhpc_data[sku]),ROW(bhpc_data[sku])),""),ROWS($A$15:A38)+$B$3)),INDEX(bhpc_data[sku],SMALL(IF(ISNUMBER(MATCH(bhpc_data[sex],$EC$11,0)*MATCH(bhpc_data[size1],$EC$13,0)),MATCH(ROW(bhpc_data[sku]),ROW(bhpc_data[sku])),""),ROWS($A$15:A38)+$B$3)))),IF($EC$11="",IF($EC$13="",INDEX(bhpc_data[sku],SMALL(IF(ISNUMBER(MATCH(bhpc_data[category],$EC$9,0)),MATCH(ROW(bhpc_data[sku]),ROW(bhpc_data[sku])),""),ROWS($A$15:A38)+$B$3)),INDEX(bhpc_data[sku],SMALL(IF(ISNUMBER(MATCH(bhpc_data[category],$EC$9,0)*MATCH(bhpc_data[size1],$EC$13,0)),MATCH(ROW(bhpc_data[sku]),ROW(bhpc_data[sku])),""),ROWS($A$15:A38)+$B$3))),IF($EC$13="",INDEX(bhpc_data[sku],SMALL(IF(ISNUMBER(MATCH(bhpc_data[category],$EC$9,0)*MATCH(bhpc_data[sex],$EC$11,0)),MATCH(ROW(bhpc_data[sku]),ROW(bhpc_data[sku])),""),ROWS($A$15:A38)+$B$3)),INDEX(bhpc_data[sku],SMALL(IF(ISNUMBER(MATCH(bhpc_data[category],$EC$9,0)*MATCH(bhpc_data[sex],$EC$11,0)*MATCH(bhpc_data[size1],$EC$13,0)),MATCH(ROW(bhpc_data[sku]),ROW(bhpc_data[sku])),""),ROWS($A$15:A38)+$B$3))))),"")</f>
        <v>GS7027</v>
      </c>
      <c r="EF33" s="198" t="str" cm="1">
        <f t="array" ref="EF33">IFERROR(IF($EC$9="",IF($EC$11="",IF($EC$13="",INDEX(bhpc_data[description],SMALL(MATCH(ROW(bhpc_data[sku]),ROW(bhpc_data[sku])),ROWS($A$15:A38)+$B$3)),INDEX(bhpc_data[description],SMALL(IF(ISNUMBER(MATCH(bhpc_data[size1],$EC$13,0)),MATCH(ROW(bhpc_data[sku]),ROW(bhpc_data[sku])),""),ROWS($A$15:A38)+$B$3))),IF($EC$13="",INDEX(bhpc_data[description],SMALL(IF(ISNUMBER(MATCH(bhpc_data[sex],$EC$11,0)),MATCH(ROW(bhpc_data[sku]),ROW(bhpc_data[sku])),""),ROWS($A$15:A38)+$B$3)),INDEX(bhpc_data[description],SMALL(IF(ISNUMBER(MATCH(bhpc_data[sex],$EC$11,0)*MATCH(bhpc_data[size1],$EC$13,0)),MATCH(ROW(bhpc_data[sku]),ROW(bhpc_data[sku])),""),ROWS($A$15:A38)+$B$3)))),IF($EC$11="",IF($EC$13="",INDEX(bhpc_data[description],SMALL(IF(ISNUMBER(MATCH(bhpc_data[category],$EC$9,0)),MATCH(ROW(bhpc_data[sku]),ROW(bhpc_data[sku])),""),ROWS($A$15:A38)+$B$3)),INDEX(bhpc_data[description],SMALL(IF(ISNUMBER(MATCH(bhpc_data[category],$EC$9,0)*MATCH(bhpc_data[size1],$EC$13,0)),MATCH(ROW(bhpc_data[sku]),ROW(bhpc_data[sku])),""),ROWS($A$15:A38)+$B$3))),IF($EC$13="",INDEX(bhpc_data[description],SMALL(IF(ISNUMBER(MATCH(bhpc_data[category],$EC$9,0)*MATCH(bhpc_data[sex],$EC$11,0)),MATCH(ROW(bhpc_data[sku]),ROW(bhpc_data[sku])),""),ROWS($A$15:A38)+$B$3)),INDEX(bhpc_data[description],SMALL(IF(ISNUMBER(MATCH(bhpc_data[category],$EC$9,0)*MATCH(bhpc_data[sex],$EC$11,0)*MATCH(bhpc_data[size1],$EC$13,0)),MATCH(ROW(bhpc_data[sku]),ROW(bhpc_data[sku])),""),ROWS($A$15:A38)+$B$3))))),"")</f>
        <v>BHPC GIFT SET WOMEN #2 EDP50ML+DEO150ML+ROLLON50ML</v>
      </c>
      <c r="EG33" s="263">
        <f>IFERROR(IF(warehouse[[#This Row],[SKU]]="","",INDEX(inventory[ESISTENZA],MATCH(warehouse[[#This Row],[SKU]],inventory[ARTICOLO],0))),"")</f>
        <v>334</v>
      </c>
      <c r="EH33" s="328"/>
      <c r="EI33" s="328"/>
      <c r="EJ33" s="263"/>
      <c r="EK33" s="113"/>
      <c r="FF33" s="413"/>
      <c r="FG33" s="413"/>
      <c r="FH33" s="413"/>
      <c r="FI33" s="413"/>
      <c r="FJ33" s="413"/>
      <c r="FK33" s="413"/>
      <c r="FL33" s="413"/>
      <c r="FM33" s="413"/>
      <c r="FN33" s="413"/>
      <c r="FO33" s="413"/>
      <c r="FP33" s="413"/>
      <c r="FQ33" s="413"/>
      <c r="FR33" s="413"/>
      <c r="FS33" s="413"/>
      <c r="FT33" s="413"/>
      <c r="FU33" s="413"/>
      <c r="FV33" s="413"/>
      <c r="FW33" s="413"/>
      <c r="FX33" s="413"/>
      <c r="FY33" s="413"/>
      <c r="FZ33" s="413"/>
      <c r="GA33" s="413"/>
      <c r="GB33" s="413"/>
      <c r="GC33" s="413"/>
      <c r="GD33" s="413"/>
      <c r="GE33" s="413"/>
      <c r="GF33" s="413"/>
      <c r="GG33" s="413"/>
      <c r="GH33" s="413"/>
      <c r="GI33" s="413"/>
      <c r="GJ33" s="413"/>
      <c r="GK33" s="413"/>
      <c r="GL33" s="413"/>
      <c r="GM33" s="413"/>
      <c r="GN33" s="413"/>
      <c r="GO33" s="413"/>
      <c r="GP33" s="413"/>
      <c r="GQ33" s="413"/>
      <c r="GR33" s="413"/>
      <c r="GS33" s="413"/>
      <c r="GT33" s="413"/>
      <c r="GU33" s="413"/>
      <c r="GV33" s="413"/>
      <c r="GW33" s="413"/>
      <c r="GX33" s="413"/>
      <c r="GY33" s="413"/>
      <c r="GZ33" s="413"/>
      <c r="HA33" s="413"/>
      <c r="HB33" s="413"/>
      <c r="HC33" s="413"/>
      <c r="HD33" s="413"/>
      <c r="HE33" s="413"/>
      <c r="HF33" s="413"/>
      <c r="HG33" s="413"/>
      <c r="HH33" s="413"/>
      <c r="HI33" s="413"/>
      <c r="HJ33" s="413"/>
      <c r="HK33" s="413"/>
      <c r="HL33" s="413"/>
      <c r="HM33" s="413"/>
      <c r="HN33" s="413"/>
      <c r="HO33" s="413"/>
      <c r="HP33" s="413"/>
      <c r="HQ33" s="413"/>
      <c r="HR33" s="413"/>
      <c r="HS33" s="413"/>
      <c r="HT33" s="413"/>
    </row>
    <row r="34" spans="10:228" ht="15" customHeight="1" x14ac:dyDescent="0.35">
      <c r="L34" s="539" t="str">
        <f t="array" ref="L34">IFERROR(IF($D$9="",IF($D$11="",IF($D$13="",IF($D$15="",INDEX(orderHistory[customer],SMALL(MATCH(ROW(orderHistory[customer]),ROW(orderHistory[customer])),ROWS($A$15:A39)+$B$3)),INDEX(orderHistory[customer],SMALL(IF(ISNUMBER(MATCH(YEAR(orderHistory[invoice_date]),$D$15,0)),MATCH(ROW(orderHistory[customer]),ROW(orderHistory[customer])),""),ROWS($A$15:A39)+$B$3))),IF($D$15="",INDEX(orderHistory[customer],SMALL(IF(ISNUMBER(MATCH(orderHistory[order_type],$D$13,0)),MATCH(ROW(orderHistory[customer]),ROW(orderHistory[customer])),""),ROWS($A$15:A39)+$B$3)),INDEX(orderHistory[customer],SMALL(IF(ISNUMBER(MATCH(orderHistory[order_type],$D$13,0)*MATCH(YEAR(orderHistory[invoice_date]),$D$15,0)),MATCH(ROW(orderHistory[customer]),ROW(orderHistory[customer])),""),ROWS($A$15:A39)+$B$3)))),IF($D$13="",IF($D$15="",INDEX(orderHistory[customer],SMALL(IF(ISNUMBER(MATCH(orderHistory[status],$D$11,0)),MATCH(ROW(orderHistory[customer]),ROW(orderHistory[customer])),""),ROWS($A$15:A39)+$B$3)),INDEX(orderHistory[customer],SMALL(IF(ISNUMBER(MATCH(orderHistory[status],$D$11,0)*MATCH(YEAR(orderHistory[invoice_date]),$D$15,0)),MATCH(ROW(orderHistory[customer]),ROW(orderHistory[customer])),""),ROWS($A$15:A39)+$B$3))),IF($D$15="",INDEX(orderHistory[customer],SMALL(IF(ISNUMBER(MATCH(orderHistory[status],$D$11,0)*MATCH(orderHistory[order_type],$D$13,0)),MATCH(ROW(orderHistory[customer]),ROW(orderHistory[customer])),""),ROWS($A$15:A39)+$B$3)),INDEX(orderHistory[customer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customer],SMALL(IF(ISNUMBER(MATCH(orderHistory[customer],$D$9,0)),MATCH(ROW(orderHistory[customer]),ROW(orderHistory[customer])),""),ROWS($A$15:A39)+$B$3)),INDEX(orderHistory[customer],SMALL(IF(ISNUMBER(MATCH(orderHistory[customer],$D$9,0)*MATCH(YEAR(orderHistory[invoice_date]),$D$15,0)),MATCH(ROW(orderHistory[customer]),ROW(orderHistory[customer])),""),ROWS($A$15:A39)+$B$3))),IF($D$15="",INDEX(orderHistory[customer],SMALL(IF(ISNUMBER(MATCH(orderHistory[customer],$D$9,0)*MATCH(orderHistory[order_type],$D$13,0)),MATCH(ROW(orderHistory[customer]),ROW(orderHistory[customer])),""),ROWS($A$15:A39)+$B$3)),INDEX(orderHistory[customer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customer],SMALL(IF(ISNUMBER(MATCH(orderHistory[customer],$D$9,0)*MATCH(orderHistory[status],$D$11,0)),MATCH(ROW(orderHistory[customer]),ROW(orderHistory[customer])),""),ROWS($A$15:A39)+$B$3)),INDEX(orderHistory[customer],SMALL(IF(ISNUMBER(MATCH(orderHistory[customer],$D$9,0)*MATCH(orderHistory[status],$D$11,0)*MATCH(YEAR(orderHistory[invoice_date]),$D$15,0)),MATCH(ROW(orderHistory[customer]),ROW(orderHistory[customer])),""),ROWS($A$15:A39)+$B$3))),IF($D$15="",INDEX(orderHistory[customer],SMALL(IF(ISNUMBER(MATCH(orderHistory[customer],$D$9,0)*MATCH(orderHistory[status],$D$11,0)*MATCH(orderHistory[order_type],$D$13,0)),MATCH(ROW(orderHistory[customer]),ROW(orderHistory[customer])),""),ROWS($A$15:A39)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M34" s="540" t="str">
        <f t="array" ref="M34">IFERROR(IF($D$9="",IF($D$11="",IF($D$13="",IF($D$15="",INDEX(orderHistory[order_no],SMALL(MATCH(ROW(orderHistory[customer]),ROW(orderHistory[customer])),ROWS($A$15:A39)+$B$3)),INDEX(orderHistory[order_no],SMALL(IF(ISNUMBER(MATCH(YEAR(orderHistory[invoice_date]),$D$15,0)),MATCH(ROW(orderHistory[customer]),ROW(orderHistory[customer])),""),ROWS($A$15:A39)+$B$3))),IF($D$15="",INDEX(orderHistory[order_no],SMALL(IF(ISNUMBER(MATCH(orderHistory[order_type],$D$13,0)),MATCH(ROW(orderHistory[customer]),ROW(orderHistory[customer])),""),ROWS($A$15:A39)+$B$3)),INDEX(orderHistory[order_no],SMALL(IF(ISNUMBER(MATCH(orderHistory[order_type],$D$13,0)*MATCH(YEAR(orderHistory[invoice_date]),$D$15,0)),MATCH(ROW(orderHistory[customer]),ROW(orderHistory[customer])),""),ROWS($A$15:A39)+$B$3)))),IF($D$13="",IF($D$15="",INDEX(orderHistory[order_no],SMALL(IF(ISNUMBER(MATCH(orderHistory[status],$D$11,0)),MATCH(ROW(orderHistory[customer]),ROW(orderHistory[customer])),""),ROWS($A$15:A39)+$B$3)),INDEX(orderHistory[order_no],SMALL(IF(ISNUMBER(MATCH(orderHistory[status],$D$11,0)*MATCH(YEAR(orderHistory[invoice_date]),$D$15,0)),MATCH(ROW(orderHistory[customer]),ROW(orderHistory[customer])),""),ROWS($A$15:A39)+$B$3))),IF($D$15="",INDEX(orderHistory[order_no],SMALL(IF(ISNUMBER(MATCH(orderHistory[status],$D$11,0)*MATCH(orderHistory[order_type],$D$13,0)),MATCH(ROW(orderHistory[customer]),ROW(orderHistory[customer])),""),ROWS($A$15:A39)+$B$3)),INDEX(orderHistory[order_no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no],SMALL(IF(ISNUMBER(MATCH(orderHistory[customer],$D$9,0)),MATCH(ROW(orderHistory[customer]),ROW(orderHistory[customer])),""),ROWS($A$15:A39)+$B$3)),INDEX(orderHistory[order_no],SMALL(IF(ISNUMBER(MATCH(orderHistory[customer],$D$9,0)*MATCH(YEAR(orderHistory[invoice_date]),$D$15,0)),MATCH(ROW(orderHistory[customer]),ROW(orderHistory[customer])),""),ROWS($A$15:A39)+$B$3))),IF($D$15="",INDEX(orderHistory[order_no],SMALL(IF(ISNUMBER(MATCH(orderHistory[customer],$D$9,0)*MATCH(orderHistory[order_type],$D$13,0)),MATCH(ROW(orderHistory[customer]),ROW(orderHistory[customer])),""),ROWS($A$15:A39)+$B$3)),INDEX(orderHistory[order_no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no],SMALL(IF(ISNUMBER(MATCH(orderHistory[customer],$D$9,0)*MATCH(orderHistory[status],$D$11,0)),MATCH(ROW(orderHistory[customer]),ROW(orderHistory[customer])),""),ROWS($A$15:A39)+$B$3)),INDEX(orderHistory[order_no],SMALL(IF(ISNUMBER(MATCH(orderHistory[customer],$D$9,0)*MATCH(orderHistory[status],$D$11,0)*MATCH(YEAR(orderHistory[invoice_date]),$D$15,0)),MATCH(ROW(orderHistory[customer]),ROW(orderHistory[customer])),""),ROWS($A$15:A39)+$B$3))),IF($D$15="",INDEX(orderHistory[order_no],SMALL(IF(ISNUMBER(MATCH(orderHistory[customer],$D$9,0)*MATCH(orderHistory[status],$D$11,0)*MATCH(orderHistory[order_type],$D$13,0)),MATCH(ROW(orderHistory[customer]),ROW(orderHistory[customer])),""),ROWS($A$15:A39)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N34" s="541" t="str">
        <f t="array" ref="N34">IFERROR(IF($D$9="",IF($D$11="",IF($D$13="",IF($D$15="",INDEX(orderHistory[order_type],SMALL(MATCH(ROW(orderHistory[customer]),ROW(orderHistory[customer])),ROWS($A$15:A39)+$B$3)),INDEX(orderHistory[order_type],SMALL(IF(ISNUMBER(MATCH(YEAR(orderHistory[invoice_date]),$D$15,0)),MATCH(ROW(orderHistory[customer]),ROW(orderHistory[customer])),""),ROWS($A$15:A39)+$B$3))),IF($D$15="",INDEX(orderHistory[order_type],SMALL(IF(ISNUMBER(MATCH(orderHistory[order_type],$D$13,0)),MATCH(ROW(orderHistory[customer]),ROW(orderHistory[customer])),""),ROWS($A$15:A39)+$B$3)),INDEX(orderHistory[order_type],SMALL(IF(ISNUMBER(MATCH(orderHistory[order_type],$D$13,0)*MATCH(YEAR(orderHistory[invoice_date]),$D$15,0)),MATCH(ROW(orderHistory[customer]),ROW(orderHistory[customer])),""),ROWS($A$15:A39)+$B$3)))),IF($D$13="",IF($D$15="",INDEX(orderHistory[order_type],SMALL(IF(ISNUMBER(MATCH(orderHistory[status],$D$11,0)),MATCH(ROW(orderHistory[customer]),ROW(orderHistory[customer])),""),ROWS($A$15:A39)+$B$3)),INDEX(orderHistory[order_type],SMALL(IF(ISNUMBER(MATCH(orderHistory[status],$D$11,0)*MATCH(YEAR(orderHistory[invoice_date]),$D$15,0)),MATCH(ROW(orderHistory[customer]),ROW(orderHistory[customer])),""),ROWS($A$15:A39)+$B$3))),IF($D$15="",INDEX(orderHistory[order_type],SMALL(IF(ISNUMBER(MATCH(orderHistory[status],$D$11,0)*MATCH(orderHistory[order_type],$D$13,0)),MATCH(ROW(orderHistory[customer]),ROW(orderHistory[customer])),""),ROWS($A$15:A39)+$B$3)),INDEX(orderHistory[order_typ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type],SMALL(IF(ISNUMBER(MATCH(orderHistory[customer],$D$9,0)),MATCH(ROW(orderHistory[customer]),ROW(orderHistory[customer])),""),ROWS($A$15:A39)+$B$3)),INDEX(orderHistory[order_type],SMALL(IF(ISNUMBER(MATCH(orderHistory[customer],$D$9,0)*MATCH(YEAR(orderHistory[invoice_date]),$D$15,0)),MATCH(ROW(orderHistory[customer]),ROW(orderHistory[customer])),""),ROWS($A$15:A39)+$B$3))),IF($D$15="",INDEX(orderHistory[order_type],SMALL(IF(ISNUMBER(MATCH(orderHistory[customer],$D$9,0)*MATCH(orderHistory[order_type],$D$13,0)),MATCH(ROW(orderHistory[customer]),ROW(orderHistory[customer])),""),ROWS($A$15:A39)+$B$3)),INDEX(orderHistory[order_typ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type],SMALL(IF(ISNUMBER(MATCH(orderHistory[customer],$D$9,0)*MATCH(orderHistory[status],$D$11,0)),MATCH(ROW(orderHistory[customer]),ROW(orderHistory[customer])),""),ROWS($A$15:A39)+$B$3)),INDEX(orderHistory[order_type],SMALL(IF(ISNUMBER(MATCH(orderHistory[customer],$D$9,0)*MATCH(orderHistory[status],$D$11,0)*MATCH(YEAR(orderHistory[invoice_date]),$D$15,0)),MATCH(ROW(orderHistory[customer]),ROW(orderHistory[customer])),""),ROWS($A$15:A39)+$B$3))),IF($D$15="",INDEX(orderHistory[order_type],SMALL(IF(ISNUMBER(MATCH(orderHistory[customer],$D$9,0)*MATCH(orderHistory[status],$D$11,0)*MATCH(orderHistory[order_type],$D$13,0)),MATCH(ROW(orderHistory[customer]),ROW(orderHistory[customer])),""),ROWS($A$15:A39)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O34" s="542" t="str">
        <f t="array" ref="O34">IFERROR(IF($D$9="",IF($D$11="",IF($D$13="",IF($D$15="",INDEX(orderHistory[order_date],SMALL(MATCH(ROW(orderHistory[customer]),ROW(orderHistory[customer])),ROWS($A$15:A39)+$B$3)),INDEX(orderHistory[order_date],SMALL(IF(ISNUMBER(MATCH(YEAR(orderHistory[invoice_date]),$D$15,0)),MATCH(ROW(orderHistory[customer]),ROW(orderHistory[customer])),""),ROWS($A$15:A39)+$B$3))),IF($D$15="",INDEX(orderHistory[order_date],SMALL(IF(ISNUMBER(MATCH(orderHistory[order_type],$D$13,0)),MATCH(ROW(orderHistory[customer]),ROW(orderHistory[customer])),""),ROWS($A$15:A39)+$B$3)),INDEX(orderHistory[order_date],SMALL(IF(ISNUMBER(MATCH(orderHistory[order_type],$D$13,0)*MATCH(YEAR(orderHistory[invoice_date]),$D$15,0)),MATCH(ROW(orderHistory[customer]),ROW(orderHistory[customer])),""),ROWS($A$15:A39)+$B$3)))),IF($D$13="",IF($D$15="",INDEX(orderHistory[order_date],SMALL(IF(ISNUMBER(MATCH(orderHistory[status],$D$11,0)),MATCH(ROW(orderHistory[customer]),ROW(orderHistory[customer])),""),ROWS($A$15:A39)+$B$3)),INDEX(orderHistory[order_date],SMALL(IF(ISNUMBER(MATCH(orderHistory[status],$D$11,0)*MATCH(YEAR(orderHistory[invoice_date]),$D$15,0)),MATCH(ROW(orderHistory[customer]),ROW(orderHistory[customer])),""),ROWS($A$15:A39)+$B$3))),IF($D$15="",INDEX(orderHistory[order_date],SMALL(IF(ISNUMBER(MATCH(orderHistory[status],$D$11,0)*MATCH(orderHistory[order_type],$D$13,0)),MATCH(ROW(orderHistory[customer]),ROW(orderHistory[customer])),""),ROWS($A$15:A39)+$B$3)),INDEX(orderHistory[order_dat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date],SMALL(IF(ISNUMBER(MATCH(orderHistory[customer],$D$9,0)),MATCH(ROW(orderHistory[customer]),ROW(orderHistory[customer])),""),ROWS($A$15:A39)+$B$3)),INDEX(orderHistory[order_date],SMALL(IF(ISNUMBER(MATCH(orderHistory[customer],$D$9,0)*MATCH(YEAR(orderHistory[invoice_date]),$D$15,0)),MATCH(ROW(orderHistory[customer]),ROW(orderHistory[customer])),""),ROWS($A$15:A39)+$B$3))),IF($D$15="",INDEX(orderHistory[order_date],SMALL(IF(ISNUMBER(MATCH(orderHistory[customer],$D$9,0)*MATCH(orderHistory[order_type],$D$13,0)),MATCH(ROW(orderHistory[customer]),ROW(orderHistory[customer])),""),ROWS($A$15:A39)+$B$3)),INDEX(orderHistory[order_dat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date],SMALL(IF(ISNUMBER(MATCH(orderHistory[customer],$D$9,0)*MATCH(orderHistory[status],$D$11,0)),MATCH(ROW(orderHistory[customer]),ROW(orderHistory[customer])),""),ROWS($A$15:A39)+$B$3)),INDEX(orderHistory[order_date],SMALL(IF(ISNUMBER(MATCH(orderHistory[customer],$D$9,0)*MATCH(orderHistory[status],$D$11,0)*MATCH(YEAR(orderHistory[invoice_date]),$D$15,0)),MATCH(ROW(orderHistory[customer]),ROW(orderHistory[customer])),""),ROWS($A$15:A39)+$B$3))),IF($D$15="",INDEX(orderHistory[order_date],SMALL(IF(ISNUMBER(MATCH(orderHistory[customer],$D$9,0)*MATCH(orderHistory[status],$D$11,0)*MATCH(orderHistory[order_type],$D$13,0)),MATCH(ROW(orderHistory[customer]),ROW(orderHistory[customer])),""),ROWS($A$15:A39)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P34" s="543" t="str">
        <f t="array" ref="P34">IFERROR(IF($D$9="",IF($D$11="",IF($D$13="",IF($D$15="",INDEX(orderHistory[invoice_no],SMALL(MATCH(ROW(orderHistory[customer]),ROW(orderHistory[customer])),ROWS($A$15:A39)+$B$3)),INDEX(orderHistory[invoice_no],SMALL(IF(ISNUMBER(MATCH(YEAR(orderHistory[invoice_date]),$D$15,0)),MATCH(ROW(orderHistory[customer]),ROW(orderHistory[customer])),""),ROWS($A$15:A39)+$B$3))),IF($D$15="",INDEX(orderHistory[invoice_no],SMALL(IF(ISNUMBER(MATCH(orderHistory[order_type],$D$13,0)),MATCH(ROW(orderHistory[customer]),ROW(orderHistory[customer])),""),ROWS($A$15:A39)+$B$3)),INDEX(orderHistory[invoice_no],SMALL(IF(ISNUMBER(MATCH(orderHistory[order_type],$D$13,0)*MATCH(YEAR(orderHistory[invoice_date]),$D$15,0)),MATCH(ROW(orderHistory[customer]),ROW(orderHistory[customer])),""),ROWS($A$15:A39)+$B$3)))),IF($D$13="",IF($D$15="",INDEX(orderHistory[invoice_no],SMALL(IF(ISNUMBER(MATCH(orderHistory[status],$D$11,0)),MATCH(ROW(orderHistory[customer]),ROW(orderHistory[customer])),""),ROWS($A$15:A39)+$B$3)),INDEX(orderHistory[invoice_no],SMALL(IF(ISNUMBER(MATCH(orderHistory[status],$D$11,0)*MATCH(YEAR(orderHistory[invoice_date]),$D$15,0)),MATCH(ROW(orderHistory[customer]),ROW(orderHistory[customer])),""),ROWS($A$15:A39)+$B$3))),IF($D$15="",INDEX(orderHistory[invoice_no],SMALL(IF(ISNUMBER(MATCH(orderHistory[status],$D$11,0)*MATCH(orderHistory[order_type],$D$13,0)),MATCH(ROW(orderHistory[customer]),ROW(orderHistory[customer])),""),ROWS($A$15:A39)+$B$3)),INDEX(orderHistory[invoice_no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oice_no],SMALL(IF(ISNUMBER(MATCH(orderHistory[customer],$D$9,0)),MATCH(ROW(orderHistory[customer]),ROW(orderHistory[customer])),""),ROWS($A$15:A39)+$B$3)),INDEX(orderHistory[invoice_no],SMALL(IF(ISNUMBER(MATCH(orderHistory[customer],$D$9,0)*MATCH(YEAR(orderHistory[invoice_date]),$D$15,0)),MATCH(ROW(orderHistory[customer]),ROW(orderHistory[customer])),""),ROWS($A$15:A39)+$B$3))),IF($D$15="",INDEX(orderHistory[invoice_no],SMALL(IF(ISNUMBER(MATCH(orderHistory[customer],$D$9,0)*MATCH(orderHistory[order_type],$D$13,0)),MATCH(ROW(orderHistory[customer]),ROW(orderHistory[customer])),""),ROWS($A$15:A39)+$B$3)),INDEX(orderHistory[invoice_no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YEAR(orderHistory[invoice_date]),$D$15,0)),MATCH(ROW(orderHistory[customer]),ROW(orderHistory[customer])),""),ROWS($A$15:A39)+$B$3))),IF($D$15="",INDEX(orderHistory[invoice_no],SMALL(IF(ISNUMBER(MATCH(orderHistory[customer],$D$9,0)*MATCH(orderHistory[status],$D$11,0)*MATCH(orderHistory[order_type],$D$13,0)),MATCH(ROW(orderHistory[customer]),ROW(orderHistory[customer])),""),ROWS($A$15:A39)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Q34" s="544" t="str">
        <f t="array" ref="Q34">IFERROR(IF($D$9="",IF($D$11="",IF($D$13="",IF($D$15="",INDEX(orderHistory[invoice_date],SMALL(MATCH(ROW(orderHistory[customer]),ROW(orderHistory[customer])),ROWS($A$15:A39)+$B$3)),INDEX(orderHistory[invoice_date],SMALL(IF(ISNUMBER(MATCH(YEAR(orderHistory[invoice_date]),$D$15,0)),MATCH(ROW(orderHistory[customer]),ROW(orderHistory[customer])),""),ROWS($A$15:A39)+$B$3))),IF($D$15="",INDEX(orderHistory[invoice_date],SMALL(IF(ISNUMBER(MATCH(orderHistory[order_type],$D$13,0)),MATCH(ROW(orderHistory[customer]),ROW(orderHistory[customer])),""),ROWS($A$15:A39)+$B$3)),INDEX(orderHistory[invoice_date],SMALL(IF(ISNUMBER(MATCH(orderHistory[order_type],$D$13,0)*MATCH(YEAR(orderHistory[invoice_date]),$D$15,0)),MATCH(ROW(orderHistory[customer]),ROW(orderHistory[customer])),""),ROWS($A$15:A39)+$B$3)))),IF($D$13="",IF($D$15="",INDEX(orderHistory[invoice_date],SMALL(IF(ISNUMBER(MATCH(orderHistory[status],$D$11,0)),MATCH(ROW(orderHistory[customer]),ROW(orderHistory[customer])),""),ROWS($A$15:A39)+$B$3)),INDEX(orderHistory[invoice_date],SMALL(IF(ISNUMBER(MATCH(orderHistory[status],$D$11,0)*MATCH(YEAR(orderHistory[invoice_date]),$D$15,0)),MATCH(ROW(orderHistory[customer]),ROW(orderHistory[customer])),""),ROWS($A$15:A39)+$B$3))),IF($D$15="",INDEX(orderHistory[invoice_date],SMALL(IF(ISNUMBER(MATCH(orderHistory[status],$D$11,0)*MATCH(orderHistory[order_type],$D$13,0)),MATCH(ROW(orderHistory[customer]),ROW(orderHistory[customer])),""),ROWS($A$15:A39)+$B$3)),INDEX(orderHistory[invoice_dat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oice_date],SMALL(IF(ISNUMBER(MATCH(orderHistory[customer],$D$9,0)),MATCH(ROW(orderHistory[customer]),ROW(orderHistory[customer])),""),ROWS($A$15:A39)+$B$3)),INDEX(orderHistory[invoice_date],SMALL(IF(ISNUMBER(MATCH(orderHistory[customer],$D$9,0)*MATCH(YEAR(orderHistory[invoice_date]),$D$15,0)),MATCH(ROW(orderHistory[customer]),ROW(orderHistory[customer])),""),ROWS($A$15:A39)+$B$3))),IF($D$15="",INDEX(orderHistory[invoice_date],SMALL(IF(ISNUMBER(MATCH(orderHistory[customer],$D$9,0)*MATCH(orderHistory[order_type],$D$13,0)),MATCH(ROW(orderHistory[customer]),ROW(orderHistory[customer])),""),ROWS($A$15:A39)+$B$3)),INDEX(orderHistory[invoice_dat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YEAR(orderHistory[invoice_date]),$D$15,0)),MATCH(ROW(orderHistory[customer]),ROW(orderHistory[customer])),""),ROWS($A$15:A39)+$B$3))),IF($D$15="",INDEX(orderHistory[invoice_date],SMALL(IF(ISNUMBER(MATCH(orderHistory[customer],$D$9,0)*MATCH(orderHistory[status],$D$11,0)*MATCH(orderHistory[order_type],$D$13,0)),MATCH(ROW(orderHistory[customer]),ROW(orderHistory[customer])),""),ROWS($A$15:A39)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R34" s="545" t="str">
        <f t="array" ref="R34">IFERROR(IF($D$9="",IF($D$11="",IF($D$13="",IF($D$15="",INDEX(orderHistory[inv_amount],SMALL(MATCH(ROW(orderHistory[customer]),ROW(orderHistory[customer])),ROWS($A$15:A39)+$B$3)),INDEX(orderHistory[inv_amount],SMALL(IF(ISNUMBER(MATCH(YEAR(orderHistory[invoice_date]),$D$15,0)),MATCH(ROW(orderHistory[customer]),ROW(orderHistory[customer])),""),ROWS($A$15:A39)+$B$3))),IF($D$15="",INDEX(orderHistory[inv_amount],SMALL(IF(ISNUMBER(MATCH(orderHistory[order_type],$D$13,0)),MATCH(ROW(orderHistory[customer]),ROW(orderHistory[customer])),""),ROWS($A$15:A39)+$B$3)),INDEX(orderHistory[inv_amount],SMALL(IF(ISNUMBER(MATCH(orderHistory[order_type],$D$13,0)*MATCH(YEAR(orderHistory[invoice_date]),$D$15,0)),MATCH(ROW(orderHistory[customer]),ROW(orderHistory[customer])),""),ROWS($A$15:A39)+$B$3)))),IF($D$13="",IF($D$15="",INDEX(orderHistory[inv_amount],SMALL(IF(ISNUMBER(MATCH(orderHistory[status],$D$11,0)),MATCH(ROW(orderHistory[customer]),ROW(orderHistory[customer])),""),ROWS($A$15:A39)+$B$3)),INDEX(orderHistory[inv_amount],SMALL(IF(ISNUMBER(MATCH(orderHistory[status],$D$11,0)*MATCH(YEAR(orderHistory[invoice_date]),$D$15,0)),MATCH(ROW(orderHistory[customer]),ROW(orderHistory[customer])),""),ROWS($A$15:A39)+$B$3))),IF($D$15="",INDEX(orderHistory[inv_amount],SMALL(IF(ISNUMBER(MATCH(orderHistory[status],$D$11,0)*MATCH(orderHistory[order_type],$D$13,0)),MATCH(ROW(orderHistory[customer]),ROW(orderHistory[customer])),""),ROWS($A$15:A39)+$B$3)),INDEX(orderHistory[inv_amount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_amount],SMALL(IF(ISNUMBER(MATCH(orderHistory[customer],$D$9,0)),MATCH(ROW(orderHistory[customer]),ROW(orderHistory[customer])),""),ROWS($A$15:A39)+$B$3)),INDEX(orderHistory[inv_amount],SMALL(IF(ISNUMBER(MATCH(orderHistory[customer],$D$9,0)*MATCH(YEAR(orderHistory[invoice_date]),$D$15,0)),MATCH(ROW(orderHistory[customer]),ROW(orderHistory[customer])),""),ROWS($A$15:A39)+$B$3))),IF($D$15="",INDEX(orderHistory[inv_amount],SMALL(IF(ISNUMBER(MATCH(orderHistory[customer],$D$9,0)*MATCH(orderHistory[order_type],$D$13,0)),MATCH(ROW(orderHistory[customer]),ROW(orderHistory[customer])),""),ROWS($A$15:A39)+$B$3)),INDEX(orderHistory[inv_amount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_amount],SMALL(IF(ISNUMBER(MATCH(orderHistory[customer],$D$9,0)*MATCH(orderHistory[status],$D$11,0)),MATCH(ROW(orderHistory[customer]),ROW(orderHistory[customer])),""),ROWS($A$15:A39)+$B$3)),INDEX(orderHistory[inv_amount],SMALL(IF(ISNUMBER(MATCH(orderHistory[customer],$D$9,0)*MATCH(orderHistory[status],$D$11,0)*MATCH(YEAR(orderHistory[inv_amount]),$D$15,0)),MATCH(ROW(orderHistory[customer]),ROW(orderHistory[customer])),""),ROWS($A$15:A39)+$B$3))),IF($D$15="",INDEX(orderHistory[inv_amount],SMALL(IF(ISNUMBER(MATCH(orderHistory[customer],$D$9,0)*MATCH(orderHistory[status],$D$11,0)*MATCH(orderHistory[order_type],$D$13,0)),MATCH(ROW(orderHistory[customer]),ROW(orderHistory[customer])),""),ROWS($A$15:A39)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S34" s="546" t="str">
        <f t="shared" si="2"/>
        <v/>
      </c>
      <c r="T34" s="547" t="str">
        <f t="array" ref="T34">IFERROR(IF($D$9="",IF($D$11="",IF($D$13="",IF($D$15="",INDEX(orderHistory[payed],SMALL(MATCH(ROW(orderHistory[customer]),ROW(orderHistory[customer])),ROWS($A$15:A39)+$B$3)),INDEX(orderHistory[payed],SMALL(IF(ISNUMBER(MATCH(YEAR(orderHistory[invoice_date]),$D$15,0)),MATCH(ROW(orderHistory[customer]),ROW(orderHistory[customer])),""),ROWS($A$15:A39)+$B$3))),IF($D$15="",INDEX(orderHistory[payed],SMALL(IF(ISNUMBER(MATCH(orderHistory[order_type],$D$13,0)),MATCH(ROW(orderHistory[customer]),ROW(orderHistory[customer])),""),ROWS($A$15:A39)+$B$3)),INDEX(orderHistory[payed],SMALL(IF(ISNUMBER(MATCH(orderHistory[order_type],$D$13,0)*MATCH(YEAR(orderHistory[invoice_date]),$D$15,0)),MATCH(ROW(orderHistory[customer]),ROW(orderHistory[customer])),""),ROWS($A$15:A39)+$B$3)))),IF($D$13="",IF($D$15="",INDEX(orderHistory[payed],SMALL(IF(ISNUMBER(MATCH(orderHistory[status],$D$11,0)),MATCH(ROW(orderHistory[customer]),ROW(orderHistory[customer])),""),ROWS($A$15:A39)+$B$3)),INDEX(orderHistory[payed],SMALL(IF(ISNUMBER(MATCH(orderHistory[status],$D$11,0)*MATCH(YEAR(orderHistory[invoice_date]),$D$15,0)),MATCH(ROW(orderHistory[customer]),ROW(orderHistory[customer])),""),ROWS($A$15:A39)+$B$3))),IF($D$15="",INDEX(orderHistory[payed],SMALL(IF(ISNUMBER(MATCH(orderHistory[status],$D$11,0)*MATCH(orderHistory[order_type],$D$13,0)),MATCH(ROW(orderHistory[customer]),ROW(orderHistory[customer])),""),ROWS($A$15:A39)+$B$3)),INDEX(orderHistory[payed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payed],SMALL(IF(ISNUMBER(MATCH(orderHistory[customer],$D$9,0)),MATCH(ROW(orderHistory[customer]),ROW(orderHistory[customer])),""),ROWS($A$15:A39)+$B$3)),INDEX(orderHistory[payed],SMALL(IF(ISNUMBER(MATCH(orderHistory[customer],$D$9,0)*MATCH(YEAR(orderHistory[invoice_date]),$D$15,0)),MATCH(ROW(orderHistory[customer]),ROW(orderHistory[customer])),""),ROWS($A$15:A39)+$B$3))),IF($D$15="",INDEX(orderHistory[payed],SMALL(IF(ISNUMBER(MATCH(orderHistory[customer],$D$9,0)*MATCH(orderHistory[order_type],$D$13,0)),MATCH(ROW(orderHistory[customer]),ROW(orderHistory[customer])),""),ROWS($A$15:A39)+$B$3)),INDEX(orderHistory[payed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payed],SMALL(IF(ISNUMBER(MATCH(orderHistory[customer],$D$9,0)*MATCH(orderHistory[status],$D$11,0)),MATCH(ROW(orderHistory[customer]),ROW(orderHistory[customer])),""),ROWS($A$15:A39)+$B$3)),INDEX(orderHistory[payed],SMALL(IF(ISNUMBER(MATCH(orderHistory[customer],$D$9,0)*MATCH(orderHistory[status],$D$11,0)*MATCH(YEAR(orderHistory[payed]),$D$15,0)),MATCH(ROW(orderHistory[customer]),ROW(orderHistory[customer])),""),ROWS($A$15:A39)+$B$3))),IF($D$15="",INDEX(orderHistory[payed],SMALL(IF(ISNUMBER(MATCH(orderHistory[customer],$D$9,0)*MATCH(orderHistory[status],$D$11,0)*MATCH(orderHistory[order_type],$D$13,0)),MATCH(ROW(orderHistory[customer]),ROW(orderHistory[customer])),""),ROWS($A$15:A39)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U34" s="541" t="str">
        <f t="array" ref="U34">IFERROR(IF($D$9="",IF($D$11="",IF($D$13="",IF($D$15="",INDEX(orderHistory[shipping_method],SMALL(MATCH(ROW(orderHistory[customer]),ROW(orderHistory[customer])),ROWS($A$15:A39)+$B$3)),INDEX(orderHistory[shipping_method],SMALL(IF(ISNUMBER(MATCH(YEAR(orderHistory[invoice_date]),$D$15,0)),MATCH(ROW(orderHistory[customer]),ROW(orderHistory[customer])),""),ROWS($A$15:A39)+$B$3))),IF($D$15="",INDEX(orderHistory[shipping_method],SMALL(IF(ISNUMBER(MATCH(orderHistory[order_type],$D$13,0)),MATCH(ROW(orderHistory[customer]),ROW(orderHistory[customer])),""),ROWS($A$15:A39)+$B$3)),INDEX(orderHistory[shipping_method],SMALL(IF(ISNUMBER(MATCH(orderHistory[order_type],$D$13,0)*MATCH(YEAR(orderHistory[invoice_date]),$D$15,0)),MATCH(ROW(orderHistory[customer]),ROW(orderHistory[customer])),""),ROWS($A$15:A39)+$B$3)))),IF($D$13="",IF($D$15="",INDEX(orderHistory[shipping_method],SMALL(IF(ISNUMBER(MATCH(orderHistory[status],$D$11,0)),MATCH(ROW(orderHistory[customer]),ROW(orderHistory[customer])),""),ROWS($A$15:A39)+$B$3)),INDEX(orderHistory[shipping_method],SMALL(IF(ISNUMBER(MATCH(orderHistory[status],$D$11,0)*MATCH(YEAR(orderHistory[invoice_date]),$D$15,0)),MATCH(ROW(orderHistory[customer]),ROW(orderHistory[customer])),""),ROWS($A$15:A39)+$B$3))),IF($D$15="",INDEX(orderHistory[shipping_method],SMALL(IF(ISNUMBER(MATCH(orderHistory[status],$D$11,0)*MATCH(orderHistory[order_type],$D$13,0)),MATCH(ROW(orderHistory[customer]),ROW(orderHistory[customer])),""),ROWS($A$15:A39)+$B$3)),INDEX(orderHistory[shipping_method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shipping_method],SMALL(IF(ISNUMBER(MATCH(orderHistory[customer],$D$9,0)),MATCH(ROW(orderHistory[customer]),ROW(orderHistory[customer])),""),ROWS($A$15:A39)+$B$3)),INDEX(orderHistory[shipping_method],SMALL(IF(ISNUMBER(MATCH(orderHistory[customer],$D$9,0)*MATCH(YEAR(orderHistory[invoice_date]),$D$15,0)),MATCH(ROW(orderHistory[customer]),ROW(orderHistory[customer])),""),ROWS($A$15:A39)+$B$3))),IF($D$15="",INDEX(orderHistory[shipping_method],SMALL(IF(ISNUMBER(MATCH(orderHistory[customer],$D$9,0)*MATCH(orderHistory[order_type],$D$13,0)),MATCH(ROW(orderHistory[customer]),ROW(orderHistory[customer])),""),ROWS($A$15:A39)+$B$3)),INDEX(orderHistory[shipping_method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shipping_method],SMALL(IF(ISNUMBER(MATCH(orderHistory[customer],$D$9,0)*MATCH(orderHistory[status],$D$11,0)),MATCH(ROW(orderHistory[customer]),ROW(orderHistory[customer])),""),ROWS($A$15:A39)+$B$3)),INDEX(orderHistory[shipping_method],SMALL(IF(ISNUMBER(MATCH(orderHistory[customer],$D$9,0)*MATCH(orderHistory[status],$D$11,0)*MATCH(YEAR(orderHistory[shipping_method]),$D$15,0)),MATCH(ROW(orderHistory[customer]),ROW(orderHistory[customer])),""),ROWS($A$15:A39)+$B$3))),IF($D$15="",INDEX(orderHistory[shipping_method],SMALL(IF(ISNUMBER(MATCH(orderHistory[customer],$D$9,0)*MATCH(orderHistory[status],$D$11,0)*MATCH(orderHistory[order_type],$D$13,0)),MATCH(ROW(orderHistory[customer]),ROW(orderHistory[customer])),""),ROWS($A$15:A39)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V34" s="548" t="str">
        <f t="array" ref="V34">IFERROR(IF($D$9="",IF($D$11="",IF($D$13="",IF($D$15="",INDEX(orderHistory[status],SMALL(MATCH(ROW(orderHistory[customer]),ROW(orderHistory[customer])),ROWS($A$15:A39)+$B$3)),INDEX(orderHistory[status],SMALL(IF(ISNUMBER(MATCH(YEAR(orderHistory[invoice_date]),$D$15,0)),MATCH(ROW(orderHistory[customer]),ROW(orderHistory[customer])),""),ROWS($A$15:A39)+$B$3))),IF($D$15="",INDEX(orderHistory[status],SMALL(IF(ISNUMBER(MATCH(orderHistory[order_type],$D$13,0)),MATCH(ROW(orderHistory[customer]),ROW(orderHistory[customer])),""),ROWS($A$15:A39)+$B$3)),INDEX(orderHistory[status],SMALL(IF(ISNUMBER(MATCH(orderHistory[order_type],$D$13,0)*MATCH(YEAR(orderHistory[invoice_date]),$D$15,0)),MATCH(ROW(orderHistory[customer]),ROW(orderHistory[customer])),""),ROWS($A$15:A39)+$B$3)))),IF($D$13="",IF($D$15="",INDEX(orderHistory[status],SMALL(IF(ISNUMBER(MATCH(orderHistory[status],$D$11,0)),MATCH(ROW(orderHistory[customer]),ROW(orderHistory[customer])),""),ROWS($A$15:A39)+$B$3)),INDEX(orderHistory[status],SMALL(IF(ISNUMBER(MATCH(orderHistory[status],$D$11,0)*MATCH(YEAR(orderHistory[invoice_date]),$D$15,0)),MATCH(ROW(orderHistory[customer]),ROW(orderHistory[customer])),""),ROWS($A$15:A39)+$B$3))),IF($D$15="",INDEX(orderHistory[status],SMALL(IF(ISNUMBER(MATCH(orderHistory[status],$D$11,0)*MATCH(orderHistory[order_type],$D$13,0)),MATCH(ROW(orderHistory[customer]),ROW(orderHistory[customer])),""),ROWS($A$15:A39)+$B$3)),INDEX(orderHistory[status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status],SMALL(IF(ISNUMBER(MATCH(orderHistory[customer],$D$9,0)),MATCH(ROW(orderHistory[customer]),ROW(orderHistory[customer])),""),ROWS($A$15:A39)+$B$3)),INDEX(orderHistory[status],SMALL(IF(ISNUMBER(MATCH(orderHistory[customer],$D$9,0)*MATCH(YEAR(orderHistory[invoice_date]),$D$15,0)),MATCH(ROW(orderHistory[customer]),ROW(orderHistory[customer])),""),ROWS($A$15:A39)+$B$3))),IF($D$15="",INDEX(orderHistory[status],SMALL(IF(ISNUMBER(MATCH(orderHistory[customer],$D$9,0)*MATCH(orderHistory[order_type],$D$13,0)),MATCH(ROW(orderHistory[customer]),ROW(orderHistory[customer])),""),ROWS($A$15:A39)+$B$3)),INDEX(orderHistory[status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status],SMALL(IF(ISNUMBER(MATCH(orderHistory[customer],$D$9,0)*MATCH(orderHistory[status],$D$11,0)),MATCH(ROW(orderHistory[customer]),ROW(orderHistory[customer])),""),ROWS($A$15:A39)+$B$3)),INDEX(orderHistory[status],SMALL(IF(ISNUMBER(MATCH(orderHistory[customer],$D$9,0)*MATCH(orderHistory[status],$D$11,0)*MATCH(YEAR(orderHistory[status]),$D$15,0)),MATCH(ROW(orderHistory[customer]),ROW(orderHistory[customer])),""),ROWS($A$15:A39)+$B$3))),IF($D$15="",INDEX(orderHistory[status],SMALL(IF(ISNUMBER(MATCH(orderHistory[customer],$D$9,0)*MATCH(orderHistory[status],$D$11,0)*MATCH(orderHistory[order_type],$D$13,0)),MATCH(ROW(orderHistory[customer]),ROW(orderHistory[customer])),""),ROWS($A$15:A39)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W34" s="107"/>
      <c r="AQ34" s="462"/>
      <c r="AR34" s="785"/>
      <c r="AS34" s="786"/>
      <c r="AT34" s="787"/>
      <c r="AU34" s="421"/>
      <c r="AW34" s="460"/>
      <c r="BJ34" s="421"/>
      <c r="BK34" s="450"/>
      <c r="BL34" s="451"/>
      <c r="BM34" s="452"/>
      <c r="BN34" s="451"/>
      <c r="BO34" s="452"/>
      <c r="BX34" s="521"/>
      <c r="BZ34" s="167"/>
      <c r="CA34" s="154" t="str">
        <f>IF(BZ34="","",INDEX(bhpc_data[description],MATCH(BZ34,bhpc_data[sku],0)))</f>
        <v/>
      </c>
      <c r="CB34" s="166"/>
      <c r="CC34" s="358"/>
      <c r="CD34" s="160"/>
      <c r="CE34" s="360"/>
      <c r="CF34" s="161"/>
      <c r="CG34" s="164" t="str">
        <f>IFERROR(ROUNDUP(CB34/INDEX(bhpc_data[units_per_carton],MATCH(BZ34,bhpc_data[sku],0)),0),"")</f>
        <v/>
      </c>
      <c r="CH34" s="165" t="str">
        <f>IFERROR(ROUNDUP(CD34/INDEX(bhpc_data[units_per_carton],MATCH(BZ34,bhpc_data[sku],0)),0),"")</f>
        <v/>
      </c>
      <c r="CI34" s="165" t="str">
        <f>IFERROR(ROUNDUP(CF34/INDEX(bhpc_data[units_per_carton],MATCH(BZ34,bhpc_data[sku])),0),"")</f>
        <v/>
      </c>
      <c r="CJ34" s="165" t="str">
        <f>IFERROR(((CB34+CD34+CF34)/INDEX(bhpc_data[units_per_carton],MATCH(BZ34,bhpc_data[sku],0)))*INDEX(bhpc_data[net_weight],MATCH(BZ34,bhpc_data[sku],0)),"")</f>
        <v/>
      </c>
      <c r="CK34" s="165" t="str">
        <f>IFERROR(((CB34+CD34+CF34)/INDEX(bhpc_data[units_per_carton],MATCH(BZ34,bhpc_data[sku],0)))*INDEX(bhpc_data[gross_weight],MATCH(BZ34,bhpc_data[sku],0)),"")</f>
        <v/>
      </c>
      <c r="CL34" s="180" t="str">
        <f>IFERROR((CB34+CD34+CF34)/INDEX(bhpc_data[units_per_carton],MATCH(BZ34,bhpc_data[sku],0))*INDEX(bhpc_data[lenght],MATCH(BZ34,bhpc_data[sku],0))*INDEX(bhpc_data[width],MATCH(BZ34,bhpc_data[sku],0))*INDEX(bhpc_data[height],MATCH(BZ34,bhpc_data[sku],0))/1000000000,"")</f>
        <v/>
      </c>
      <c r="CM34" s="189" t="str">
        <f>IFERROR(INDEX(bhpc_data[category],MATCH(BZ34,bhpc_data[sku],0)),"")</f>
        <v/>
      </c>
      <c r="CN34" s="189" t="str">
        <f>IFERROR(INDEX(bhpc_data[size1],MATCH(BZ34,bhpc_data[sku],0)),"")</f>
        <v/>
      </c>
      <c r="CO34" s="388" t="str">
        <f>IFERROR(INDEX(bhpc_data[hs_code],MATCH(BZ34,bhpc_data[sku],0)),"")</f>
        <v/>
      </c>
      <c r="CP34" s="377" t="str">
        <f>IFERROR(INDEX(inventory[ESISTENZA],MATCH(BZ34,inventory[ARTICOLO],0)),"")</f>
        <v/>
      </c>
      <c r="CQ34" s="367" t="str">
        <f>IFERROR(IF(BZ34="","",IF($BX$15="SALE",INDEX(inventory[COSTO UNITARIO],MATCH(BZ34,inventory[ARTICOLO],0)),IF($BX$15="SAMPLING",INDEX(inventory[COSTO UNITARIO],MATCH(BZ34,inventory[ARTICOLO],0)),""))),"")</f>
        <v/>
      </c>
      <c r="CR34" s="368" t="str">
        <f t="shared" si="0"/>
        <v/>
      </c>
      <c r="CS34" s="264" t="str">
        <f t="shared" si="1"/>
        <v/>
      </c>
      <c r="CU34" s="505"/>
      <c r="CX34" s="524"/>
      <c r="CY34" s="524"/>
      <c r="DA34" s="432" t="str">
        <f>IFERROR(VLOOKUP(BZ34,bhpc_data[],22,FALSE),"")</f>
        <v/>
      </c>
      <c r="DH34" s="296"/>
      <c r="EE34" s="202" t="str" cm="1">
        <f t="array" ref="EE34">IFERROR(IF($EC$9="",IF($EC$11="",IF($EC$13="",INDEX(bhpc_data[sku],SMALL(MATCH(ROW(bhpc_data[sku]),ROW(bhpc_data[sku])),ROWS($A$15:A39)+$B$3)),INDEX(bhpc_data[sku],SMALL(IF(ISNUMBER(MATCH(bhpc_data[size1],$EC$13,0)),MATCH(ROW(bhpc_data[sku]),ROW(bhpc_data[sku])),""),ROWS($A$15:A39)+$B$3))),IF($EC$13="",INDEX(bhpc_data[sku],SMALL(IF(ISNUMBER(MATCH(bhpc_data[sex],$EC$11,0)),MATCH(ROW(bhpc_data[sku]),ROW(bhpc_data[sku])),""),ROWS($A$15:A39)+$B$3)),INDEX(bhpc_data[sku],SMALL(IF(ISNUMBER(MATCH(bhpc_data[sex],$EC$11,0)*MATCH(bhpc_data[size1],$EC$13,0)),MATCH(ROW(bhpc_data[sku]),ROW(bhpc_data[sku])),""),ROWS($A$15:A39)+$B$3)))),IF($EC$11="",IF($EC$13="",INDEX(bhpc_data[sku],SMALL(IF(ISNUMBER(MATCH(bhpc_data[category],$EC$9,0)),MATCH(ROW(bhpc_data[sku]),ROW(bhpc_data[sku])),""),ROWS($A$15:A39)+$B$3)),INDEX(bhpc_data[sku],SMALL(IF(ISNUMBER(MATCH(bhpc_data[category],$EC$9,0)*MATCH(bhpc_data[size1],$EC$13,0)),MATCH(ROW(bhpc_data[sku]),ROW(bhpc_data[sku])),""),ROWS($A$15:A39)+$B$3))),IF($EC$13="",INDEX(bhpc_data[sku],SMALL(IF(ISNUMBER(MATCH(bhpc_data[category],$EC$9,0)*MATCH(bhpc_data[sex],$EC$11,0)),MATCH(ROW(bhpc_data[sku]),ROW(bhpc_data[sku])),""),ROWS($A$15:A39)+$B$3)),INDEX(bhpc_data[sku],SMALL(IF(ISNUMBER(MATCH(bhpc_data[category],$EC$9,0)*MATCH(bhpc_data[sex],$EC$11,0)*MATCH(bhpc_data[size1],$EC$13,0)),MATCH(ROW(bhpc_data[sku]),ROW(bhpc_data[sku])),""),ROWS($A$15:A39)+$B$3))))),"")</f>
        <v>GSTM12</v>
      </c>
      <c r="EF34" s="198" t="str" cm="1">
        <f t="array" ref="EF34">IFERROR(IF($EC$9="",IF($EC$11="",IF($EC$13="",INDEX(bhpc_data[description],SMALL(MATCH(ROW(bhpc_data[sku]),ROW(bhpc_data[sku])),ROWS($A$15:A39)+$B$3)),INDEX(bhpc_data[description],SMALL(IF(ISNUMBER(MATCH(bhpc_data[size1],$EC$13,0)),MATCH(ROW(bhpc_data[sku]),ROW(bhpc_data[sku])),""),ROWS($A$15:A39)+$B$3))),IF($EC$13="",INDEX(bhpc_data[description],SMALL(IF(ISNUMBER(MATCH(bhpc_data[sex],$EC$11,0)),MATCH(ROW(bhpc_data[sku]),ROW(bhpc_data[sku])),""),ROWS($A$15:A39)+$B$3)),INDEX(bhpc_data[description],SMALL(IF(ISNUMBER(MATCH(bhpc_data[sex],$EC$11,0)*MATCH(bhpc_data[size1],$EC$13,0)),MATCH(ROW(bhpc_data[sku]),ROW(bhpc_data[sku])),""),ROWS($A$15:A39)+$B$3)))),IF($EC$11="",IF($EC$13="",INDEX(bhpc_data[description],SMALL(IF(ISNUMBER(MATCH(bhpc_data[category],$EC$9,0)),MATCH(ROW(bhpc_data[sku]),ROW(bhpc_data[sku])),""),ROWS($A$15:A39)+$B$3)),INDEX(bhpc_data[description],SMALL(IF(ISNUMBER(MATCH(bhpc_data[category],$EC$9,0)*MATCH(bhpc_data[size1],$EC$13,0)),MATCH(ROW(bhpc_data[sku]),ROW(bhpc_data[sku])),""),ROWS($A$15:A39)+$B$3))),IF($EC$13="",INDEX(bhpc_data[description],SMALL(IF(ISNUMBER(MATCH(bhpc_data[category],$EC$9,0)*MATCH(bhpc_data[sex],$EC$11,0)),MATCH(ROW(bhpc_data[sku]),ROW(bhpc_data[sku])),""),ROWS($A$15:A39)+$B$3)),INDEX(bhpc_data[description],SMALL(IF(ISNUMBER(MATCH(bhpc_data[category],$EC$9,0)*MATCH(bhpc_data[sex],$EC$11,0)*MATCH(bhpc_data[size1],$EC$13,0)),MATCH(ROW(bhpc_data[sku]),ROW(bhpc_data[sku])),""),ROWS($A$15:A39)+$B$3))))),"")</f>
        <v>BHPC TWINPACK SPORTS MEN DEO #1 #2 175ML</v>
      </c>
      <c r="EG34" s="263">
        <f>IFERROR(IF(warehouse[[#This Row],[SKU]]="","",INDEX(inventory[ESISTENZA],MATCH(warehouse[[#This Row],[SKU]],inventory[ARTICOLO],0))),"")</f>
        <v>0</v>
      </c>
      <c r="EH34" s="328"/>
      <c r="EI34" s="328"/>
      <c r="EJ34" s="263"/>
      <c r="EK34" s="113"/>
      <c r="FF34" s="413"/>
      <c r="FG34" s="413"/>
      <c r="FH34" s="413"/>
      <c r="FI34" s="413"/>
      <c r="FJ34" s="413"/>
      <c r="FK34" s="413"/>
      <c r="FL34" s="413"/>
      <c r="FM34" s="413"/>
      <c r="FN34" s="413"/>
      <c r="FO34" s="413"/>
      <c r="FP34" s="413"/>
      <c r="FQ34" s="413"/>
      <c r="FR34" s="413"/>
      <c r="FS34" s="413"/>
      <c r="FT34" s="413"/>
      <c r="FU34" s="413"/>
      <c r="FV34" s="413"/>
      <c r="FW34" s="413"/>
      <c r="FX34" s="413"/>
      <c r="FY34" s="413"/>
      <c r="FZ34" s="413"/>
      <c r="GA34" s="413"/>
      <c r="GB34" s="413"/>
      <c r="GC34" s="413"/>
      <c r="GD34" s="413"/>
      <c r="GE34" s="413"/>
      <c r="GF34" s="413"/>
      <c r="GG34" s="413"/>
      <c r="GH34" s="413"/>
      <c r="GI34" s="413"/>
      <c r="GJ34" s="413"/>
      <c r="GK34" s="413"/>
      <c r="GL34" s="413"/>
      <c r="GM34" s="413"/>
      <c r="GN34" s="413"/>
      <c r="GO34" s="413"/>
      <c r="GP34" s="413"/>
      <c r="GQ34" s="413"/>
      <c r="GR34" s="413"/>
      <c r="GS34" s="413"/>
      <c r="GT34" s="413"/>
      <c r="GU34" s="413"/>
      <c r="GV34" s="413"/>
      <c r="GW34" s="413"/>
      <c r="GX34" s="413"/>
      <c r="GY34" s="413"/>
      <c r="GZ34" s="413"/>
      <c r="HA34" s="413"/>
      <c r="HB34" s="413"/>
      <c r="HC34" s="413"/>
      <c r="HD34" s="413"/>
      <c r="HE34" s="413"/>
      <c r="HF34" s="413"/>
      <c r="HG34" s="413"/>
      <c r="HH34" s="413"/>
      <c r="HI34" s="413"/>
      <c r="HJ34" s="413"/>
      <c r="HK34" s="413"/>
      <c r="HL34" s="413"/>
      <c r="HM34" s="413"/>
      <c r="HN34" s="413"/>
      <c r="HO34" s="413"/>
      <c r="HP34" s="413"/>
      <c r="HQ34" s="413"/>
      <c r="HR34" s="413"/>
      <c r="HS34" s="413"/>
      <c r="HT34" s="413"/>
    </row>
    <row r="35" spans="10:228" ht="15" customHeight="1" thickBot="1" x14ac:dyDescent="0.4">
      <c r="L35" s="539" t="str">
        <f t="array" ref="L35">IFERROR(IF($D$9="",IF($D$11="",IF($D$13="",IF($D$15="",INDEX(orderHistory[customer],SMALL(MATCH(ROW(orderHistory[customer]),ROW(orderHistory[customer])),ROWS($A$15:A40)+$B$3)),INDEX(orderHistory[customer],SMALL(IF(ISNUMBER(MATCH(YEAR(orderHistory[invoice_date]),$D$15,0)),MATCH(ROW(orderHistory[customer]),ROW(orderHistory[customer])),""),ROWS($A$15:A40)+$B$3))),IF($D$15="",INDEX(orderHistory[customer],SMALL(IF(ISNUMBER(MATCH(orderHistory[order_type],$D$13,0)),MATCH(ROW(orderHistory[customer]),ROW(orderHistory[customer])),""),ROWS($A$15:A40)+$B$3)),INDEX(orderHistory[customer],SMALL(IF(ISNUMBER(MATCH(orderHistory[order_type],$D$13,0)*MATCH(YEAR(orderHistory[invoice_date]),$D$15,0)),MATCH(ROW(orderHistory[customer]),ROW(orderHistory[customer])),""),ROWS($A$15:A40)+$B$3)))),IF($D$13="",IF($D$15="",INDEX(orderHistory[customer],SMALL(IF(ISNUMBER(MATCH(orderHistory[status],$D$11,0)),MATCH(ROW(orderHistory[customer]),ROW(orderHistory[customer])),""),ROWS($A$15:A40)+$B$3)),INDEX(orderHistory[customer],SMALL(IF(ISNUMBER(MATCH(orderHistory[status],$D$11,0)*MATCH(YEAR(orderHistory[invoice_date]),$D$15,0)),MATCH(ROW(orderHistory[customer]),ROW(orderHistory[customer])),""),ROWS($A$15:A40)+$B$3))),IF($D$15="",INDEX(orderHistory[customer],SMALL(IF(ISNUMBER(MATCH(orderHistory[status],$D$11,0)*MATCH(orderHistory[order_type],$D$13,0)),MATCH(ROW(orderHistory[customer]),ROW(orderHistory[customer])),""),ROWS($A$15:A40)+$B$3)),INDEX(orderHistory[customer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customer],SMALL(IF(ISNUMBER(MATCH(orderHistory[customer],$D$9,0)),MATCH(ROW(orderHistory[customer]),ROW(orderHistory[customer])),""),ROWS($A$15:A40)+$B$3)),INDEX(orderHistory[customer],SMALL(IF(ISNUMBER(MATCH(orderHistory[customer],$D$9,0)*MATCH(YEAR(orderHistory[invoice_date]),$D$15,0)),MATCH(ROW(orderHistory[customer]),ROW(orderHistory[customer])),""),ROWS($A$15:A40)+$B$3))),IF($D$15="",INDEX(orderHistory[customer],SMALL(IF(ISNUMBER(MATCH(orderHistory[customer],$D$9,0)*MATCH(orderHistory[order_type],$D$13,0)),MATCH(ROW(orderHistory[customer]),ROW(orderHistory[customer])),""),ROWS($A$15:A40)+$B$3)),INDEX(orderHistory[customer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customer],SMALL(IF(ISNUMBER(MATCH(orderHistory[customer],$D$9,0)*MATCH(orderHistory[status],$D$11,0)),MATCH(ROW(orderHistory[customer]),ROW(orderHistory[customer])),""),ROWS($A$15:A40)+$B$3)),INDEX(orderHistory[customer],SMALL(IF(ISNUMBER(MATCH(orderHistory[customer],$D$9,0)*MATCH(orderHistory[status],$D$11,0)*MATCH(YEAR(orderHistory[invoice_date]),$D$15,0)),MATCH(ROW(orderHistory[customer]),ROW(orderHistory[customer])),""),ROWS($A$15:A40)+$B$3))),IF($D$15="",INDEX(orderHistory[customer],SMALL(IF(ISNUMBER(MATCH(orderHistory[customer],$D$9,0)*MATCH(orderHistory[status],$D$11,0)*MATCH(orderHistory[order_type],$D$13,0)),MATCH(ROW(orderHistory[customer]),ROW(orderHistory[customer])),""),ROWS($A$15:A40)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M35" s="540" t="str">
        <f t="array" ref="M35">IFERROR(IF($D$9="",IF($D$11="",IF($D$13="",IF($D$15="",INDEX(orderHistory[order_no],SMALL(MATCH(ROW(orderHistory[customer]),ROW(orderHistory[customer])),ROWS($A$15:A40)+$B$3)),INDEX(orderHistory[order_no],SMALL(IF(ISNUMBER(MATCH(YEAR(orderHistory[invoice_date]),$D$15,0)),MATCH(ROW(orderHistory[customer]),ROW(orderHistory[customer])),""),ROWS($A$15:A40)+$B$3))),IF($D$15="",INDEX(orderHistory[order_no],SMALL(IF(ISNUMBER(MATCH(orderHistory[order_type],$D$13,0)),MATCH(ROW(orderHistory[customer]),ROW(orderHistory[customer])),""),ROWS($A$15:A40)+$B$3)),INDEX(orderHistory[order_no],SMALL(IF(ISNUMBER(MATCH(orderHistory[order_type],$D$13,0)*MATCH(YEAR(orderHistory[invoice_date]),$D$15,0)),MATCH(ROW(orderHistory[customer]),ROW(orderHistory[customer])),""),ROWS($A$15:A40)+$B$3)))),IF($D$13="",IF($D$15="",INDEX(orderHistory[order_no],SMALL(IF(ISNUMBER(MATCH(orderHistory[status],$D$11,0)),MATCH(ROW(orderHistory[customer]),ROW(orderHistory[customer])),""),ROWS($A$15:A40)+$B$3)),INDEX(orderHistory[order_no],SMALL(IF(ISNUMBER(MATCH(orderHistory[status],$D$11,0)*MATCH(YEAR(orderHistory[invoice_date]),$D$15,0)),MATCH(ROW(orderHistory[customer]),ROW(orderHistory[customer])),""),ROWS($A$15:A40)+$B$3))),IF($D$15="",INDEX(orderHistory[order_no],SMALL(IF(ISNUMBER(MATCH(orderHistory[status],$D$11,0)*MATCH(orderHistory[order_type],$D$13,0)),MATCH(ROW(orderHistory[customer]),ROW(orderHistory[customer])),""),ROWS($A$15:A40)+$B$3)),INDEX(orderHistory[order_no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no],SMALL(IF(ISNUMBER(MATCH(orderHistory[customer],$D$9,0)),MATCH(ROW(orderHistory[customer]),ROW(orderHistory[customer])),""),ROWS($A$15:A40)+$B$3)),INDEX(orderHistory[order_no],SMALL(IF(ISNUMBER(MATCH(orderHistory[customer],$D$9,0)*MATCH(YEAR(orderHistory[invoice_date]),$D$15,0)),MATCH(ROW(orderHistory[customer]),ROW(orderHistory[customer])),""),ROWS($A$15:A40)+$B$3))),IF($D$15="",INDEX(orderHistory[order_no],SMALL(IF(ISNUMBER(MATCH(orderHistory[customer],$D$9,0)*MATCH(orderHistory[order_type],$D$13,0)),MATCH(ROW(orderHistory[customer]),ROW(orderHistory[customer])),""),ROWS($A$15:A40)+$B$3)),INDEX(orderHistory[order_no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no],SMALL(IF(ISNUMBER(MATCH(orderHistory[customer],$D$9,0)*MATCH(orderHistory[status],$D$11,0)),MATCH(ROW(orderHistory[customer]),ROW(orderHistory[customer])),""),ROWS($A$15:A40)+$B$3)),INDEX(orderHistory[order_no],SMALL(IF(ISNUMBER(MATCH(orderHistory[customer],$D$9,0)*MATCH(orderHistory[status],$D$11,0)*MATCH(YEAR(orderHistory[invoice_date]),$D$15,0)),MATCH(ROW(orderHistory[customer]),ROW(orderHistory[customer])),""),ROWS($A$15:A40)+$B$3))),IF($D$15="",INDEX(orderHistory[order_no],SMALL(IF(ISNUMBER(MATCH(orderHistory[customer],$D$9,0)*MATCH(orderHistory[status],$D$11,0)*MATCH(orderHistory[order_type],$D$13,0)),MATCH(ROW(orderHistory[customer]),ROW(orderHistory[customer])),""),ROWS($A$15:A40)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N35" s="541" t="str">
        <f t="array" ref="N35">IFERROR(IF($D$9="",IF($D$11="",IF($D$13="",IF($D$15="",INDEX(orderHistory[order_type],SMALL(MATCH(ROW(orderHistory[customer]),ROW(orderHistory[customer])),ROWS($A$15:A40)+$B$3)),INDEX(orderHistory[order_type],SMALL(IF(ISNUMBER(MATCH(YEAR(orderHistory[invoice_date]),$D$15,0)),MATCH(ROW(orderHistory[customer]),ROW(orderHistory[customer])),""),ROWS($A$15:A40)+$B$3))),IF($D$15="",INDEX(orderHistory[order_type],SMALL(IF(ISNUMBER(MATCH(orderHistory[order_type],$D$13,0)),MATCH(ROW(orderHistory[customer]),ROW(orderHistory[customer])),""),ROWS($A$15:A40)+$B$3)),INDEX(orderHistory[order_type],SMALL(IF(ISNUMBER(MATCH(orderHistory[order_type],$D$13,0)*MATCH(YEAR(orderHistory[invoice_date]),$D$15,0)),MATCH(ROW(orderHistory[customer]),ROW(orderHistory[customer])),""),ROWS($A$15:A40)+$B$3)))),IF($D$13="",IF($D$15="",INDEX(orderHistory[order_type],SMALL(IF(ISNUMBER(MATCH(orderHistory[status],$D$11,0)),MATCH(ROW(orderHistory[customer]),ROW(orderHistory[customer])),""),ROWS($A$15:A40)+$B$3)),INDEX(orderHistory[order_type],SMALL(IF(ISNUMBER(MATCH(orderHistory[status],$D$11,0)*MATCH(YEAR(orderHistory[invoice_date]),$D$15,0)),MATCH(ROW(orderHistory[customer]),ROW(orderHistory[customer])),""),ROWS($A$15:A40)+$B$3))),IF($D$15="",INDEX(orderHistory[order_type],SMALL(IF(ISNUMBER(MATCH(orderHistory[status],$D$11,0)*MATCH(orderHistory[order_type],$D$13,0)),MATCH(ROW(orderHistory[customer]),ROW(orderHistory[customer])),""),ROWS($A$15:A40)+$B$3)),INDEX(orderHistory[order_typ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type],SMALL(IF(ISNUMBER(MATCH(orderHistory[customer],$D$9,0)),MATCH(ROW(orderHistory[customer]),ROW(orderHistory[customer])),""),ROWS($A$15:A40)+$B$3)),INDEX(orderHistory[order_type],SMALL(IF(ISNUMBER(MATCH(orderHistory[customer],$D$9,0)*MATCH(YEAR(orderHistory[invoice_date]),$D$15,0)),MATCH(ROW(orderHistory[customer]),ROW(orderHistory[customer])),""),ROWS($A$15:A40)+$B$3))),IF($D$15="",INDEX(orderHistory[order_type],SMALL(IF(ISNUMBER(MATCH(orderHistory[customer],$D$9,0)*MATCH(orderHistory[order_type],$D$13,0)),MATCH(ROW(orderHistory[customer]),ROW(orderHistory[customer])),""),ROWS($A$15:A40)+$B$3)),INDEX(orderHistory[order_typ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type],SMALL(IF(ISNUMBER(MATCH(orderHistory[customer],$D$9,0)*MATCH(orderHistory[status],$D$11,0)),MATCH(ROW(orderHistory[customer]),ROW(orderHistory[customer])),""),ROWS($A$15:A40)+$B$3)),INDEX(orderHistory[order_type],SMALL(IF(ISNUMBER(MATCH(orderHistory[customer],$D$9,0)*MATCH(orderHistory[status],$D$11,0)*MATCH(YEAR(orderHistory[invoice_date]),$D$15,0)),MATCH(ROW(orderHistory[customer]),ROW(orderHistory[customer])),""),ROWS($A$15:A40)+$B$3))),IF($D$15="",INDEX(orderHistory[order_type],SMALL(IF(ISNUMBER(MATCH(orderHistory[customer],$D$9,0)*MATCH(orderHistory[status],$D$11,0)*MATCH(orderHistory[order_type],$D$13,0)),MATCH(ROW(orderHistory[customer]),ROW(orderHistory[customer])),""),ROWS($A$15:A40)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O35" s="542" t="str">
        <f t="array" ref="O35">IFERROR(IF($D$9="",IF($D$11="",IF($D$13="",IF($D$15="",INDEX(orderHistory[order_date],SMALL(MATCH(ROW(orderHistory[customer]),ROW(orderHistory[customer])),ROWS($A$15:A40)+$B$3)),INDEX(orderHistory[order_date],SMALL(IF(ISNUMBER(MATCH(YEAR(orderHistory[invoice_date]),$D$15,0)),MATCH(ROW(orderHistory[customer]),ROW(orderHistory[customer])),""),ROWS($A$15:A40)+$B$3))),IF($D$15="",INDEX(orderHistory[order_date],SMALL(IF(ISNUMBER(MATCH(orderHistory[order_type],$D$13,0)),MATCH(ROW(orderHistory[customer]),ROW(orderHistory[customer])),""),ROWS($A$15:A40)+$B$3)),INDEX(orderHistory[order_date],SMALL(IF(ISNUMBER(MATCH(orderHistory[order_type],$D$13,0)*MATCH(YEAR(orderHistory[invoice_date]),$D$15,0)),MATCH(ROW(orderHistory[customer]),ROW(orderHistory[customer])),""),ROWS($A$15:A40)+$B$3)))),IF($D$13="",IF($D$15="",INDEX(orderHistory[order_date],SMALL(IF(ISNUMBER(MATCH(orderHistory[status],$D$11,0)),MATCH(ROW(orderHistory[customer]),ROW(orderHistory[customer])),""),ROWS($A$15:A40)+$B$3)),INDEX(orderHistory[order_date],SMALL(IF(ISNUMBER(MATCH(orderHistory[status],$D$11,0)*MATCH(YEAR(orderHistory[invoice_date]),$D$15,0)),MATCH(ROW(orderHistory[customer]),ROW(orderHistory[customer])),""),ROWS($A$15:A40)+$B$3))),IF($D$15="",INDEX(orderHistory[order_date],SMALL(IF(ISNUMBER(MATCH(orderHistory[status],$D$11,0)*MATCH(orderHistory[order_type],$D$13,0)),MATCH(ROW(orderHistory[customer]),ROW(orderHistory[customer])),""),ROWS($A$15:A40)+$B$3)),INDEX(orderHistory[order_dat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date],SMALL(IF(ISNUMBER(MATCH(orderHistory[customer],$D$9,0)),MATCH(ROW(orderHistory[customer]),ROW(orderHistory[customer])),""),ROWS($A$15:A40)+$B$3)),INDEX(orderHistory[order_date],SMALL(IF(ISNUMBER(MATCH(orderHistory[customer],$D$9,0)*MATCH(YEAR(orderHistory[invoice_date]),$D$15,0)),MATCH(ROW(orderHistory[customer]),ROW(orderHistory[customer])),""),ROWS($A$15:A40)+$B$3))),IF($D$15="",INDEX(orderHistory[order_date],SMALL(IF(ISNUMBER(MATCH(orderHistory[customer],$D$9,0)*MATCH(orderHistory[order_type],$D$13,0)),MATCH(ROW(orderHistory[customer]),ROW(orderHistory[customer])),""),ROWS($A$15:A40)+$B$3)),INDEX(orderHistory[order_dat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date],SMALL(IF(ISNUMBER(MATCH(orderHistory[customer],$D$9,0)*MATCH(orderHistory[status],$D$11,0)),MATCH(ROW(orderHistory[customer]),ROW(orderHistory[customer])),""),ROWS($A$15:A40)+$B$3)),INDEX(orderHistory[order_date],SMALL(IF(ISNUMBER(MATCH(orderHistory[customer],$D$9,0)*MATCH(orderHistory[status],$D$11,0)*MATCH(YEAR(orderHistory[invoice_date]),$D$15,0)),MATCH(ROW(orderHistory[customer]),ROW(orderHistory[customer])),""),ROWS($A$15:A40)+$B$3))),IF($D$15="",INDEX(orderHistory[order_date],SMALL(IF(ISNUMBER(MATCH(orderHistory[customer],$D$9,0)*MATCH(orderHistory[status],$D$11,0)*MATCH(orderHistory[order_type],$D$13,0)),MATCH(ROW(orderHistory[customer]),ROW(orderHistory[customer])),""),ROWS($A$15:A40)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P35" s="543" t="str">
        <f t="array" ref="P35">IFERROR(IF($D$9="",IF($D$11="",IF($D$13="",IF($D$15="",INDEX(orderHistory[invoice_no],SMALL(MATCH(ROW(orderHistory[customer]),ROW(orderHistory[customer])),ROWS($A$15:A40)+$B$3)),INDEX(orderHistory[invoice_no],SMALL(IF(ISNUMBER(MATCH(YEAR(orderHistory[invoice_date]),$D$15,0)),MATCH(ROW(orderHistory[customer]),ROW(orderHistory[customer])),""),ROWS($A$15:A40)+$B$3))),IF($D$15="",INDEX(orderHistory[invoice_no],SMALL(IF(ISNUMBER(MATCH(orderHistory[order_type],$D$13,0)),MATCH(ROW(orderHistory[customer]),ROW(orderHistory[customer])),""),ROWS($A$15:A40)+$B$3)),INDEX(orderHistory[invoice_no],SMALL(IF(ISNUMBER(MATCH(orderHistory[order_type],$D$13,0)*MATCH(YEAR(orderHistory[invoice_date]),$D$15,0)),MATCH(ROW(orderHistory[customer]),ROW(orderHistory[customer])),""),ROWS($A$15:A40)+$B$3)))),IF($D$13="",IF($D$15="",INDEX(orderHistory[invoice_no],SMALL(IF(ISNUMBER(MATCH(orderHistory[status],$D$11,0)),MATCH(ROW(orderHistory[customer]),ROW(orderHistory[customer])),""),ROWS($A$15:A40)+$B$3)),INDEX(orderHistory[invoice_no],SMALL(IF(ISNUMBER(MATCH(orderHistory[status],$D$11,0)*MATCH(YEAR(orderHistory[invoice_date]),$D$15,0)),MATCH(ROW(orderHistory[customer]),ROW(orderHistory[customer])),""),ROWS($A$15:A40)+$B$3))),IF($D$15="",INDEX(orderHistory[invoice_no],SMALL(IF(ISNUMBER(MATCH(orderHistory[status],$D$11,0)*MATCH(orderHistory[order_type],$D$13,0)),MATCH(ROW(orderHistory[customer]),ROW(orderHistory[customer])),""),ROWS($A$15:A40)+$B$3)),INDEX(orderHistory[invoice_no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oice_no],SMALL(IF(ISNUMBER(MATCH(orderHistory[customer],$D$9,0)),MATCH(ROW(orderHistory[customer]),ROW(orderHistory[customer])),""),ROWS($A$15:A40)+$B$3)),INDEX(orderHistory[invoice_no],SMALL(IF(ISNUMBER(MATCH(orderHistory[customer],$D$9,0)*MATCH(YEAR(orderHistory[invoice_date]),$D$15,0)),MATCH(ROW(orderHistory[customer]),ROW(orderHistory[customer])),""),ROWS($A$15:A40)+$B$3))),IF($D$15="",INDEX(orderHistory[invoice_no],SMALL(IF(ISNUMBER(MATCH(orderHistory[customer],$D$9,0)*MATCH(orderHistory[order_type],$D$13,0)),MATCH(ROW(orderHistory[customer]),ROW(orderHistory[customer])),""),ROWS($A$15:A40)+$B$3)),INDEX(orderHistory[invoice_no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YEAR(orderHistory[invoice_date]),$D$15,0)),MATCH(ROW(orderHistory[customer]),ROW(orderHistory[customer])),""),ROWS($A$15:A40)+$B$3))),IF($D$15="",INDEX(orderHistory[invoice_no],SMALL(IF(ISNUMBER(MATCH(orderHistory[customer],$D$9,0)*MATCH(orderHistory[status],$D$11,0)*MATCH(orderHistory[order_type],$D$13,0)),MATCH(ROW(orderHistory[customer]),ROW(orderHistory[customer])),""),ROWS($A$15:A40)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Q35" s="544" t="str">
        <f t="array" ref="Q35">IFERROR(IF($D$9="",IF($D$11="",IF($D$13="",IF($D$15="",INDEX(orderHistory[invoice_date],SMALL(MATCH(ROW(orderHistory[customer]),ROW(orderHistory[customer])),ROWS($A$15:A40)+$B$3)),INDEX(orderHistory[invoice_date],SMALL(IF(ISNUMBER(MATCH(YEAR(orderHistory[invoice_date]),$D$15,0)),MATCH(ROW(orderHistory[customer]),ROW(orderHistory[customer])),""),ROWS($A$15:A40)+$B$3))),IF($D$15="",INDEX(orderHistory[invoice_date],SMALL(IF(ISNUMBER(MATCH(orderHistory[order_type],$D$13,0)),MATCH(ROW(orderHistory[customer]),ROW(orderHistory[customer])),""),ROWS($A$15:A40)+$B$3)),INDEX(orderHistory[invoice_date],SMALL(IF(ISNUMBER(MATCH(orderHistory[order_type],$D$13,0)*MATCH(YEAR(orderHistory[invoice_date]),$D$15,0)),MATCH(ROW(orderHistory[customer]),ROW(orderHistory[customer])),""),ROWS($A$15:A40)+$B$3)))),IF($D$13="",IF($D$15="",INDEX(orderHistory[invoice_date],SMALL(IF(ISNUMBER(MATCH(orderHistory[status],$D$11,0)),MATCH(ROW(orderHistory[customer]),ROW(orderHistory[customer])),""),ROWS($A$15:A40)+$B$3)),INDEX(orderHistory[invoice_date],SMALL(IF(ISNUMBER(MATCH(orderHistory[status],$D$11,0)*MATCH(YEAR(orderHistory[invoice_date]),$D$15,0)),MATCH(ROW(orderHistory[customer]),ROW(orderHistory[customer])),""),ROWS($A$15:A40)+$B$3))),IF($D$15="",INDEX(orderHistory[invoice_date],SMALL(IF(ISNUMBER(MATCH(orderHistory[status],$D$11,0)*MATCH(orderHistory[order_type],$D$13,0)),MATCH(ROW(orderHistory[customer]),ROW(orderHistory[customer])),""),ROWS($A$15:A40)+$B$3)),INDEX(orderHistory[invoice_dat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oice_date],SMALL(IF(ISNUMBER(MATCH(orderHistory[customer],$D$9,0)),MATCH(ROW(orderHistory[customer]),ROW(orderHistory[customer])),""),ROWS($A$15:A40)+$B$3)),INDEX(orderHistory[invoice_date],SMALL(IF(ISNUMBER(MATCH(orderHistory[customer],$D$9,0)*MATCH(YEAR(orderHistory[invoice_date]),$D$15,0)),MATCH(ROW(orderHistory[customer]),ROW(orderHistory[customer])),""),ROWS($A$15:A40)+$B$3))),IF($D$15="",INDEX(orderHistory[invoice_date],SMALL(IF(ISNUMBER(MATCH(orderHistory[customer],$D$9,0)*MATCH(orderHistory[order_type],$D$13,0)),MATCH(ROW(orderHistory[customer]),ROW(orderHistory[customer])),""),ROWS($A$15:A40)+$B$3)),INDEX(orderHistory[invoice_dat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YEAR(orderHistory[invoice_date]),$D$15,0)),MATCH(ROW(orderHistory[customer]),ROW(orderHistory[customer])),""),ROWS($A$15:A40)+$B$3))),IF($D$15="",INDEX(orderHistory[invoice_date],SMALL(IF(ISNUMBER(MATCH(orderHistory[customer],$D$9,0)*MATCH(orderHistory[status],$D$11,0)*MATCH(orderHistory[order_type],$D$13,0)),MATCH(ROW(orderHistory[customer]),ROW(orderHistory[customer])),""),ROWS($A$15:A40)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R35" s="545" t="str">
        <f t="array" ref="R35">IFERROR(IF($D$9="",IF($D$11="",IF($D$13="",IF($D$15="",INDEX(orderHistory[inv_amount],SMALL(MATCH(ROW(orderHistory[customer]),ROW(orderHistory[customer])),ROWS($A$15:A40)+$B$3)),INDEX(orderHistory[inv_amount],SMALL(IF(ISNUMBER(MATCH(YEAR(orderHistory[invoice_date]),$D$15,0)),MATCH(ROW(orderHistory[customer]),ROW(orderHistory[customer])),""),ROWS($A$15:A40)+$B$3))),IF($D$15="",INDEX(orderHistory[inv_amount],SMALL(IF(ISNUMBER(MATCH(orderHistory[order_type],$D$13,0)),MATCH(ROW(orderHistory[customer]),ROW(orderHistory[customer])),""),ROWS($A$15:A40)+$B$3)),INDEX(orderHistory[inv_amount],SMALL(IF(ISNUMBER(MATCH(orderHistory[order_type],$D$13,0)*MATCH(YEAR(orderHistory[invoice_date]),$D$15,0)),MATCH(ROW(orderHistory[customer]),ROW(orderHistory[customer])),""),ROWS($A$15:A40)+$B$3)))),IF($D$13="",IF($D$15="",INDEX(orderHistory[inv_amount],SMALL(IF(ISNUMBER(MATCH(orderHistory[status],$D$11,0)),MATCH(ROW(orderHistory[customer]),ROW(orderHistory[customer])),""),ROWS($A$15:A40)+$B$3)),INDEX(orderHistory[inv_amount],SMALL(IF(ISNUMBER(MATCH(orderHistory[status],$D$11,0)*MATCH(YEAR(orderHistory[invoice_date]),$D$15,0)),MATCH(ROW(orderHistory[customer]),ROW(orderHistory[customer])),""),ROWS($A$15:A40)+$B$3))),IF($D$15="",INDEX(orderHistory[inv_amount],SMALL(IF(ISNUMBER(MATCH(orderHistory[status],$D$11,0)*MATCH(orderHistory[order_type],$D$13,0)),MATCH(ROW(orderHistory[customer]),ROW(orderHistory[customer])),""),ROWS($A$15:A40)+$B$3)),INDEX(orderHistory[inv_amount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_amount],SMALL(IF(ISNUMBER(MATCH(orderHistory[customer],$D$9,0)),MATCH(ROW(orderHistory[customer]),ROW(orderHistory[customer])),""),ROWS($A$15:A40)+$B$3)),INDEX(orderHistory[inv_amount],SMALL(IF(ISNUMBER(MATCH(orderHistory[customer],$D$9,0)*MATCH(YEAR(orderHistory[invoice_date]),$D$15,0)),MATCH(ROW(orderHistory[customer]),ROW(orderHistory[customer])),""),ROWS($A$15:A40)+$B$3))),IF($D$15="",INDEX(orderHistory[inv_amount],SMALL(IF(ISNUMBER(MATCH(orderHistory[customer],$D$9,0)*MATCH(orderHistory[order_type],$D$13,0)),MATCH(ROW(orderHistory[customer]),ROW(orderHistory[customer])),""),ROWS($A$15:A40)+$B$3)),INDEX(orderHistory[inv_amount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_amount],SMALL(IF(ISNUMBER(MATCH(orderHistory[customer],$D$9,0)*MATCH(orderHistory[status],$D$11,0)),MATCH(ROW(orderHistory[customer]),ROW(orderHistory[customer])),""),ROWS($A$15:A40)+$B$3)),INDEX(orderHistory[inv_amount],SMALL(IF(ISNUMBER(MATCH(orderHistory[customer],$D$9,0)*MATCH(orderHistory[status],$D$11,0)*MATCH(YEAR(orderHistory[inv_amount]),$D$15,0)),MATCH(ROW(orderHistory[customer]),ROW(orderHistory[customer])),""),ROWS($A$15:A40)+$B$3))),IF($D$15="",INDEX(orderHistory[inv_amount],SMALL(IF(ISNUMBER(MATCH(orderHistory[customer],$D$9,0)*MATCH(orderHistory[status],$D$11,0)*MATCH(orderHistory[order_type],$D$13,0)),MATCH(ROW(orderHistory[customer]),ROW(orderHistory[customer])),""),ROWS($A$15:A40)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S35" s="546" t="str">
        <f t="shared" si="2"/>
        <v/>
      </c>
      <c r="T35" s="547" t="str">
        <f t="array" ref="T35">IFERROR(IF($D$9="",IF($D$11="",IF($D$13="",IF($D$15="",INDEX(orderHistory[payed],SMALL(MATCH(ROW(orderHistory[customer]),ROW(orderHistory[customer])),ROWS($A$15:A40)+$B$3)),INDEX(orderHistory[payed],SMALL(IF(ISNUMBER(MATCH(YEAR(orderHistory[invoice_date]),$D$15,0)),MATCH(ROW(orderHistory[customer]),ROW(orderHistory[customer])),""),ROWS($A$15:A40)+$B$3))),IF($D$15="",INDEX(orderHistory[payed],SMALL(IF(ISNUMBER(MATCH(orderHistory[order_type],$D$13,0)),MATCH(ROW(orderHistory[customer]),ROW(orderHistory[customer])),""),ROWS($A$15:A40)+$B$3)),INDEX(orderHistory[payed],SMALL(IF(ISNUMBER(MATCH(orderHistory[order_type],$D$13,0)*MATCH(YEAR(orderHistory[invoice_date]),$D$15,0)),MATCH(ROW(orderHistory[customer]),ROW(orderHistory[customer])),""),ROWS($A$15:A40)+$B$3)))),IF($D$13="",IF($D$15="",INDEX(orderHistory[payed],SMALL(IF(ISNUMBER(MATCH(orderHistory[status],$D$11,0)),MATCH(ROW(orderHistory[customer]),ROW(orderHistory[customer])),""),ROWS($A$15:A40)+$B$3)),INDEX(orderHistory[payed],SMALL(IF(ISNUMBER(MATCH(orderHistory[status],$D$11,0)*MATCH(YEAR(orderHistory[invoice_date]),$D$15,0)),MATCH(ROW(orderHistory[customer]),ROW(orderHistory[customer])),""),ROWS($A$15:A40)+$B$3))),IF($D$15="",INDEX(orderHistory[payed],SMALL(IF(ISNUMBER(MATCH(orderHistory[status],$D$11,0)*MATCH(orderHistory[order_type],$D$13,0)),MATCH(ROW(orderHistory[customer]),ROW(orderHistory[customer])),""),ROWS($A$15:A40)+$B$3)),INDEX(orderHistory[payed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payed],SMALL(IF(ISNUMBER(MATCH(orderHistory[customer],$D$9,0)),MATCH(ROW(orderHistory[customer]),ROW(orderHistory[customer])),""),ROWS($A$15:A40)+$B$3)),INDEX(orderHistory[payed],SMALL(IF(ISNUMBER(MATCH(orderHistory[customer],$D$9,0)*MATCH(YEAR(orderHistory[invoice_date]),$D$15,0)),MATCH(ROW(orderHistory[customer]),ROW(orderHistory[customer])),""),ROWS($A$15:A40)+$B$3))),IF($D$15="",INDEX(orderHistory[payed],SMALL(IF(ISNUMBER(MATCH(orderHistory[customer],$D$9,0)*MATCH(orderHistory[order_type],$D$13,0)),MATCH(ROW(orderHistory[customer]),ROW(orderHistory[customer])),""),ROWS($A$15:A40)+$B$3)),INDEX(orderHistory[payed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payed],SMALL(IF(ISNUMBER(MATCH(orderHistory[customer],$D$9,0)*MATCH(orderHistory[status],$D$11,0)),MATCH(ROW(orderHistory[customer]),ROW(orderHistory[customer])),""),ROWS($A$15:A40)+$B$3)),INDEX(orderHistory[payed],SMALL(IF(ISNUMBER(MATCH(orderHistory[customer],$D$9,0)*MATCH(orderHistory[status],$D$11,0)*MATCH(YEAR(orderHistory[payed]),$D$15,0)),MATCH(ROW(orderHistory[customer]),ROW(orderHistory[customer])),""),ROWS($A$15:A40)+$B$3))),IF($D$15="",INDEX(orderHistory[payed],SMALL(IF(ISNUMBER(MATCH(orderHistory[customer],$D$9,0)*MATCH(orderHistory[status],$D$11,0)*MATCH(orderHistory[order_type],$D$13,0)),MATCH(ROW(orderHistory[customer]),ROW(orderHistory[customer])),""),ROWS($A$15:A40)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U35" s="541" t="str">
        <f t="array" ref="U35">IFERROR(IF($D$9="",IF($D$11="",IF($D$13="",IF($D$15="",INDEX(orderHistory[shipping_method],SMALL(MATCH(ROW(orderHistory[customer]),ROW(orderHistory[customer])),ROWS($A$15:A40)+$B$3)),INDEX(orderHistory[shipping_method],SMALL(IF(ISNUMBER(MATCH(YEAR(orderHistory[invoice_date]),$D$15,0)),MATCH(ROW(orderHistory[customer]),ROW(orderHistory[customer])),""),ROWS($A$15:A40)+$B$3))),IF($D$15="",INDEX(orderHistory[shipping_method],SMALL(IF(ISNUMBER(MATCH(orderHistory[order_type],$D$13,0)),MATCH(ROW(orderHistory[customer]),ROW(orderHistory[customer])),""),ROWS($A$15:A40)+$B$3)),INDEX(orderHistory[shipping_method],SMALL(IF(ISNUMBER(MATCH(orderHistory[order_type],$D$13,0)*MATCH(YEAR(orderHistory[invoice_date]),$D$15,0)),MATCH(ROW(orderHistory[customer]),ROW(orderHistory[customer])),""),ROWS($A$15:A40)+$B$3)))),IF($D$13="",IF($D$15="",INDEX(orderHistory[shipping_method],SMALL(IF(ISNUMBER(MATCH(orderHistory[status],$D$11,0)),MATCH(ROW(orderHistory[customer]),ROW(orderHistory[customer])),""),ROWS($A$15:A40)+$B$3)),INDEX(orderHistory[shipping_method],SMALL(IF(ISNUMBER(MATCH(orderHistory[status],$D$11,0)*MATCH(YEAR(orderHistory[invoice_date]),$D$15,0)),MATCH(ROW(orderHistory[customer]),ROW(orderHistory[customer])),""),ROWS($A$15:A40)+$B$3))),IF($D$15="",INDEX(orderHistory[shipping_method],SMALL(IF(ISNUMBER(MATCH(orderHistory[status],$D$11,0)*MATCH(orderHistory[order_type],$D$13,0)),MATCH(ROW(orderHistory[customer]),ROW(orderHistory[customer])),""),ROWS($A$15:A40)+$B$3)),INDEX(orderHistory[shipping_method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shipping_method],SMALL(IF(ISNUMBER(MATCH(orderHistory[customer],$D$9,0)),MATCH(ROW(orderHistory[customer]),ROW(orderHistory[customer])),""),ROWS($A$15:A40)+$B$3)),INDEX(orderHistory[shipping_method],SMALL(IF(ISNUMBER(MATCH(orderHistory[customer],$D$9,0)*MATCH(YEAR(orderHistory[invoice_date]),$D$15,0)),MATCH(ROW(orderHistory[customer]),ROW(orderHistory[customer])),""),ROWS($A$15:A40)+$B$3))),IF($D$15="",INDEX(orderHistory[shipping_method],SMALL(IF(ISNUMBER(MATCH(orderHistory[customer],$D$9,0)*MATCH(orderHistory[order_type],$D$13,0)),MATCH(ROW(orderHistory[customer]),ROW(orderHistory[customer])),""),ROWS($A$15:A40)+$B$3)),INDEX(orderHistory[shipping_method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shipping_method],SMALL(IF(ISNUMBER(MATCH(orderHistory[customer],$D$9,0)*MATCH(orderHistory[status],$D$11,0)),MATCH(ROW(orderHistory[customer]),ROW(orderHistory[customer])),""),ROWS($A$15:A40)+$B$3)),INDEX(orderHistory[shipping_method],SMALL(IF(ISNUMBER(MATCH(orderHistory[customer],$D$9,0)*MATCH(orderHistory[status],$D$11,0)*MATCH(YEAR(orderHistory[shipping_method]),$D$15,0)),MATCH(ROW(orderHistory[customer]),ROW(orderHistory[customer])),""),ROWS($A$15:A40)+$B$3))),IF($D$15="",INDEX(orderHistory[shipping_method],SMALL(IF(ISNUMBER(MATCH(orderHistory[customer],$D$9,0)*MATCH(orderHistory[status],$D$11,0)*MATCH(orderHistory[order_type],$D$13,0)),MATCH(ROW(orderHistory[customer]),ROW(orderHistory[customer])),""),ROWS($A$15:A40)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V35" s="548" t="str">
        <f t="array" ref="V35">IFERROR(IF($D$9="",IF($D$11="",IF($D$13="",IF($D$15="",INDEX(orderHistory[status],SMALL(MATCH(ROW(orderHistory[customer]),ROW(orderHistory[customer])),ROWS($A$15:A40)+$B$3)),INDEX(orderHistory[status],SMALL(IF(ISNUMBER(MATCH(YEAR(orderHistory[invoice_date]),$D$15,0)),MATCH(ROW(orderHistory[customer]),ROW(orderHistory[customer])),""),ROWS($A$15:A40)+$B$3))),IF($D$15="",INDEX(orderHistory[status],SMALL(IF(ISNUMBER(MATCH(orderHistory[order_type],$D$13,0)),MATCH(ROW(orderHistory[customer]),ROW(orderHistory[customer])),""),ROWS($A$15:A40)+$B$3)),INDEX(orderHistory[status],SMALL(IF(ISNUMBER(MATCH(orderHistory[order_type],$D$13,0)*MATCH(YEAR(orderHistory[invoice_date]),$D$15,0)),MATCH(ROW(orderHistory[customer]),ROW(orderHistory[customer])),""),ROWS($A$15:A40)+$B$3)))),IF($D$13="",IF($D$15="",INDEX(orderHistory[status],SMALL(IF(ISNUMBER(MATCH(orderHistory[status],$D$11,0)),MATCH(ROW(orderHistory[customer]),ROW(orderHistory[customer])),""),ROWS($A$15:A40)+$B$3)),INDEX(orderHistory[status],SMALL(IF(ISNUMBER(MATCH(orderHistory[status],$D$11,0)*MATCH(YEAR(orderHistory[invoice_date]),$D$15,0)),MATCH(ROW(orderHistory[customer]),ROW(orderHistory[customer])),""),ROWS($A$15:A40)+$B$3))),IF($D$15="",INDEX(orderHistory[status],SMALL(IF(ISNUMBER(MATCH(orderHistory[status],$D$11,0)*MATCH(orderHistory[order_type],$D$13,0)),MATCH(ROW(orderHistory[customer]),ROW(orderHistory[customer])),""),ROWS($A$15:A40)+$B$3)),INDEX(orderHistory[status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status],SMALL(IF(ISNUMBER(MATCH(orderHistory[customer],$D$9,0)),MATCH(ROW(orderHistory[customer]),ROW(orderHistory[customer])),""),ROWS($A$15:A40)+$B$3)),INDEX(orderHistory[status],SMALL(IF(ISNUMBER(MATCH(orderHistory[customer],$D$9,0)*MATCH(YEAR(orderHistory[invoice_date]),$D$15,0)),MATCH(ROW(orderHistory[customer]),ROW(orderHistory[customer])),""),ROWS($A$15:A40)+$B$3))),IF($D$15="",INDEX(orderHistory[status],SMALL(IF(ISNUMBER(MATCH(orderHistory[customer],$D$9,0)*MATCH(orderHistory[order_type],$D$13,0)),MATCH(ROW(orderHistory[customer]),ROW(orderHistory[customer])),""),ROWS($A$15:A40)+$B$3)),INDEX(orderHistory[status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status],SMALL(IF(ISNUMBER(MATCH(orderHistory[customer],$D$9,0)*MATCH(orderHistory[status],$D$11,0)),MATCH(ROW(orderHistory[customer]),ROW(orderHistory[customer])),""),ROWS($A$15:A40)+$B$3)),INDEX(orderHistory[status],SMALL(IF(ISNUMBER(MATCH(orderHistory[customer],$D$9,0)*MATCH(orderHistory[status],$D$11,0)*MATCH(YEAR(orderHistory[status]),$D$15,0)),MATCH(ROW(orderHistory[customer]),ROW(orderHistory[customer])),""),ROWS($A$15:A40)+$B$3))),IF($D$15="",INDEX(orderHistory[status],SMALL(IF(ISNUMBER(MATCH(orderHistory[customer],$D$9,0)*MATCH(orderHistory[status],$D$11,0)*MATCH(orderHistory[order_type],$D$13,0)),MATCH(ROW(orderHistory[customer]),ROW(orderHistory[customer])),""),ROWS($A$15:A40)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W35" s="107"/>
      <c r="AQ35" s="462"/>
      <c r="AU35" s="421"/>
      <c r="AW35" s="460"/>
      <c r="BJ35" s="421"/>
      <c r="BK35" s="450"/>
      <c r="BL35" s="451"/>
      <c r="BM35" s="452"/>
      <c r="BN35" s="451"/>
      <c r="BO35" s="452"/>
      <c r="BZ35" s="167"/>
      <c r="CA35" s="154" t="str">
        <f>IF(BZ35="","",INDEX(bhpc_data[description],MATCH(BZ35,bhpc_data[sku],0)))</f>
        <v/>
      </c>
      <c r="CB35" s="166"/>
      <c r="CC35" s="358"/>
      <c r="CD35" s="160"/>
      <c r="CE35" s="360"/>
      <c r="CF35" s="161"/>
      <c r="CG35" s="164" t="str">
        <f>IFERROR(ROUNDUP(CB35/INDEX(bhpc_data[units_per_carton],MATCH(BZ35,bhpc_data[sku],0)),0),"")</f>
        <v/>
      </c>
      <c r="CH35" s="165" t="str">
        <f>IFERROR(ROUNDUP(CD35/INDEX(bhpc_data[units_per_carton],MATCH(BZ35,bhpc_data[sku],0)),0),"")</f>
        <v/>
      </c>
      <c r="CI35" s="165" t="str">
        <f>IFERROR(ROUNDUP(CF35/INDEX(bhpc_data[units_per_carton],MATCH(BZ35,bhpc_data[sku])),0),"")</f>
        <v/>
      </c>
      <c r="CJ35" s="165" t="str">
        <f>IFERROR(((CB35+CD35+CF35)/INDEX(bhpc_data[units_per_carton],MATCH(BZ35,bhpc_data[sku],0)))*INDEX(bhpc_data[net_weight],MATCH(BZ35,bhpc_data[sku],0)),"")</f>
        <v/>
      </c>
      <c r="CK35" s="165" t="str">
        <f>IFERROR(((CB35+CD35+CF35)/INDEX(bhpc_data[units_per_carton],MATCH(BZ35,bhpc_data[sku],0)))*INDEX(bhpc_data[gross_weight],MATCH(BZ35,bhpc_data[sku],0)),"")</f>
        <v/>
      </c>
      <c r="CL35" s="180" t="str">
        <f>IFERROR((CB35+CD35+CF35)/INDEX(bhpc_data[units_per_carton],MATCH(BZ35,bhpc_data[sku],0))*INDEX(bhpc_data[lenght],MATCH(BZ35,bhpc_data[sku],0))*INDEX(bhpc_data[width],MATCH(BZ35,bhpc_data[sku],0))*INDEX(bhpc_data[height],MATCH(BZ35,bhpc_data[sku],0))/1000000000,"")</f>
        <v/>
      </c>
      <c r="CM35" s="189" t="str">
        <f>IFERROR(INDEX(bhpc_data[category],MATCH(BZ35,bhpc_data[sku],0)),"")</f>
        <v/>
      </c>
      <c r="CN35" s="189" t="str">
        <f>IFERROR(INDEX(bhpc_data[size1],MATCH(BZ35,bhpc_data[sku],0)),"")</f>
        <v/>
      </c>
      <c r="CO35" s="388" t="str">
        <f>IFERROR(INDEX(bhpc_data[hs_code],MATCH(BZ35,bhpc_data[sku],0)),"")</f>
        <v/>
      </c>
      <c r="CP35" s="377" t="str">
        <f>IFERROR(INDEX(inventory[ESISTENZA],MATCH(BZ35,inventory[ARTICOLO],0)),"")</f>
        <v/>
      </c>
      <c r="CQ35" s="367" t="str">
        <f>IFERROR(IF(BZ35="","",IF($BX$15="SALE",INDEX(inventory[COSTO UNITARIO],MATCH(BZ35,inventory[ARTICOLO],0)),IF($BX$15="SAMPLING",INDEX(inventory[COSTO UNITARIO],MATCH(BZ35,inventory[ARTICOLO],0)),""))),"")</f>
        <v/>
      </c>
      <c r="CR35" s="368" t="str">
        <f t="shared" si="0"/>
        <v/>
      </c>
      <c r="CS35" s="264" t="str">
        <f t="shared" si="1"/>
        <v/>
      </c>
      <c r="CU35" s="505"/>
      <c r="CV35" s="505"/>
      <c r="CW35" s="525"/>
      <c r="CX35" s="526"/>
      <c r="CY35" s="524"/>
      <c r="DA35" s="432" t="str">
        <f>IFERROR(VLOOKUP(BZ35,bhpc_data[],22,FALSE),"")</f>
        <v/>
      </c>
      <c r="DH35" s="296"/>
      <c r="EE35" s="202" t="str" cm="1">
        <f t="array" ref="EE35">IFERROR(IF($EC$9="",IF($EC$11="",IF($EC$13="",INDEX(bhpc_data[sku],SMALL(MATCH(ROW(bhpc_data[sku]),ROW(bhpc_data[sku])),ROWS($A$15:A40)+$B$3)),INDEX(bhpc_data[sku],SMALL(IF(ISNUMBER(MATCH(bhpc_data[size1],$EC$13,0)),MATCH(ROW(bhpc_data[sku]),ROW(bhpc_data[sku])),""),ROWS($A$15:A40)+$B$3))),IF($EC$13="",INDEX(bhpc_data[sku],SMALL(IF(ISNUMBER(MATCH(bhpc_data[sex],$EC$11,0)),MATCH(ROW(bhpc_data[sku]),ROW(bhpc_data[sku])),""),ROWS($A$15:A40)+$B$3)),INDEX(bhpc_data[sku],SMALL(IF(ISNUMBER(MATCH(bhpc_data[sex],$EC$11,0)*MATCH(bhpc_data[size1],$EC$13,0)),MATCH(ROW(bhpc_data[sku]),ROW(bhpc_data[sku])),""),ROWS($A$15:A40)+$B$3)))),IF($EC$11="",IF($EC$13="",INDEX(bhpc_data[sku],SMALL(IF(ISNUMBER(MATCH(bhpc_data[category],$EC$9,0)),MATCH(ROW(bhpc_data[sku]),ROW(bhpc_data[sku])),""),ROWS($A$15:A40)+$B$3)),INDEX(bhpc_data[sku],SMALL(IF(ISNUMBER(MATCH(bhpc_data[category],$EC$9,0)*MATCH(bhpc_data[size1],$EC$13,0)),MATCH(ROW(bhpc_data[sku]),ROW(bhpc_data[sku])),""),ROWS($A$15:A40)+$B$3))),IF($EC$13="",INDEX(bhpc_data[sku],SMALL(IF(ISNUMBER(MATCH(bhpc_data[category],$EC$9,0)*MATCH(bhpc_data[sex],$EC$11,0)),MATCH(ROW(bhpc_data[sku]),ROW(bhpc_data[sku])),""),ROWS($A$15:A40)+$B$3)),INDEX(bhpc_data[sku],SMALL(IF(ISNUMBER(MATCH(bhpc_data[category],$EC$9,0)*MATCH(bhpc_data[sex],$EC$11,0)*MATCH(bhpc_data[size1],$EC$13,0)),MATCH(ROW(bhpc_data[sku]),ROW(bhpc_data[sku])),""),ROWS($A$15:A40)+$B$3))))),"")</f>
        <v>GSTM18</v>
      </c>
      <c r="EF35" s="198" t="str" cm="1">
        <f t="array" ref="EF35">IFERROR(IF($EC$9="",IF($EC$11="",IF($EC$13="",INDEX(bhpc_data[description],SMALL(MATCH(ROW(bhpc_data[sku]),ROW(bhpc_data[sku])),ROWS($A$15:A40)+$B$3)),INDEX(bhpc_data[description],SMALL(IF(ISNUMBER(MATCH(bhpc_data[size1],$EC$13,0)),MATCH(ROW(bhpc_data[sku]),ROW(bhpc_data[sku])),""),ROWS($A$15:A40)+$B$3))),IF($EC$13="",INDEX(bhpc_data[description],SMALL(IF(ISNUMBER(MATCH(bhpc_data[sex],$EC$11,0)),MATCH(ROW(bhpc_data[sku]),ROW(bhpc_data[sku])),""),ROWS($A$15:A40)+$B$3)),INDEX(bhpc_data[description],SMALL(IF(ISNUMBER(MATCH(bhpc_data[sex],$EC$11,0)*MATCH(bhpc_data[size1],$EC$13,0)),MATCH(ROW(bhpc_data[sku]),ROW(bhpc_data[sku])),""),ROWS($A$15:A40)+$B$3)))),IF($EC$11="",IF($EC$13="",INDEX(bhpc_data[description],SMALL(IF(ISNUMBER(MATCH(bhpc_data[category],$EC$9,0)),MATCH(ROW(bhpc_data[sku]),ROW(bhpc_data[sku])),""),ROWS($A$15:A40)+$B$3)),INDEX(bhpc_data[description],SMALL(IF(ISNUMBER(MATCH(bhpc_data[category],$EC$9,0)*MATCH(bhpc_data[size1],$EC$13,0)),MATCH(ROW(bhpc_data[sku]),ROW(bhpc_data[sku])),""),ROWS($A$15:A40)+$B$3))),IF($EC$13="",INDEX(bhpc_data[description],SMALL(IF(ISNUMBER(MATCH(bhpc_data[category],$EC$9,0)*MATCH(bhpc_data[sex],$EC$11,0)),MATCH(ROW(bhpc_data[sku]),ROW(bhpc_data[sku])),""),ROWS($A$15:A40)+$B$3)),INDEX(bhpc_data[description],SMALL(IF(ISNUMBER(MATCH(bhpc_data[category],$EC$9,0)*MATCH(bhpc_data[sex],$EC$11,0)*MATCH(bhpc_data[size1],$EC$13,0)),MATCH(ROW(bhpc_data[sku]),ROW(bhpc_data[sku])),""),ROWS($A$15:A40)+$B$3))))),"")</f>
        <v>BHPC TWINPACK SPORTS MEN DEO #1 #8 175ML</v>
      </c>
      <c r="EG35" s="263">
        <f>IFERROR(IF(warehouse[[#This Row],[SKU]]="","",INDEX(inventory[ESISTENZA],MATCH(warehouse[[#This Row],[SKU]],inventory[ARTICOLO],0))),"")</f>
        <v>0</v>
      </c>
      <c r="EH35" s="328"/>
      <c r="EI35" s="328"/>
      <c r="EJ35" s="263"/>
      <c r="EK35" s="113"/>
      <c r="FF35" s="413"/>
      <c r="FG35" s="413"/>
      <c r="FH35" s="413"/>
      <c r="FI35" s="413"/>
      <c r="FJ35" s="413"/>
      <c r="FK35" s="413"/>
      <c r="FL35" s="413"/>
      <c r="FM35" s="413"/>
      <c r="FN35" s="413"/>
      <c r="FO35" s="413"/>
      <c r="FP35" s="413"/>
      <c r="FQ35" s="413"/>
      <c r="FR35" s="413"/>
      <c r="FS35" s="413"/>
      <c r="FT35" s="413"/>
      <c r="FU35" s="413"/>
      <c r="FV35" s="413"/>
      <c r="FW35" s="413"/>
      <c r="FX35" s="413"/>
      <c r="FY35" s="413"/>
      <c r="FZ35" s="413"/>
      <c r="GA35" s="413"/>
      <c r="GB35" s="413"/>
      <c r="GC35" s="413"/>
      <c r="GD35" s="413"/>
      <c r="GE35" s="413"/>
      <c r="GF35" s="413"/>
      <c r="GG35" s="413"/>
      <c r="GH35" s="413"/>
      <c r="GI35" s="413"/>
      <c r="GJ35" s="413"/>
      <c r="GK35" s="413"/>
      <c r="GL35" s="413"/>
      <c r="GM35" s="413"/>
      <c r="GN35" s="413"/>
      <c r="GO35" s="413"/>
      <c r="GP35" s="413"/>
      <c r="GQ35" s="413"/>
      <c r="GR35" s="413"/>
      <c r="GS35" s="413"/>
      <c r="GT35" s="413"/>
      <c r="GU35" s="413"/>
      <c r="GV35" s="413"/>
      <c r="GW35" s="413"/>
      <c r="GX35" s="413"/>
      <c r="GY35" s="413"/>
      <c r="GZ35" s="413"/>
      <c r="HA35" s="413"/>
      <c r="HB35" s="413"/>
      <c r="HC35" s="413"/>
      <c r="HD35" s="413"/>
      <c r="HE35" s="413"/>
      <c r="HF35" s="413"/>
      <c r="HG35" s="413"/>
      <c r="HH35" s="413"/>
      <c r="HI35" s="413"/>
      <c r="HJ35" s="413"/>
      <c r="HK35" s="413"/>
      <c r="HL35" s="413"/>
      <c r="HM35" s="413"/>
      <c r="HN35" s="413"/>
      <c r="HO35" s="413"/>
      <c r="HP35" s="413"/>
      <c r="HQ35" s="413"/>
      <c r="HR35" s="413"/>
      <c r="HS35" s="413"/>
      <c r="HT35" s="413"/>
    </row>
    <row r="36" spans="10:228" ht="15" customHeight="1" thickBot="1" x14ac:dyDescent="0.4">
      <c r="L36" s="539" t="str">
        <f t="array" ref="L36">IFERROR(IF($D$9="",IF($D$11="",IF($D$13="",IF($D$15="",INDEX(orderHistory[customer],SMALL(MATCH(ROW(orderHistory[customer]),ROW(orderHistory[customer])),ROWS($A$15:A41)+$B$3)),INDEX(orderHistory[customer],SMALL(IF(ISNUMBER(MATCH(YEAR(orderHistory[invoice_date]),$D$15,0)),MATCH(ROW(orderHistory[customer]),ROW(orderHistory[customer])),""),ROWS($A$15:A41)+$B$3))),IF($D$15="",INDEX(orderHistory[customer],SMALL(IF(ISNUMBER(MATCH(orderHistory[order_type],$D$13,0)),MATCH(ROW(orderHistory[customer]),ROW(orderHistory[customer])),""),ROWS($A$15:A41)+$B$3)),INDEX(orderHistory[customer],SMALL(IF(ISNUMBER(MATCH(orderHistory[order_type],$D$13,0)*MATCH(YEAR(orderHistory[invoice_date]),$D$15,0)),MATCH(ROW(orderHistory[customer]),ROW(orderHistory[customer])),""),ROWS($A$15:A41)+$B$3)))),IF($D$13="",IF($D$15="",INDEX(orderHistory[customer],SMALL(IF(ISNUMBER(MATCH(orderHistory[status],$D$11,0)),MATCH(ROW(orderHistory[customer]),ROW(orderHistory[customer])),""),ROWS($A$15:A41)+$B$3)),INDEX(orderHistory[customer],SMALL(IF(ISNUMBER(MATCH(orderHistory[status],$D$11,0)*MATCH(YEAR(orderHistory[invoice_date]),$D$15,0)),MATCH(ROW(orderHistory[customer]),ROW(orderHistory[customer])),""),ROWS($A$15:A41)+$B$3))),IF($D$15="",INDEX(orderHistory[customer],SMALL(IF(ISNUMBER(MATCH(orderHistory[status],$D$11,0)*MATCH(orderHistory[order_type],$D$13,0)),MATCH(ROW(orderHistory[customer]),ROW(orderHistory[customer])),""),ROWS($A$15:A41)+$B$3)),INDEX(orderHistory[customer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customer],SMALL(IF(ISNUMBER(MATCH(orderHistory[customer],$D$9,0)),MATCH(ROW(orderHistory[customer]),ROW(orderHistory[customer])),""),ROWS($A$15:A41)+$B$3)),INDEX(orderHistory[customer],SMALL(IF(ISNUMBER(MATCH(orderHistory[customer],$D$9,0)*MATCH(YEAR(orderHistory[invoice_date]),$D$15,0)),MATCH(ROW(orderHistory[customer]),ROW(orderHistory[customer])),""),ROWS($A$15:A41)+$B$3))),IF($D$15="",INDEX(orderHistory[customer],SMALL(IF(ISNUMBER(MATCH(orderHistory[customer],$D$9,0)*MATCH(orderHistory[order_type],$D$13,0)),MATCH(ROW(orderHistory[customer]),ROW(orderHistory[customer])),""),ROWS($A$15:A41)+$B$3)),INDEX(orderHistory[customer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customer],SMALL(IF(ISNUMBER(MATCH(orderHistory[customer],$D$9,0)*MATCH(orderHistory[status],$D$11,0)),MATCH(ROW(orderHistory[customer]),ROW(orderHistory[customer])),""),ROWS($A$15:A41)+$B$3)),INDEX(orderHistory[customer],SMALL(IF(ISNUMBER(MATCH(orderHistory[customer],$D$9,0)*MATCH(orderHistory[status],$D$11,0)*MATCH(YEAR(orderHistory[invoice_date]),$D$15,0)),MATCH(ROW(orderHistory[customer]),ROW(orderHistory[customer])),""),ROWS($A$15:A41)+$B$3))),IF($D$15="",INDEX(orderHistory[customer],SMALL(IF(ISNUMBER(MATCH(orderHistory[customer],$D$9,0)*MATCH(orderHistory[status],$D$11,0)*MATCH(orderHistory[order_type],$D$13,0)),MATCH(ROW(orderHistory[customer]),ROW(orderHistory[customer])),""),ROWS($A$15:A41)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M36" s="540" t="str">
        <f t="array" ref="M36">IFERROR(IF($D$9="",IF($D$11="",IF($D$13="",IF($D$15="",INDEX(orderHistory[order_no],SMALL(MATCH(ROW(orderHistory[customer]),ROW(orderHistory[customer])),ROWS($A$15:A41)+$B$3)),INDEX(orderHistory[order_no],SMALL(IF(ISNUMBER(MATCH(YEAR(orderHistory[invoice_date]),$D$15,0)),MATCH(ROW(orderHistory[customer]),ROW(orderHistory[customer])),""),ROWS($A$15:A41)+$B$3))),IF($D$15="",INDEX(orderHistory[order_no],SMALL(IF(ISNUMBER(MATCH(orderHistory[order_type],$D$13,0)),MATCH(ROW(orderHistory[customer]),ROW(orderHistory[customer])),""),ROWS($A$15:A41)+$B$3)),INDEX(orderHistory[order_no],SMALL(IF(ISNUMBER(MATCH(orderHistory[order_type],$D$13,0)*MATCH(YEAR(orderHistory[invoice_date]),$D$15,0)),MATCH(ROW(orderHistory[customer]),ROW(orderHistory[customer])),""),ROWS($A$15:A41)+$B$3)))),IF($D$13="",IF($D$15="",INDEX(orderHistory[order_no],SMALL(IF(ISNUMBER(MATCH(orderHistory[status],$D$11,0)),MATCH(ROW(orderHistory[customer]),ROW(orderHistory[customer])),""),ROWS($A$15:A41)+$B$3)),INDEX(orderHistory[order_no],SMALL(IF(ISNUMBER(MATCH(orderHistory[status],$D$11,0)*MATCH(YEAR(orderHistory[invoice_date]),$D$15,0)),MATCH(ROW(orderHistory[customer]),ROW(orderHistory[customer])),""),ROWS($A$15:A41)+$B$3))),IF($D$15="",INDEX(orderHistory[order_no],SMALL(IF(ISNUMBER(MATCH(orderHistory[status],$D$11,0)*MATCH(orderHistory[order_type],$D$13,0)),MATCH(ROW(orderHistory[customer]),ROW(orderHistory[customer])),""),ROWS($A$15:A41)+$B$3)),INDEX(orderHistory[order_no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no],SMALL(IF(ISNUMBER(MATCH(orderHistory[customer],$D$9,0)),MATCH(ROW(orderHistory[customer]),ROW(orderHistory[customer])),""),ROWS($A$15:A41)+$B$3)),INDEX(orderHistory[order_no],SMALL(IF(ISNUMBER(MATCH(orderHistory[customer],$D$9,0)*MATCH(YEAR(orderHistory[invoice_date]),$D$15,0)),MATCH(ROW(orderHistory[customer]),ROW(orderHistory[customer])),""),ROWS($A$15:A41)+$B$3))),IF($D$15="",INDEX(orderHistory[order_no],SMALL(IF(ISNUMBER(MATCH(orderHistory[customer],$D$9,0)*MATCH(orderHistory[order_type],$D$13,0)),MATCH(ROW(orderHistory[customer]),ROW(orderHistory[customer])),""),ROWS($A$15:A41)+$B$3)),INDEX(orderHistory[order_no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no],SMALL(IF(ISNUMBER(MATCH(orderHistory[customer],$D$9,0)*MATCH(orderHistory[status],$D$11,0)),MATCH(ROW(orderHistory[customer]),ROW(orderHistory[customer])),""),ROWS($A$15:A41)+$B$3)),INDEX(orderHistory[order_no],SMALL(IF(ISNUMBER(MATCH(orderHistory[customer],$D$9,0)*MATCH(orderHistory[status],$D$11,0)*MATCH(YEAR(orderHistory[invoice_date]),$D$15,0)),MATCH(ROW(orderHistory[customer]),ROW(orderHistory[customer])),""),ROWS($A$15:A41)+$B$3))),IF($D$15="",INDEX(orderHistory[order_no],SMALL(IF(ISNUMBER(MATCH(orderHistory[customer],$D$9,0)*MATCH(orderHistory[status],$D$11,0)*MATCH(orderHistory[order_type],$D$13,0)),MATCH(ROW(orderHistory[customer]),ROW(orderHistory[customer])),""),ROWS($A$15:A41)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N36" s="541" t="str">
        <f t="array" ref="N36">IFERROR(IF($D$9="",IF($D$11="",IF($D$13="",IF($D$15="",INDEX(orderHistory[order_type],SMALL(MATCH(ROW(orderHistory[customer]),ROW(orderHistory[customer])),ROWS($A$15:A41)+$B$3)),INDEX(orderHistory[order_type],SMALL(IF(ISNUMBER(MATCH(YEAR(orderHistory[invoice_date]),$D$15,0)),MATCH(ROW(orderHistory[customer]),ROW(orderHistory[customer])),""),ROWS($A$15:A41)+$B$3))),IF($D$15="",INDEX(orderHistory[order_type],SMALL(IF(ISNUMBER(MATCH(orderHistory[order_type],$D$13,0)),MATCH(ROW(orderHistory[customer]),ROW(orderHistory[customer])),""),ROWS($A$15:A41)+$B$3)),INDEX(orderHistory[order_type],SMALL(IF(ISNUMBER(MATCH(orderHistory[order_type],$D$13,0)*MATCH(YEAR(orderHistory[invoice_date]),$D$15,0)),MATCH(ROW(orderHistory[customer]),ROW(orderHistory[customer])),""),ROWS($A$15:A41)+$B$3)))),IF($D$13="",IF($D$15="",INDEX(orderHistory[order_type],SMALL(IF(ISNUMBER(MATCH(orderHistory[status],$D$11,0)),MATCH(ROW(orderHistory[customer]),ROW(orderHistory[customer])),""),ROWS($A$15:A41)+$B$3)),INDEX(orderHistory[order_type],SMALL(IF(ISNUMBER(MATCH(orderHistory[status],$D$11,0)*MATCH(YEAR(orderHistory[invoice_date]),$D$15,0)),MATCH(ROW(orderHistory[customer]),ROW(orderHistory[customer])),""),ROWS($A$15:A41)+$B$3))),IF($D$15="",INDEX(orderHistory[order_type],SMALL(IF(ISNUMBER(MATCH(orderHistory[status],$D$11,0)*MATCH(orderHistory[order_type],$D$13,0)),MATCH(ROW(orderHistory[customer]),ROW(orderHistory[customer])),""),ROWS($A$15:A41)+$B$3)),INDEX(orderHistory[order_typ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type],SMALL(IF(ISNUMBER(MATCH(orderHistory[customer],$D$9,0)),MATCH(ROW(orderHistory[customer]),ROW(orderHistory[customer])),""),ROWS($A$15:A41)+$B$3)),INDEX(orderHistory[order_type],SMALL(IF(ISNUMBER(MATCH(orderHistory[customer],$D$9,0)*MATCH(YEAR(orderHistory[invoice_date]),$D$15,0)),MATCH(ROW(orderHistory[customer]),ROW(orderHistory[customer])),""),ROWS($A$15:A41)+$B$3))),IF($D$15="",INDEX(orderHistory[order_type],SMALL(IF(ISNUMBER(MATCH(orderHistory[customer],$D$9,0)*MATCH(orderHistory[order_type],$D$13,0)),MATCH(ROW(orderHistory[customer]),ROW(orderHistory[customer])),""),ROWS($A$15:A41)+$B$3)),INDEX(orderHistory[order_typ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type],SMALL(IF(ISNUMBER(MATCH(orderHistory[customer],$D$9,0)*MATCH(orderHistory[status],$D$11,0)),MATCH(ROW(orderHistory[customer]),ROW(orderHistory[customer])),""),ROWS($A$15:A41)+$B$3)),INDEX(orderHistory[order_type],SMALL(IF(ISNUMBER(MATCH(orderHistory[customer],$D$9,0)*MATCH(orderHistory[status],$D$11,0)*MATCH(YEAR(orderHistory[invoice_date]),$D$15,0)),MATCH(ROW(orderHistory[customer]),ROW(orderHistory[customer])),""),ROWS($A$15:A41)+$B$3))),IF($D$15="",INDEX(orderHistory[order_type],SMALL(IF(ISNUMBER(MATCH(orderHistory[customer],$D$9,0)*MATCH(orderHistory[status],$D$11,0)*MATCH(orderHistory[order_type],$D$13,0)),MATCH(ROW(orderHistory[customer]),ROW(orderHistory[customer])),""),ROWS($A$15:A41)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O36" s="542" t="str">
        <f t="array" ref="O36">IFERROR(IF($D$9="",IF($D$11="",IF($D$13="",IF($D$15="",INDEX(orderHistory[order_date],SMALL(MATCH(ROW(orderHistory[customer]),ROW(orderHistory[customer])),ROWS($A$15:A41)+$B$3)),INDEX(orderHistory[order_date],SMALL(IF(ISNUMBER(MATCH(YEAR(orderHistory[invoice_date]),$D$15,0)),MATCH(ROW(orderHistory[customer]),ROW(orderHistory[customer])),""),ROWS($A$15:A41)+$B$3))),IF($D$15="",INDEX(orderHistory[order_date],SMALL(IF(ISNUMBER(MATCH(orderHistory[order_type],$D$13,0)),MATCH(ROW(orderHistory[customer]),ROW(orderHistory[customer])),""),ROWS($A$15:A41)+$B$3)),INDEX(orderHistory[order_date],SMALL(IF(ISNUMBER(MATCH(orderHistory[order_type],$D$13,0)*MATCH(YEAR(orderHistory[invoice_date]),$D$15,0)),MATCH(ROW(orderHistory[customer]),ROW(orderHistory[customer])),""),ROWS($A$15:A41)+$B$3)))),IF($D$13="",IF($D$15="",INDEX(orderHistory[order_date],SMALL(IF(ISNUMBER(MATCH(orderHistory[status],$D$11,0)),MATCH(ROW(orderHistory[customer]),ROW(orderHistory[customer])),""),ROWS($A$15:A41)+$B$3)),INDEX(orderHistory[order_date],SMALL(IF(ISNUMBER(MATCH(orderHistory[status],$D$11,0)*MATCH(YEAR(orderHistory[invoice_date]),$D$15,0)),MATCH(ROW(orderHistory[customer]),ROW(orderHistory[customer])),""),ROWS($A$15:A41)+$B$3))),IF($D$15="",INDEX(orderHistory[order_date],SMALL(IF(ISNUMBER(MATCH(orderHistory[status],$D$11,0)*MATCH(orderHistory[order_type],$D$13,0)),MATCH(ROW(orderHistory[customer]),ROW(orderHistory[customer])),""),ROWS($A$15:A41)+$B$3)),INDEX(orderHistory[order_dat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date],SMALL(IF(ISNUMBER(MATCH(orderHistory[customer],$D$9,0)),MATCH(ROW(orderHistory[customer]),ROW(orderHistory[customer])),""),ROWS($A$15:A41)+$B$3)),INDEX(orderHistory[order_date],SMALL(IF(ISNUMBER(MATCH(orderHistory[customer],$D$9,0)*MATCH(YEAR(orderHistory[invoice_date]),$D$15,0)),MATCH(ROW(orderHistory[customer]),ROW(orderHistory[customer])),""),ROWS($A$15:A41)+$B$3))),IF($D$15="",INDEX(orderHistory[order_date],SMALL(IF(ISNUMBER(MATCH(orderHistory[customer],$D$9,0)*MATCH(orderHistory[order_type],$D$13,0)),MATCH(ROW(orderHistory[customer]),ROW(orderHistory[customer])),""),ROWS($A$15:A41)+$B$3)),INDEX(orderHistory[order_dat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date],SMALL(IF(ISNUMBER(MATCH(orderHistory[customer],$D$9,0)*MATCH(orderHistory[status],$D$11,0)),MATCH(ROW(orderHistory[customer]),ROW(orderHistory[customer])),""),ROWS($A$15:A41)+$B$3)),INDEX(orderHistory[order_date],SMALL(IF(ISNUMBER(MATCH(orderHistory[customer],$D$9,0)*MATCH(orderHistory[status],$D$11,0)*MATCH(YEAR(orderHistory[invoice_date]),$D$15,0)),MATCH(ROW(orderHistory[customer]),ROW(orderHistory[customer])),""),ROWS($A$15:A41)+$B$3))),IF($D$15="",INDEX(orderHistory[order_date],SMALL(IF(ISNUMBER(MATCH(orderHistory[customer],$D$9,0)*MATCH(orderHistory[status],$D$11,0)*MATCH(orderHistory[order_type],$D$13,0)),MATCH(ROW(orderHistory[customer]),ROW(orderHistory[customer])),""),ROWS($A$15:A41)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P36" s="543" t="str">
        <f t="array" ref="P36">IFERROR(IF($D$9="",IF($D$11="",IF($D$13="",IF($D$15="",INDEX(orderHistory[invoice_no],SMALL(MATCH(ROW(orderHistory[customer]),ROW(orderHistory[customer])),ROWS($A$15:A41)+$B$3)),INDEX(orderHistory[invoice_no],SMALL(IF(ISNUMBER(MATCH(YEAR(orderHistory[invoice_date]),$D$15,0)),MATCH(ROW(orderHistory[customer]),ROW(orderHistory[customer])),""),ROWS($A$15:A41)+$B$3))),IF($D$15="",INDEX(orderHistory[invoice_no],SMALL(IF(ISNUMBER(MATCH(orderHistory[order_type],$D$13,0)),MATCH(ROW(orderHistory[customer]),ROW(orderHistory[customer])),""),ROWS($A$15:A41)+$B$3)),INDEX(orderHistory[invoice_no],SMALL(IF(ISNUMBER(MATCH(orderHistory[order_type],$D$13,0)*MATCH(YEAR(orderHistory[invoice_date]),$D$15,0)),MATCH(ROW(orderHistory[customer]),ROW(orderHistory[customer])),""),ROWS($A$15:A41)+$B$3)))),IF($D$13="",IF($D$15="",INDEX(orderHistory[invoice_no],SMALL(IF(ISNUMBER(MATCH(orderHistory[status],$D$11,0)),MATCH(ROW(orderHistory[customer]),ROW(orderHistory[customer])),""),ROWS($A$15:A41)+$B$3)),INDEX(orderHistory[invoice_no],SMALL(IF(ISNUMBER(MATCH(orderHistory[status],$D$11,0)*MATCH(YEAR(orderHistory[invoice_date]),$D$15,0)),MATCH(ROW(orderHistory[customer]),ROW(orderHistory[customer])),""),ROWS($A$15:A41)+$B$3))),IF($D$15="",INDEX(orderHistory[invoice_no],SMALL(IF(ISNUMBER(MATCH(orderHistory[status],$D$11,0)*MATCH(orderHistory[order_type],$D$13,0)),MATCH(ROW(orderHistory[customer]),ROW(orderHistory[customer])),""),ROWS($A$15:A41)+$B$3)),INDEX(orderHistory[invoice_no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oice_no],SMALL(IF(ISNUMBER(MATCH(orderHistory[customer],$D$9,0)),MATCH(ROW(orderHistory[customer]),ROW(orderHistory[customer])),""),ROWS($A$15:A41)+$B$3)),INDEX(orderHistory[invoice_no],SMALL(IF(ISNUMBER(MATCH(orderHistory[customer],$D$9,0)*MATCH(YEAR(orderHistory[invoice_date]),$D$15,0)),MATCH(ROW(orderHistory[customer]),ROW(orderHistory[customer])),""),ROWS($A$15:A41)+$B$3))),IF($D$15="",INDEX(orderHistory[invoice_no],SMALL(IF(ISNUMBER(MATCH(orderHistory[customer],$D$9,0)*MATCH(orderHistory[order_type],$D$13,0)),MATCH(ROW(orderHistory[customer]),ROW(orderHistory[customer])),""),ROWS($A$15:A41)+$B$3)),INDEX(orderHistory[invoice_no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YEAR(orderHistory[invoice_date]),$D$15,0)),MATCH(ROW(orderHistory[customer]),ROW(orderHistory[customer])),""),ROWS($A$15:A41)+$B$3))),IF($D$15="",INDEX(orderHistory[invoice_no],SMALL(IF(ISNUMBER(MATCH(orderHistory[customer],$D$9,0)*MATCH(orderHistory[status],$D$11,0)*MATCH(orderHistory[order_type],$D$13,0)),MATCH(ROW(orderHistory[customer]),ROW(orderHistory[customer])),""),ROWS($A$15:A41)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Q36" s="544" t="str">
        <f t="array" ref="Q36">IFERROR(IF($D$9="",IF($D$11="",IF($D$13="",IF($D$15="",INDEX(orderHistory[invoice_date],SMALL(MATCH(ROW(orderHistory[customer]),ROW(orderHistory[customer])),ROWS($A$15:A41)+$B$3)),INDEX(orderHistory[invoice_date],SMALL(IF(ISNUMBER(MATCH(YEAR(orderHistory[invoice_date]),$D$15,0)),MATCH(ROW(orderHistory[customer]),ROW(orderHistory[customer])),""),ROWS($A$15:A41)+$B$3))),IF($D$15="",INDEX(orderHistory[invoice_date],SMALL(IF(ISNUMBER(MATCH(orderHistory[order_type],$D$13,0)),MATCH(ROW(orderHistory[customer]),ROW(orderHistory[customer])),""),ROWS($A$15:A41)+$B$3)),INDEX(orderHistory[invoice_date],SMALL(IF(ISNUMBER(MATCH(orderHistory[order_type],$D$13,0)*MATCH(YEAR(orderHistory[invoice_date]),$D$15,0)),MATCH(ROW(orderHistory[customer]),ROW(orderHistory[customer])),""),ROWS($A$15:A41)+$B$3)))),IF($D$13="",IF($D$15="",INDEX(orderHistory[invoice_date],SMALL(IF(ISNUMBER(MATCH(orderHistory[status],$D$11,0)),MATCH(ROW(orderHistory[customer]),ROW(orderHistory[customer])),""),ROWS($A$15:A41)+$B$3)),INDEX(orderHistory[invoice_date],SMALL(IF(ISNUMBER(MATCH(orderHistory[status],$D$11,0)*MATCH(YEAR(orderHistory[invoice_date]),$D$15,0)),MATCH(ROW(orderHistory[customer]),ROW(orderHistory[customer])),""),ROWS($A$15:A41)+$B$3))),IF($D$15="",INDEX(orderHistory[invoice_date],SMALL(IF(ISNUMBER(MATCH(orderHistory[status],$D$11,0)*MATCH(orderHistory[order_type],$D$13,0)),MATCH(ROW(orderHistory[customer]),ROW(orderHistory[customer])),""),ROWS($A$15:A41)+$B$3)),INDEX(orderHistory[invoice_dat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oice_date],SMALL(IF(ISNUMBER(MATCH(orderHistory[customer],$D$9,0)),MATCH(ROW(orderHistory[customer]),ROW(orderHistory[customer])),""),ROWS($A$15:A41)+$B$3)),INDEX(orderHistory[invoice_date],SMALL(IF(ISNUMBER(MATCH(orderHistory[customer],$D$9,0)*MATCH(YEAR(orderHistory[invoice_date]),$D$15,0)),MATCH(ROW(orderHistory[customer]),ROW(orderHistory[customer])),""),ROWS($A$15:A41)+$B$3))),IF($D$15="",INDEX(orderHistory[invoice_date],SMALL(IF(ISNUMBER(MATCH(orderHistory[customer],$D$9,0)*MATCH(orderHistory[order_type],$D$13,0)),MATCH(ROW(orderHistory[customer]),ROW(orderHistory[customer])),""),ROWS($A$15:A41)+$B$3)),INDEX(orderHistory[invoice_dat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YEAR(orderHistory[invoice_date]),$D$15,0)),MATCH(ROW(orderHistory[customer]),ROW(orderHistory[customer])),""),ROWS($A$15:A41)+$B$3))),IF($D$15="",INDEX(orderHistory[invoice_date],SMALL(IF(ISNUMBER(MATCH(orderHistory[customer],$D$9,0)*MATCH(orderHistory[status],$D$11,0)*MATCH(orderHistory[order_type],$D$13,0)),MATCH(ROW(orderHistory[customer]),ROW(orderHistory[customer])),""),ROWS($A$15:A41)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R36" s="545" t="str">
        <f t="array" ref="R36">IFERROR(IF($D$9="",IF($D$11="",IF($D$13="",IF($D$15="",INDEX(orderHistory[inv_amount],SMALL(MATCH(ROW(orderHistory[customer]),ROW(orderHistory[customer])),ROWS($A$15:A41)+$B$3)),INDEX(orderHistory[inv_amount],SMALL(IF(ISNUMBER(MATCH(YEAR(orderHistory[invoice_date]),$D$15,0)),MATCH(ROW(orderHistory[customer]),ROW(orderHistory[customer])),""),ROWS($A$15:A41)+$B$3))),IF($D$15="",INDEX(orderHistory[inv_amount],SMALL(IF(ISNUMBER(MATCH(orderHistory[order_type],$D$13,0)),MATCH(ROW(orderHistory[customer]),ROW(orderHistory[customer])),""),ROWS($A$15:A41)+$B$3)),INDEX(orderHistory[inv_amount],SMALL(IF(ISNUMBER(MATCH(orderHistory[order_type],$D$13,0)*MATCH(YEAR(orderHistory[invoice_date]),$D$15,0)),MATCH(ROW(orderHistory[customer]),ROW(orderHistory[customer])),""),ROWS($A$15:A41)+$B$3)))),IF($D$13="",IF($D$15="",INDEX(orderHistory[inv_amount],SMALL(IF(ISNUMBER(MATCH(orderHistory[status],$D$11,0)),MATCH(ROW(orderHistory[customer]),ROW(orderHistory[customer])),""),ROWS($A$15:A41)+$B$3)),INDEX(orderHistory[inv_amount],SMALL(IF(ISNUMBER(MATCH(orderHistory[status],$D$11,0)*MATCH(YEAR(orderHistory[invoice_date]),$D$15,0)),MATCH(ROW(orderHistory[customer]),ROW(orderHistory[customer])),""),ROWS($A$15:A41)+$B$3))),IF($D$15="",INDEX(orderHistory[inv_amount],SMALL(IF(ISNUMBER(MATCH(orderHistory[status],$D$11,0)*MATCH(orderHistory[order_type],$D$13,0)),MATCH(ROW(orderHistory[customer]),ROW(orderHistory[customer])),""),ROWS($A$15:A41)+$B$3)),INDEX(orderHistory[inv_amount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_amount],SMALL(IF(ISNUMBER(MATCH(orderHistory[customer],$D$9,0)),MATCH(ROW(orderHistory[customer]),ROW(orderHistory[customer])),""),ROWS($A$15:A41)+$B$3)),INDEX(orderHistory[inv_amount],SMALL(IF(ISNUMBER(MATCH(orderHistory[customer],$D$9,0)*MATCH(YEAR(orderHistory[invoice_date]),$D$15,0)),MATCH(ROW(orderHistory[customer]),ROW(orderHistory[customer])),""),ROWS($A$15:A41)+$B$3))),IF($D$15="",INDEX(orderHistory[inv_amount],SMALL(IF(ISNUMBER(MATCH(orderHistory[customer],$D$9,0)*MATCH(orderHistory[order_type],$D$13,0)),MATCH(ROW(orderHistory[customer]),ROW(orderHistory[customer])),""),ROWS($A$15:A41)+$B$3)),INDEX(orderHistory[inv_amount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_amount],SMALL(IF(ISNUMBER(MATCH(orderHistory[customer],$D$9,0)*MATCH(orderHistory[status],$D$11,0)),MATCH(ROW(orderHistory[customer]),ROW(orderHistory[customer])),""),ROWS($A$15:A41)+$B$3)),INDEX(orderHistory[inv_amount],SMALL(IF(ISNUMBER(MATCH(orderHistory[customer],$D$9,0)*MATCH(orderHistory[status],$D$11,0)*MATCH(YEAR(orderHistory[inv_amount]),$D$15,0)),MATCH(ROW(orderHistory[customer]),ROW(orderHistory[customer])),""),ROWS($A$15:A41)+$B$3))),IF($D$15="",INDEX(orderHistory[inv_amount],SMALL(IF(ISNUMBER(MATCH(orderHistory[customer],$D$9,0)*MATCH(orderHistory[status],$D$11,0)*MATCH(orderHistory[order_type],$D$13,0)),MATCH(ROW(orderHistory[customer]),ROW(orderHistory[customer])),""),ROWS($A$15:A41)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S36" s="546" t="str">
        <f t="shared" si="2"/>
        <v/>
      </c>
      <c r="T36" s="547" t="str">
        <f t="array" ref="T36">IFERROR(IF($D$9="",IF($D$11="",IF($D$13="",IF($D$15="",INDEX(orderHistory[payed],SMALL(MATCH(ROW(orderHistory[customer]),ROW(orderHistory[customer])),ROWS($A$15:A41)+$B$3)),INDEX(orderHistory[payed],SMALL(IF(ISNUMBER(MATCH(YEAR(orderHistory[invoice_date]),$D$15,0)),MATCH(ROW(orderHistory[customer]),ROW(orderHistory[customer])),""),ROWS($A$15:A41)+$B$3))),IF($D$15="",INDEX(orderHistory[payed],SMALL(IF(ISNUMBER(MATCH(orderHistory[order_type],$D$13,0)),MATCH(ROW(orderHistory[customer]),ROW(orderHistory[customer])),""),ROWS($A$15:A41)+$B$3)),INDEX(orderHistory[payed],SMALL(IF(ISNUMBER(MATCH(orderHistory[order_type],$D$13,0)*MATCH(YEAR(orderHistory[invoice_date]),$D$15,0)),MATCH(ROW(orderHistory[customer]),ROW(orderHistory[customer])),""),ROWS($A$15:A41)+$B$3)))),IF($D$13="",IF($D$15="",INDEX(orderHistory[payed],SMALL(IF(ISNUMBER(MATCH(orderHistory[status],$D$11,0)),MATCH(ROW(orderHistory[customer]),ROW(orderHistory[customer])),""),ROWS($A$15:A41)+$B$3)),INDEX(orderHistory[payed],SMALL(IF(ISNUMBER(MATCH(orderHistory[status],$D$11,0)*MATCH(YEAR(orderHistory[invoice_date]),$D$15,0)),MATCH(ROW(orderHistory[customer]),ROW(orderHistory[customer])),""),ROWS($A$15:A41)+$B$3))),IF($D$15="",INDEX(orderHistory[payed],SMALL(IF(ISNUMBER(MATCH(orderHistory[status],$D$11,0)*MATCH(orderHistory[order_type],$D$13,0)),MATCH(ROW(orderHistory[customer]),ROW(orderHistory[customer])),""),ROWS($A$15:A41)+$B$3)),INDEX(orderHistory[payed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payed],SMALL(IF(ISNUMBER(MATCH(orderHistory[customer],$D$9,0)),MATCH(ROW(orderHistory[customer]),ROW(orderHistory[customer])),""),ROWS($A$15:A41)+$B$3)),INDEX(orderHistory[payed],SMALL(IF(ISNUMBER(MATCH(orderHistory[customer],$D$9,0)*MATCH(YEAR(orderHistory[invoice_date]),$D$15,0)),MATCH(ROW(orderHistory[customer]),ROW(orderHistory[customer])),""),ROWS($A$15:A41)+$B$3))),IF($D$15="",INDEX(orderHistory[payed],SMALL(IF(ISNUMBER(MATCH(orderHistory[customer],$D$9,0)*MATCH(orderHistory[order_type],$D$13,0)),MATCH(ROW(orderHistory[customer]),ROW(orderHistory[customer])),""),ROWS($A$15:A41)+$B$3)),INDEX(orderHistory[payed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payed],SMALL(IF(ISNUMBER(MATCH(orderHistory[customer],$D$9,0)*MATCH(orderHistory[status],$D$11,0)),MATCH(ROW(orderHistory[customer]),ROW(orderHistory[customer])),""),ROWS($A$15:A41)+$B$3)),INDEX(orderHistory[payed],SMALL(IF(ISNUMBER(MATCH(orderHistory[customer],$D$9,0)*MATCH(orderHistory[status],$D$11,0)*MATCH(YEAR(orderHistory[payed]),$D$15,0)),MATCH(ROW(orderHistory[customer]),ROW(orderHistory[customer])),""),ROWS($A$15:A41)+$B$3))),IF($D$15="",INDEX(orderHistory[payed],SMALL(IF(ISNUMBER(MATCH(orderHistory[customer],$D$9,0)*MATCH(orderHistory[status],$D$11,0)*MATCH(orderHistory[order_type],$D$13,0)),MATCH(ROW(orderHistory[customer]),ROW(orderHistory[customer])),""),ROWS($A$15:A41)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U36" s="541" t="str">
        <f t="array" ref="U36">IFERROR(IF($D$9="",IF($D$11="",IF($D$13="",IF($D$15="",INDEX(orderHistory[shipping_method],SMALL(MATCH(ROW(orderHistory[customer]),ROW(orderHistory[customer])),ROWS($A$15:A41)+$B$3)),INDEX(orderHistory[shipping_method],SMALL(IF(ISNUMBER(MATCH(YEAR(orderHistory[invoice_date]),$D$15,0)),MATCH(ROW(orderHistory[customer]),ROW(orderHistory[customer])),""),ROWS($A$15:A41)+$B$3))),IF($D$15="",INDEX(orderHistory[shipping_method],SMALL(IF(ISNUMBER(MATCH(orderHistory[order_type],$D$13,0)),MATCH(ROW(orderHistory[customer]),ROW(orderHistory[customer])),""),ROWS($A$15:A41)+$B$3)),INDEX(orderHistory[shipping_method],SMALL(IF(ISNUMBER(MATCH(orderHistory[order_type],$D$13,0)*MATCH(YEAR(orderHistory[invoice_date]),$D$15,0)),MATCH(ROW(orderHistory[customer]),ROW(orderHistory[customer])),""),ROWS($A$15:A41)+$B$3)))),IF($D$13="",IF($D$15="",INDEX(orderHistory[shipping_method],SMALL(IF(ISNUMBER(MATCH(orderHistory[status],$D$11,0)),MATCH(ROW(orderHistory[customer]),ROW(orderHistory[customer])),""),ROWS($A$15:A41)+$B$3)),INDEX(orderHistory[shipping_method],SMALL(IF(ISNUMBER(MATCH(orderHistory[status],$D$11,0)*MATCH(YEAR(orderHistory[invoice_date]),$D$15,0)),MATCH(ROW(orderHistory[customer]),ROW(orderHistory[customer])),""),ROWS($A$15:A41)+$B$3))),IF($D$15="",INDEX(orderHistory[shipping_method],SMALL(IF(ISNUMBER(MATCH(orderHistory[status],$D$11,0)*MATCH(orderHistory[order_type],$D$13,0)),MATCH(ROW(orderHistory[customer]),ROW(orderHistory[customer])),""),ROWS($A$15:A41)+$B$3)),INDEX(orderHistory[shipping_method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shipping_method],SMALL(IF(ISNUMBER(MATCH(orderHistory[customer],$D$9,0)),MATCH(ROW(orderHistory[customer]),ROW(orderHistory[customer])),""),ROWS($A$15:A41)+$B$3)),INDEX(orderHistory[shipping_method],SMALL(IF(ISNUMBER(MATCH(orderHistory[customer],$D$9,0)*MATCH(YEAR(orderHistory[invoice_date]),$D$15,0)),MATCH(ROW(orderHistory[customer]),ROW(orderHistory[customer])),""),ROWS($A$15:A41)+$B$3))),IF($D$15="",INDEX(orderHistory[shipping_method],SMALL(IF(ISNUMBER(MATCH(orderHistory[customer],$D$9,0)*MATCH(orderHistory[order_type],$D$13,0)),MATCH(ROW(orderHistory[customer]),ROW(orderHistory[customer])),""),ROWS($A$15:A41)+$B$3)),INDEX(orderHistory[shipping_method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shipping_method],SMALL(IF(ISNUMBER(MATCH(orderHistory[customer],$D$9,0)*MATCH(orderHistory[status],$D$11,0)),MATCH(ROW(orderHistory[customer]),ROW(orderHistory[customer])),""),ROWS($A$15:A41)+$B$3)),INDEX(orderHistory[shipping_method],SMALL(IF(ISNUMBER(MATCH(orderHistory[customer],$D$9,0)*MATCH(orderHistory[status],$D$11,0)*MATCH(YEAR(orderHistory[shipping_method]),$D$15,0)),MATCH(ROW(orderHistory[customer]),ROW(orderHistory[customer])),""),ROWS($A$15:A41)+$B$3))),IF($D$15="",INDEX(orderHistory[shipping_method],SMALL(IF(ISNUMBER(MATCH(orderHistory[customer],$D$9,0)*MATCH(orderHistory[status],$D$11,0)*MATCH(orderHistory[order_type],$D$13,0)),MATCH(ROW(orderHistory[customer]),ROW(orderHistory[customer])),""),ROWS($A$15:A41)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V36" s="548" t="str">
        <f t="array" ref="V36">IFERROR(IF($D$9="",IF($D$11="",IF($D$13="",IF($D$15="",INDEX(orderHistory[status],SMALL(MATCH(ROW(orderHistory[customer]),ROW(orderHistory[customer])),ROWS($A$15:A41)+$B$3)),INDEX(orderHistory[status],SMALL(IF(ISNUMBER(MATCH(YEAR(orderHistory[invoice_date]),$D$15,0)),MATCH(ROW(orderHistory[customer]),ROW(orderHistory[customer])),""),ROWS($A$15:A41)+$B$3))),IF($D$15="",INDEX(orderHistory[status],SMALL(IF(ISNUMBER(MATCH(orderHistory[order_type],$D$13,0)),MATCH(ROW(orderHistory[customer]),ROW(orderHistory[customer])),""),ROWS($A$15:A41)+$B$3)),INDEX(orderHistory[status],SMALL(IF(ISNUMBER(MATCH(orderHistory[order_type],$D$13,0)*MATCH(YEAR(orderHistory[invoice_date]),$D$15,0)),MATCH(ROW(orderHistory[customer]),ROW(orderHistory[customer])),""),ROWS($A$15:A41)+$B$3)))),IF($D$13="",IF($D$15="",INDEX(orderHistory[status],SMALL(IF(ISNUMBER(MATCH(orderHistory[status],$D$11,0)),MATCH(ROW(orderHistory[customer]),ROW(orderHistory[customer])),""),ROWS($A$15:A41)+$B$3)),INDEX(orderHistory[status],SMALL(IF(ISNUMBER(MATCH(orderHistory[status],$D$11,0)*MATCH(YEAR(orderHistory[invoice_date]),$D$15,0)),MATCH(ROW(orderHistory[customer]),ROW(orderHistory[customer])),""),ROWS($A$15:A41)+$B$3))),IF($D$15="",INDEX(orderHistory[status],SMALL(IF(ISNUMBER(MATCH(orderHistory[status],$D$11,0)*MATCH(orderHistory[order_type],$D$13,0)),MATCH(ROW(orderHistory[customer]),ROW(orderHistory[customer])),""),ROWS($A$15:A41)+$B$3)),INDEX(orderHistory[status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status],SMALL(IF(ISNUMBER(MATCH(orderHistory[customer],$D$9,0)),MATCH(ROW(orderHistory[customer]),ROW(orderHistory[customer])),""),ROWS($A$15:A41)+$B$3)),INDEX(orderHistory[status],SMALL(IF(ISNUMBER(MATCH(orderHistory[customer],$D$9,0)*MATCH(YEAR(orderHistory[invoice_date]),$D$15,0)),MATCH(ROW(orderHistory[customer]),ROW(orderHistory[customer])),""),ROWS($A$15:A41)+$B$3))),IF($D$15="",INDEX(orderHistory[status],SMALL(IF(ISNUMBER(MATCH(orderHistory[customer],$D$9,0)*MATCH(orderHistory[order_type],$D$13,0)),MATCH(ROW(orderHistory[customer]),ROW(orderHistory[customer])),""),ROWS($A$15:A41)+$B$3)),INDEX(orderHistory[status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status],SMALL(IF(ISNUMBER(MATCH(orderHistory[customer],$D$9,0)*MATCH(orderHistory[status],$D$11,0)),MATCH(ROW(orderHistory[customer]),ROW(orderHistory[customer])),""),ROWS($A$15:A41)+$B$3)),INDEX(orderHistory[status],SMALL(IF(ISNUMBER(MATCH(orderHistory[customer],$D$9,0)*MATCH(orderHistory[status],$D$11,0)*MATCH(YEAR(orderHistory[status]),$D$15,0)),MATCH(ROW(orderHistory[customer]),ROW(orderHistory[customer])),""),ROWS($A$15:A41)+$B$3))),IF($D$15="",INDEX(orderHistory[status],SMALL(IF(ISNUMBER(MATCH(orderHistory[customer],$D$9,0)*MATCH(orderHistory[status],$D$11,0)*MATCH(orderHistory[order_type],$D$13,0)),MATCH(ROW(orderHistory[customer]),ROW(orderHistory[customer])),""),ROWS($A$15:A41)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W36" s="107"/>
      <c r="AQ36" s="489"/>
      <c r="AR36" s="512"/>
      <c r="AS36" s="490"/>
      <c r="AT36" s="490"/>
      <c r="AU36" s="490"/>
      <c r="AW36" s="460"/>
      <c r="BJ36" s="421"/>
      <c r="BK36" s="450"/>
      <c r="BL36" s="451"/>
      <c r="BM36" s="452"/>
      <c r="BN36" s="451"/>
      <c r="BO36" s="452"/>
      <c r="BZ36" s="167"/>
      <c r="CA36" s="154" t="str">
        <f>IF(BZ36="","",INDEX(bhpc_data[description],MATCH(BZ36,bhpc_data[sku],0)))</f>
        <v/>
      </c>
      <c r="CB36" s="166"/>
      <c r="CC36" s="357"/>
      <c r="CD36" s="160"/>
      <c r="CE36" s="360"/>
      <c r="CF36" s="161"/>
      <c r="CG36" s="164" t="str">
        <f>IFERROR(ROUNDUP(CB36/INDEX(bhpc_data[units_per_carton],MATCH(BZ36,bhpc_data[sku],0)),0),"")</f>
        <v/>
      </c>
      <c r="CH36" s="165" t="str">
        <f>IFERROR(ROUNDUP(CD36/INDEX(bhpc_data[units_per_carton],MATCH(BZ36,bhpc_data[sku],0)),0),"")</f>
        <v/>
      </c>
      <c r="CI36" s="165" t="str">
        <f>IFERROR(ROUNDUP(CF36/INDEX(bhpc_data[units_per_carton],MATCH(BZ36,bhpc_data[sku])),0),"")</f>
        <v/>
      </c>
      <c r="CJ36" s="165" t="str">
        <f>IFERROR(((CB36+CD36+CF36)/INDEX(bhpc_data[units_per_carton],MATCH(BZ36,bhpc_data[sku],0)))*INDEX(bhpc_data[net_weight],MATCH(BZ36,bhpc_data[sku],0)),"")</f>
        <v/>
      </c>
      <c r="CK36" s="165" t="str">
        <f>IFERROR(((CB36+CD36+CF36)/INDEX(bhpc_data[units_per_carton],MATCH(BZ36,bhpc_data[sku],0)))*INDEX(bhpc_data[gross_weight],MATCH(BZ36,bhpc_data[sku],0)),"")</f>
        <v/>
      </c>
      <c r="CL36" s="180" t="str">
        <f>IFERROR((CB36+CD36+CF36)/INDEX(bhpc_data[units_per_carton],MATCH(BZ36,bhpc_data[sku],0))*INDEX(bhpc_data[lenght],MATCH(BZ36,bhpc_data[sku],0))*INDEX(bhpc_data[width],MATCH(BZ36,bhpc_data[sku],0))*INDEX(bhpc_data[height],MATCH(BZ36,bhpc_data[sku],0))/1000000000,"")</f>
        <v/>
      </c>
      <c r="CM36" s="189" t="str">
        <f>IFERROR(INDEX(bhpc_data[category],MATCH(BZ36,bhpc_data[sku],0)),"")</f>
        <v/>
      </c>
      <c r="CN36" s="189" t="str">
        <f>IFERROR(INDEX(bhpc_data[size1],MATCH(BZ36,bhpc_data[sku],0)),"")</f>
        <v/>
      </c>
      <c r="CO36" s="388" t="str">
        <f>IFERROR(INDEX(bhpc_data[hs_code],MATCH(BZ36,bhpc_data[sku],0)),"")</f>
        <v/>
      </c>
      <c r="CP36" s="377" t="str">
        <f>IFERROR(INDEX(inventory[ESISTENZA],MATCH(BZ36,inventory[ARTICOLO],0)),"")</f>
        <v/>
      </c>
      <c r="CQ36" s="364" t="str">
        <f>IFERROR(IF(BZ36="","",IF($BX$15="SALE",INDEX(inventory[COSTO UNITARIO],MATCH(BZ36,inventory[ARTICOLO],0)),IF($BX$15="SAMPLING",INDEX(inventory[COSTO UNITARIO],MATCH(BZ36,inventory[ARTICOLO],0)),""))),"")</f>
        <v/>
      </c>
      <c r="CR36" s="365" t="str">
        <f t="shared" si="0"/>
        <v/>
      </c>
      <c r="CS36" s="264" t="str">
        <f t="shared" si="1"/>
        <v/>
      </c>
      <c r="CU36" s="505"/>
      <c r="CV36" s="505"/>
      <c r="CW36" s="525"/>
      <c r="CY36" s="524"/>
      <c r="DA36" s="432" t="str">
        <f>IFERROR(VLOOKUP(BZ36,bhpc_data[],22,FALSE),"")</f>
        <v/>
      </c>
      <c r="DH36" s="296"/>
      <c r="EE36" s="202" t="str" cm="1">
        <f t="array" ref="EE36">IFERROR(IF($EC$9="",IF($EC$11="",IF($EC$13="",INDEX(bhpc_data[sku],SMALL(MATCH(ROW(bhpc_data[sku]),ROW(bhpc_data[sku])),ROWS($A$15:A41)+$B$3)),INDEX(bhpc_data[sku],SMALL(IF(ISNUMBER(MATCH(bhpc_data[size1],$EC$13,0)),MATCH(ROW(bhpc_data[sku]),ROW(bhpc_data[sku])),""),ROWS($A$15:A41)+$B$3))),IF($EC$13="",INDEX(bhpc_data[sku],SMALL(IF(ISNUMBER(MATCH(bhpc_data[sex],$EC$11,0)),MATCH(ROW(bhpc_data[sku]),ROW(bhpc_data[sku])),""),ROWS($A$15:A41)+$B$3)),INDEX(bhpc_data[sku],SMALL(IF(ISNUMBER(MATCH(bhpc_data[sex],$EC$11,0)*MATCH(bhpc_data[size1],$EC$13,0)),MATCH(ROW(bhpc_data[sku]),ROW(bhpc_data[sku])),""),ROWS($A$15:A41)+$B$3)))),IF($EC$11="",IF($EC$13="",INDEX(bhpc_data[sku],SMALL(IF(ISNUMBER(MATCH(bhpc_data[category],$EC$9,0)),MATCH(ROW(bhpc_data[sku]),ROW(bhpc_data[sku])),""),ROWS($A$15:A41)+$B$3)),INDEX(bhpc_data[sku],SMALL(IF(ISNUMBER(MATCH(bhpc_data[category],$EC$9,0)*MATCH(bhpc_data[size1],$EC$13,0)),MATCH(ROW(bhpc_data[sku]),ROW(bhpc_data[sku])),""),ROWS($A$15:A41)+$B$3))),IF($EC$13="",INDEX(bhpc_data[sku],SMALL(IF(ISNUMBER(MATCH(bhpc_data[category],$EC$9,0)*MATCH(bhpc_data[sex],$EC$11,0)),MATCH(ROW(bhpc_data[sku]),ROW(bhpc_data[sku])),""),ROWS($A$15:A41)+$B$3)),INDEX(bhpc_data[sku],SMALL(IF(ISNUMBER(MATCH(bhpc_data[category],$EC$9,0)*MATCH(bhpc_data[sex],$EC$11,0)*MATCH(bhpc_data[size1],$EC$13,0)),MATCH(ROW(bhpc_data[sku]),ROW(bhpc_data[sku])),""),ROWS($A$15:A41)+$B$3))))),"")</f>
        <v>GSTM19</v>
      </c>
      <c r="EF36" s="198" t="str" cm="1">
        <f t="array" ref="EF36">IFERROR(IF($EC$9="",IF($EC$11="",IF($EC$13="",INDEX(bhpc_data[description],SMALL(MATCH(ROW(bhpc_data[sku]),ROW(bhpc_data[sku])),ROWS($A$15:A41)+$B$3)),INDEX(bhpc_data[description],SMALL(IF(ISNUMBER(MATCH(bhpc_data[size1],$EC$13,0)),MATCH(ROW(bhpc_data[sku]),ROW(bhpc_data[sku])),""),ROWS($A$15:A41)+$B$3))),IF($EC$13="",INDEX(bhpc_data[description],SMALL(IF(ISNUMBER(MATCH(bhpc_data[sex],$EC$11,0)),MATCH(ROW(bhpc_data[sku]),ROW(bhpc_data[sku])),""),ROWS($A$15:A41)+$B$3)),INDEX(bhpc_data[description],SMALL(IF(ISNUMBER(MATCH(bhpc_data[sex],$EC$11,0)*MATCH(bhpc_data[size1],$EC$13,0)),MATCH(ROW(bhpc_data[sku]),ROW(bhpc_data[sku])),""),ROWS($A$15:A41)+$B$3)))),IF($EC$11="",IF($EC$13="",INDEX(bhpc_data[description],SMALL(IF(ISNUMBER(MATCH(bhpc_data[category],$EC$9,0)),MATCH(ROW(bhpc_data[sku]),ROW(bhpc_data[sku])),""),ROWS($A$15:A41)+$B$3)),INDEX(bhpc_data[description],SMALL(IF(ISNUMBER(MATCH(bhpc_data[category],$EC$9,0)*MATCH(bhpc_data[size1],$EC$13,0)),MATCH(ROW(bhpc_data[sku]),ROW(bhpc_data[sku])),""),ROWS($A$15:A41)+$B$3))),IF($EC$13="",INDEX(bhpc_data[description],SMALL(IF(ISNUMBER(MATCH(bhpc_data[category],$EC$9,0)*MATCH(bhpc_data[sex],$EC$11,0)),MATCH(ROW(bhpc_data[sku]),ROW(bhpc_data[sku])),""),ROWS($A$15:A41)+$B$3)),INDEX(bhpc_data[description],SMALL(IF(ISNUMBER(MATCH(bhpc_data[category],$EC$9,0)*MATCH(bhpc_data[sex],$EC$11,0)*MATCH(bhpc_data[size1],$EC$13,0)),MATCH(ROW(bhpc_data[sku]),ROW(bhpc_data[sku])),""),ROWS($A$15:A41)+$B$3))))),"")</f>
        <v>BHPC TWINPACK SPORTS MEN DEO #1 #9 175ML</v>
      </c>
      <c r="EG36" s="263">
        <f>IFERROR(IF(warehouse[[#This Row],[SKU]]="","",INDEX(inventory[ESISTENZA],MATCH(warehouse[[#This Row],[SKU]],inventory[ARTICOLO],0))),"")</f>
        <v>0</v>
      </c>
      <c r="EH36" s="328"/>
      <c r="EI36" s="328"/>
      <c r="EJ36" s="263"/>
      <c r="EK36" s="329"/>
      <c r="FF36" s="413"/>
      <c r="FG36" s="413"/>
      <c r="FH36" s="413"/>
      <c r="FI36" s="413"/>
      <c r="FJ36" s="413"/>
      <c r="FK36" s="413"/>
      <c r="FL36" s="413"/>
      <c r="FM36" s="413"/>
      <c r="FN36" s="413"/>
      <c r="FO36" s="413"/>
      <c r="FP36" s="413"/>
      <c r="FQ36" s="413"/>
      <c r="FR36" s="413"/>
      <c r="FS36" s="413"/>
      <c r="FT36" s="413"/>
      <c r="FU36" s="413"/>
      <c r="FV36" s="413"/>
      <c r="FW36" s="413"/>
      <c r="FX36" s="413"/>
      <c r="FY36" s="413"/>
      <c r="FZ36" s="413"/>
      <c r="GA36" s="413"/>
      <c r="GB36" s="413"/>
      <c r="GC36" s="413"/>
      <c r="GD36" s="413"/>
      <c r="GE36" s="413"/>
      <c r="GF36" s="413"/>
      <c r="GG36" s="413"/>
      <c r="GH36" s="413"/>
      <c r="GI36" s="413"/>
      <c r="GJ36" s="413"/>
      <c r="GK36" s="413"/>
      <c r="GL36" s="413"/>
      <c r="GM36" s="413"/>
      <c r="GN36" s="413"/>
      <c r="GO36" s="413"/>
      <c r="GP36" s="413"/>
      <c r="GQ36" s="413"/>
      <c r="GR36" s="413"/>
      <c r="GS36" s="413"/>
      <c r="GT36" s="413"/>
      <c r="GU36" s="413"/>
      <c r="GV36" s="413"/>
      <c r="GW36" s="413"/>
      <c r="GX36" s="413"/>
      <c r="GY36" s="413"/>
      <c r="GZ36" s="413"/>
      <c r="HA36" s="413"/>
      <c r="HB36" s="413"/>
      <c r="HC36" s="413"/>
      <c r="HD36" s="413"/>
      <c r="HE36" s="413"/>
      <c r="HF36" s="413"/>
      <c r="HG36" s="413"/>
      <c r="HH36" s="413"/>
      <c r="HI36" s="413"/>
      <c r="HJ36" s="413"/>
      <c r="HK36" s="413"/>
      <c r="HL36" s="413"/>
      <c r="HM36" s="413"/>
      <c r="HN36" s="413"/>
      <c r="HO36" s="413"/>
      <c r="HP36" s="413"/>
      <c r="HQ36" s="413"/>
      <c r="HR36" s="413"/>
      <c r="HS36" s="413"/>
      <c r="HT36" s="413"/>
    </row>
    <row r="37" spans="10:228" ht="15" customHeight="1" x14ac:dyDescent="0.35">
      <c r="L37" s="539" t="str">
        <f t="array" ref="L37">IFERROR(IF($D$9="",IF($D$11="",IF($D$13="",IF($D$15="",INDEX(orderHistory[customer],SMALL(MATCH(ROW(orderHistory[customer]),ROW(orderHistory[customer])),ROWS($A$15:A42)+$B$3)),INDEX(orderHistory[customer],SMALL(IF(ISNUMBER(MATCH(YEAR(orderHistory[invoice_date]),$D$15,0)),MATCH(ROW(orderHistory[customer]),ROW(orderHistory[customer])),""),ROWS($A$15:A42)+$B$3))),IF($D$15="",INDEX(orderHistory[customer],SMALL(IF(ISNUMBER(MATCH(orderHistory[order_type],$D$13,0)),MATCH(ROW(orderHistory[customer]),ROW(orderHistory[customer])),""),ROWS($A$15:A42)+$B$3)),INDEX(orderHistory[customer],SMALL(IF(ISNUMBER(MATCH(orderHistory[order_type],$D$13,0)*MATCH(YEAR(orderHistory[invoice_date]),$D$15,0)),MATCH(ROW(orderHistory[customer]),ROW(orderHistory[customer])),""),ROWS($A$15:A42)+$B$3)))),IF($D$13="",IF($D$15="",INDEX(orderHistory[customer],SMALL(IF(ISNUMBER(MATCH(orderHistory[status],$D$11,0)),MATCH(ROW(orderHistory[customer]),ROW(orderHistory[customer])),""),ROWS($A$15:A42)+$B$3)),INDEX(orderHistory[customer],SMALL(IF(ISNUMBER(MATCH(orderHistory[status],$D$11,0)*MATCH(YEAR(orderHistory[invoice_date]),$D$15,0)),MATCH(ROW(orderHistory[customer]),ROW(orderHistory[customer])),""),ROWS($A$15:A42)+$B$3))),IF($D$15="",INDEX(orderHistory[customer],SMALL(IF(ISNUMBER(MATCH(orderHistory[status],$D$11,0)*MATCH(orderHistory[order_type],$D$13,0)),MATCH(ROW(orderHistory[customer]),ROW(orderHistory[customer])),""),ROWS($A$15:A42)+$B$3)),INDEX(orderHistory[customer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customer],SMALL(IF(ISNUMBER(MATCH(orderHistory[customer],$D$9,0)),MATCH(ROW(orderHistory[customer]),ROW(orderHistory[customer])),""),ROWS($A$15:A42)+$B$3)),INDEX(orderHistory[customer],SMALL(IF(ISNUMBER(MATCH(orderHistory[customer],$D$9,0)*MATCH(YEAR(orderHistory[invoice_date]),$D$15,0)),MATCH(ROW(orderHistory[customer]),ROW(orderHistory[customer])),""),ROWS($A$15:A42)+$B$3))),IF($D$15="",INDEX(orderHistory[customer],SMALL(IF(ISNUMBER(MATCH(orderHistory[customer],$D$9,0)*MATCH(orderHistory[order_type],$D$13,0)),MATCH(ROW(orderHistory[customer]),ROW(orderHistory[customer])),""),ROWS($A$15:A42)+$B$3)),INDEX(orderHistory[customer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customer],SMALL(IF(ISNUMBER(MATCH(orderHistory[customer],$D$9,0)*MATCH(orderHistory[status],$D$11,0)),MATCH(ROW(orderHistory[customer]),ROW(orderHistory[customer])),""),ROWS($A$15:A42)+$B$3)),INDEX(orderHistory[customer],SMALL(IF(ISNUMBER(MATCH(orderHistory[customer],$D$9,0)*MATCH(orderHistory[status],$D$11,0)*MATCH(YEAR(orderHistory[invoice_date]),$D$15,0)),MATCH(ROW(orderHistory[customer]),ROW(orderHistory[customer])),""),ROWS($A$15:A42)+$B$3))),IF($D$15="",INDEX(orderHistory[customer],SMALL(IF(ISNUMBER(MATCH(orderHistory[customer],$D$9,0)*MATCH(orderHistory[status],$D$11,0)*MATCH(orderHistory[order_type],$D$13,0)),MATCH(ROW(orderHistory[customer]),ROW(orderHistory[customer])),""),ROWS($A$15:A42)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M37" s="540" t="str">
        <f t="array" ref="M37">IFERROR(IF($D$9="",IF($D$11="",IF($D$13="",IF($D$15="",INDEX(orderHistory[order_no],SMALL(MATCH(ROW(orderHistory[customer]),ROW(orderHistory[customer])),ROWS($A$15:A42)+$B$3)),INDEX(orderHistory[order_no],SMALL(IF(ISNUMBER(MATCH(YEAR(orderHistory[invoice_date]),$D$15,0)),MATCH(ROW(orderHistory[customer]),ROW(orderHistory[customer])),""),ROWS($A$15:A42)+$B$3))),IF($D$15="",INDEX(orderHistory[order_no],SMALL(IF(ISNUMBER(MATCH(orderHistory[order_type],$D$13,0)),MATCH(ROW(orderHistory[customer]),ROW(orderHistory[customer])),""),ROWS($A$15:A42)+$B$3)),INDEX(orderHistory[order_no],SMALL(IF(ISNUMBER(MATCH(orderHistory[order_type],$D$13,0)*MATCH(YEAR(orderHistory[invoice_date]),$D$15,0)),MATCH(ROW(orderHistory[customer]),ROW(orderHistory[customer])),""),ROWS($A$15:A42)+$B$3)))),IF($D$13="",IF($D$15="",INDEX(orderHistory[order_no],SMALL(IF(ISNUMBER(MATCH(orderHistory[status],$D$11,0)),MATCH(ROW(orderHistory[customer]),ROW(orderHistory[customer])),""),ROWS($A$15:A42)+$B$3)),INDEX(orderHistory[order_no],SMALL(IF(ISNUMBER(MATCH(orderHistory[status],$D$11,0)*MATCH(YEAR(orderHistory[invoice_date]),$D$15,0)),MATCH(ROW(orderHistory[customer]),ROW(orderHistory[customer])),""),ROWS($A$15:A42)+$B$3))),IF($D$15="",INDEX(orderHistory[order_no],SMALL(IF(ISNUMBER(MATCH(orderHistory[status],$D$11,0)*MATCH(orderHistory[order_type],$D$13,0)),MATCH(ROW(orderHistory[customer]),ROW(orderHistory[customer])),""),ROWS($A$15:A42)+$B$3)),INDEX(orderHistory[order_no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no],SMALL(IF(ISNUMBER(MATCH(orderHistory[customer],$D$9,0)),MATCH(ROW(orderHistory[customer]),ROW(orderHistory[customer])),""),ROWS($A$15:A42)+$B$3)),INDEX(orderHistory[order_no],SMALL(IF(ISNUMBER(MATCH(orderHistory[customer],$D$9,0)*MATCH(YEAR(orderHistory[invoice_date]),$D$15,0)),MATCH(ROW(orderHistory[customer]),ROW(orderHistory[customer])),""),ROWS($A$15:A42)+$B$3))),IF($D$15="",INDEX(orderHistory[order_no],SMALL(IF(ISNUMBER(MATCH(orderHistory[customer],$D$9,0)*MATCH(orderHistory[order_type],$D$13,0)),MATCH(ROW(orderHistory[customer]),ROW(orderHistory[customer])),""),ROWS($A$15:A42)+$B$3)),INDEX(orderHistory[order_no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no],SMALL(IF(ISNUMBER(MATCH(orderHistory[customer],$D$9,0)*MATCH(orderHistory[status],$D$11,0)),MATCH(ROW(orderHistory[customer]),ROW(orderHistory[customer])),""),ROWS($A$15:A42)+$B$3)),INDEX(orderHistory[order_no],SMALL(IF(ISNUMBER(MATCH(orderHistory[customer],$D$9,0)*MATCH(orderHistory[status],$D$11,0)*MATCH(YEAR(orderHistory[invoice_date]),$D$15,0)),MATCH(ROW(orderHistory[customer]),ROW(orderHistory[customer])),""),ROWS($A$15:A42)+$B$3))),IF($D$15="",INDEX(orderHistory[order_no],SMALL(IF(ISNUMBER(MATCH(orderHistory[customer],$D$9,0)*MATCH(orderHistory[status],$D$11,0)*MATCH(orderHistory[order_type],$D$13,0)),MATCH(ROW(orderHistory[customer]),ROW(orderHistory[customer])),""),ROWS($A$15:A42)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N37" s="541" t="str">
        <f t="array" ref="N37">IFERROR(IF($D$9="",IF($D$11="",IF($D$13="",IF($D$15="",INDEX(orderHistory[order_type],SMALL(MATCH(ROW(orderHistory[customer]),ROW(orderHistory[customer])),ROWS($A$15:A42)+$B$3)),INDEX(orderHistory[order_type],SMALL(IF(ISNUMBER(MATCH(YEAR(orderHistory[invoice_date]),$D$15,0)),MATCH(ROW(orderHistory[customer]),ROW(orderHistory[customer])),""),ROWS($A$15:A42)+$B$3))),IF($D$15="",INDEX(orderHistory[order_type],SMALL(IF(ISNUMBER(MATCH(orderHistory[order_type],$D$13,0)),MATCH(ROW(orderHistory[customer]),ROW(orderHistory[customer])),""),ROWS($A$15:A42)+$B$3)),INDEX(orderHistory[order_type],SMALL(IF(ISNUMBER(MATCH(orderHistory[order_type],$D$13,0)*MATCH(YEAR(orderHistory[invoice_date]),$D$15,0)),MATCH(ROW(orderHistory[customer]),ROW(orderHistory[customer])),""),ROWS($A$15:A42)+$B$3)))),IF($D$13="",IF($D$15="",INDEX(orderHistory[order_type],SMALL(IF(ISNUMBER(MATCH(orderHistory[status],$D$11,0)),MATCH(ROW(orderHistory[customer]),ROW(orderHistory[customer])),""),ROWS($A$15:A42)+$B$3)),INDEX(orderHistory[order_type],SMALL(IF(ISNUMBER(MATCH(orderHistory[status],$D$11,0)*MATCH(YEAR(orderHistory[invoice_date]),$D$15,0)),MATCH(ROW(orderHistory[customer]),ROW(orderHistory[customer])),""),ROWS($A$15:A42)+$B$3))),IF($D$15="",INDEX(orderHistory[order_type],SMALL(IF(ISNUMBER(MATCH(orderHistory[status],$D$11,0)*MATCH(orderHistory[order_type],$D$13,0)),MATCH(ROW(orderHistory[customer]),ROW(orderHistory[customer])),""),ROWS($A$15:A42)+$B$3)),INDEX(orderHistory[order_typ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type],SMALL(IF(ISNUMBER(MATCH(orderHistory[customer],$D$9,0)),MATCH(ROW(orderHistory[customer]),ROW(orderHistory[customer])),""),ROWS($A$15:A42)+$B$3)),INDEX(orderHistory[order_type],SMALL(IF(ISNUMBER(MATCH(orderHistory[customer],$D$9,0)*MATCH(YEAR(orderHistory[invoice_date]),$D$15,0)),MATCH(ROW(orderHistory[customer]),ROW(orderHistory[customer])),""),ROWS($A$15:A42)+$B$3))),IF($D$15="",INDEX(orderHistory[order_type],SMALL(IF(ISNUMBER(MATCH(orderHistory[customer],$D$9,0)*MATCH(orderHistory[order_type],$D$13,0)),MATCH(ROW(orderHistory[customer]),ROW(orderHistory[customer])),""),ROWS($A$15:A42)+$B$3)),INDEX(orderHistory[order_typ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type],SMALL(IF(ISNUMBER(MATCH(orderHistory[customer],$D$9,0)*MATCH(orderHistory[status],$D$11,0)),MATCH(ROW(orderHistory[customer]),ROW(orderHistory[customer])),""),ROWS($A$15:A42)+$B$3)),INDEX(orderHistory[order_type],SMALL(IF(ISNUMBER(MATCH(orderHistory[customer],$D$9,0)*MATCH(orderHistory[status],$D$11,0)*MATCH(YEAR(orderHistory[invoice_date]),$D$15,0)),MATCH(ROW(orderHistory[customer]),ROW(orderHistory[customer])),""),ROWS($A$15:A42)+$B$3))),IF($D$15="",INDEX(orderHistory[order_type],SMALL(IF(ISNUMBER(MATCH(orderHistory[customer],$D$9,0)*MATCH(orderHistory[status],$D$11,0)*MATCH(orderHistory[order_type],$D$13,0)),MATCH(ROW(orderHistory[customer]),ROW(orderHistory[customer])),""),ROWS($A$15:A42)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O37" s="542" t="str">
        <f t="array" ref="O37">IFERROR(IF($D$9="",IF($D$11="",IF($D$13="",IF($D$15="",INDEX(orderHistory[order_date],SMALL(MATCH(ROW(orderHistory[customer]),ROW(orderHistory[customer])),ROWS($A$15:A42)+$B$3)),INDEX(orderHistory[order_date],SMALL(IF(ISNUMBER(MATCH(YEAR(orderHistory[invoice_date]),$D$15,0)),MATCH(ROW(orderHistory[customer]),ROW(orderHistory[customer])),""),ROWS($A$15:A42)+$B$3))),IF($D$15="",INDEX(orderHistory[order_date],SMALL(IF(ISNUMBER(MATCH(orderHistory[order_type],$D$13,0)),MATCH(ROW(orderHistory[customer]),ROW(orderHistory[customer])),""),ROWS($A$15:A42)+$B$3)),INDEX(orderHistory[order_date],SMALL(IF(ISNUMBER(MATCH(orderHistory[order_type],$D$13,0)*MATCH(YEAR(orderHistory[invoice_date]),$D$15,0)),MATCH(ROW(orderHistory[customer]),ROW(orderHistory[customer])),""),ROWS($A$15:A42)+$B$3)))),IF($D$13="",IF($D$15="",INDEX(orderHistory[order_date],SMALL(IF(ISNUMBER(MATCH(orderHistory[status],$D$11,0)),MATCH(ROW(orderHistory[customer]),ROW(orderHistory[customer])),""),ROWS($A$15:A42)+$B$3)),INDEX(orderHistory[order_date],SMALL(IF(ISNUMBER(MATCH(orderHistory[status],$D$11,0)*MATCH(YEAR(orderHistory[invoice_date]),$D$15,0)),MATCH(ROW(orderHistory[customer]),ROW(orderHistory[customer])),""),ROWS($A$15:A42)+$B$3))),IF($D$15="",INDEX(orderHistory[order_date],SMALL(IF(ISNUMBER(MATCH(orderHistory[status],$D$11,0)*MATCH(orderHistory[order_type],$D$13,0)),MATCH(ROW(orderHistory[customer]),ROW(orderHistory[customer])),""),ROWS($A$15:A42)+$B$3)),INDEX(orderHistory[order_dat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date],SMALL(IF(ISNUMBER(MATCH(orderHistory[customer],$D$9,0)),MATCH(ROW(orderHistory[customer]),ROW(orderHistory[customer])),""),ROWS($A$15:A42)+$B$3)),INDEX(orderHistory[order_date],SMALL(IF(ISNUMBER(MATCH(orderHistory[customer],$D$9,0)*MATCH(YEAR(orderHistory[invoice_date]),$D$15,0)),MATCH(ROW(orderHistory[customer]),ROW(orderHistory[customer])),""),ROWS($A$15:A42)+$B$3))),IF($D$15="",INDEX(orderHistory[order_date],SMALL(IF(ISNUMBER(MATCH(orderHistory[customer],$D$9,0)*MATCH(orderHistory[order_type],$D$13,0)),MATCH(ROW(orderHistory[customer]),ROW(orderHistory[customer])),""),ROWS($A$15:A42)+$B$3)),INDEX(orderHistory[order_dat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date],SMALL(IF(ISNUMBER(MATCH(orderHistory[customer],$D$9,0)*MATCH(orderHistory[status],$D$11,0)),MATCH(ROW(orderHistory[customer]),ROW(orderHistory[customer])),""),ROWS($A$15:A42)+$B$3)),INDEX(orderHistory[order_date],SMALL(IF(ISNUMBER(MATCH(orderHistory[customer],$D$9,0)*MATCH(orderHistory[status],$D$11,0)*MATCH(YEAR(orderHistory[invoice_date]),$D$15,0)),MATCH(ROW(orderHistory[customer]),ROW(orderHistory[customer])),""),ROWS($A$15:A42)+$B$3))),IF($D$15="",INDEX(orderHistory[order_date],SMALL(IF(ISNUMBER(MATCH(orderHistory[customer],$D$9,0)*MATCH(orderHistory[status],$D$11,0)*MATCH(orderHistory[order_type],$D$13,0)),MATCH(ROW(orderHistory[customer]),ROW(orderHistory[customer])),""),ROWS($A$15:A42)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P37" s="543" t="str">
        <f t="array" ref="P37">IFERROR(IF($D$9="",IF($D$11="",IF($D$13="",IF($D$15="",INDEX(orderHistory[invoice_no],SMALL(MATCH(ROW(orderHistory[customer]),ROW(orderHistory[customer])),ROWS($A$15:A42)+$B$3)),INDEX(orderHistory[invoice_no],SMALL(IF(ISNUMBER(MATCH(YEAR(orderHistory[invoice_date]),$D$15,0)),MATCH(ROW(orderHistory[customer]),ROW(orderHistory[customer])),""),ROWS($A$15:A42)+$B$3))),IF($D$15="",INDEX(orderHistory[invoice_no],SMALL(IF(ISNUMBER(MATCH(orderHistory[order_type],$D$13,0)),MATCH(ROW(orderHistory[customer]),ROW(orderHistory[customer])),""),ROWS($A$15:A42)+$B$3)),INDEX(orderHistory[invoice_no],SMALL(IF(ISNUMBER(MATCH(orderHistory[order_type],$D$13,0)*MATCH(YEAR(orderHistory[invoice_date]),$D$15,0)),MATCH(ROW(orderHistory[customer]),ROW(orderHistory[customer])),""),ROWS($A$15:A42)+$B$3)))),IF($D$13="",IF($D$15="",INDEX(orderHistory[invoice_no],SMALL(IF(ISNUMBER(MATCH(orderHistory[status],$D$11,0)),MATCH(ROW(orderHistory[customer]),ROW(orderHistory[customer])),""),ROWS($A$15:A42)+$B$3)),INDEX(orderHistory[invoice_no],SMALL(IF(ISNUMBER(MATCH(orderHistory[status],$D$11,0)*MATCH(YEAR(orderHistory[invoice_date]),$D$15,0)),MATCH(ROW(orderHistory[customer]),ROW(orderHistory[customer])),""),ROWS($A$15:A42)+$B$3))),IF($D$15="",INDEX(orderHistory[invoice_no],SMALL(IF(ISNUMBER(MATCH(orderHistory[status],$D$11,0)*MATCH(orderHistory[order_type],$D$13,0)),MATCH(ROW(orderHistory[customer]),ROW(orderHistory[customer])),""),ROWS($A$15:A42)+$B$3)),INDEX(orderHistory[invoice_no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oice_no],SMALL(IF(ISNUMBER(MATCH(orderHistory[customer],$D$9,0)),MATCH(ROW(orderHistory[customer]),ROW(orderHistory[customer])),""),ROWS($A$15:A42)+$B$3)),INDEX(orderHistory[invoice_no],SMALL(IF(ISNUMBER(MATCH(orderHistory[customer],$D$9,0)*MATCH(YEAR(orderHistory[invoice_date]),$D$15,0)),MATCH(ROW(orderHistory[customer]),ROW(orderHistory[customer])),""),ROWS($A$15:A42)+$B$3))),IF($D$15="",INDEX(orderHistory[invoice_no],SMALL(IF(ISNUMBER(MATCH(orderHistory[customer],$D$9,0)*MATCH(orderHistory[order_type],$D$13,0)),MATCH(ROW(orderHistory[customer]),ROW(orderHistory[customer])),""),ROWS($A$15:A42)+$B$3)),INDEX(orderHistory[invoice_no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YEAR(orderHistory[invoice_date]),$D$15,0)),MATCH(ROW(orderHistory[customer]),ROW(orderHistory[customer])),""),ROWS($A$15:A42)+$B$3))),IF($D$15="",INDEX(orderHistory[invoice_no],SMALL(IF(ISNUMBER(MATCH(orderHistory[customer],$D$9,0)*MATCH(orderHistory[status],$D$11,0)*MATCH(orderHistory[order_type],$D$13,0)),MATCH(ROW(orderHistory[customer]),ROW(orderHistory[customer])),""),ROWS($A$15:A42)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Q37" s="544" t="str">
        <f t="array" ref="Q37">IFERROR(IF($D$9="",IF($D$11="",IF($D$13="",IF($D$15="",INDEX(orderHistory[invoice_date],SMALL(MATCH(ROW(orderHistory[customer]),ROW(orderHistory[customer])),ROWS($A$15:A42)+$B$3)),INDEX(orderHistory[invoice_date],SMALL(IF(ISNUMBER(MATCH(YEAR(orderHistory[invoice_date]),$D$15,0)),MATCH(ROW(orderHistory[customer]),ROW(orderHistory[customer])),""),ROWS($A$15:A42)+$B$3))),IF($D$15="",INDEX(orderHistory[invoice_date],SMALL(IF(ISNUMBER(MATCH(orderHistory[order_type],$D$13,0)),MATCH(ROW(orderHistory[customer]),ROW(orderHistory[customer])),""),ROWS($A$15:A42)+$B$3)),INDEX(orderHistory[invoice_date],SMALL(IF(ISNUMBER(MATCH(orderHistory[order_type],$D$13,0)*MATCH(YEAR(orderHistory[invoice_date]),$D$15,0)),MATCH(ROW(orderHistory[customer]),ROW(orderHistory[customer])),""),ROWS($A$15:A42)+$B$3)))),IF($D$13="",IF($D$15="",INDEX(orderHistory[invoice_date],SMALL(IF(ISNUMBER(MATCH(orderHistory[status],$D$11,0)),MATCH(ROW(orderHistory[customer]),ROW(orderHistory[customer])),""),ROWS($A$15:A42)+$B$3)),INDEX(orderHistory[invoice_date],SMALL(IF(ISNUMBER(MATCH(orderHistory[status],$D$11,0)*MATCH(YEAR(orderHistory[invoice_date]),$D$15,0)),MATCH(ROW(orderHistory[customer]),ROW(orderHistory[customer])),""),ROWS($A$15:A42)+$B$3))),IF($D$15="",INDEX(orderHistory[invoice_date],SMALL(IF(ISNUMBER(MATCH(orderHistory[status],$D$11,0)*MATCH(orderHistory[order_type],$D$13,0)),MATCH(ROW(orderHistory[customer]),ROW(orderHistory[customer])),""),ROWS($A$15:A42)+$B$3)),INDEX(orderHistory[invoice_dat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oice_date],SMALL(IF(ISNUMBER(MATCH(orderHistory[customer],$D$9,0)),MATCH(ROW(orderHistory[customer]),ROW(orderHistory[customer])),""),ROWS($A$15:A42)+$B$3)),INDEX(orderHistory[invoice_date],SMALL(IF(ISNUMBER(MATCH(orderHistory[customer],$D$9,0)*MATCH(YEAR(orderHistory[invoice_date]),$D$15,0)),MATCH(ROW(orderHistory[customer]),ROW(orderHistory[customer])),""),ROWS($A$15:A42)+$B$3))),IF($D$15="",INDEX(orderHistory[invoice_date],SMALL(IF(ISNUMBER(MATCH(orderHistory[customer],$D$9,0)*MATCH(orderHistory[order_type],$D$13,0)),MATCH(ROW(orderHistory[customer]),ROW(orderHistory[customer])),""),ROWS($A$15:A42)+$B$3)),INDEX(orderHistory[invoice_dat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YEAR(orderHistory[invoice_date]),$D$15,0)),MATCH(ROW(orderHistory[customer]),ROW(orderHistory[customer])),""),ROWS($A$15:A42)+$B$3))),IF($D$15="",INDEX(orderHistory[invoice_date],SMALL(IF(ISNUMBER(MATCH(orderHistory[customer],$D$9,0)*MATCH(orderHistory[status],$D$11,0)*MATCH(orderHistory[order_type],$D$13,0)),MATCH(ROW(orderHistory[customer]),ROW(orderHistory[customer])),""),ROWS($A$15:A42)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R37" s="545" t="str">
        <f t="array" ref="R37">IFERROR(IF($D$9="",IF($D$11="",IF($D$13="",IF($D$15="",INDEX(orderHistory[inv_amount],SMALL(MATCH(ROW(orderHistory[customer]),ROW(orderHistory[customer])),ROWS($A$15:A42)+$B$3)),INDEX(orderHistory[inv_amount],SMALL(IF(ISNUMBER(MATCH(YEAR(orderHistory[invoice_date]),$D$15,0)),MATCH(ROW(orderHistory[customer]),ROW(orderHistory[customer])),""),ROWS($A$15:A42)+$B$3))),IF($D$15="",INDEX(orderHistory[inv_amount],SMALL(IF(ISNUMBER(MATCH(orderHistory[order_type],$D$13,0)),MATCH(ROW(orderHistory[customer]),ROW(orderHistory[customer])),""),ROWS($A$15:A42)+$B$3)),INDEX(orderHistory[inv_amount],SMALL(IF(ISNUMBER(MATCH(orderHistory[order_type],$D$13,0)*MATCH(YEAR(orderHistory[invoice_date]),$D$15,0)),MATCH(ROW(orderHistory[customer]),ROW(orderHistory[customer])),""),ROWS($A$15:A42)+$B$3)))),IF($D$13="",IF($D$15="",INDEX(orderHistory[inv_amount],SMALL(IF(ISNUMBER(MATCH(orderHistory[status],$D$11,0)),MATCH(ROW(orderHistory[customer]),ROW(orderHistory[customer])),""),ROWS($A$15:A42)+$B$3)),INDEX(orderHistory[inv_amount],SMALL(IF(ISNUMBER(MATCH(orderHistory[status],$D$11,0)*MATCH(YEAR(orderHistory[invoice_date]),$D$15,0)),MATCH(ROW(orderHistory[customer]),ROW(orderHistory[customer])),""),ROWS($A$15:A42)+$B$3))),IF($D$15="",INDEX(orderHistory[inv_amount],SMALL(IF(ISNUMBER(MATCH(orderHistory[status],$D$11,0)*MATCH(orderHistory[order_type],$D$13,0)),MATCH(ROW(orderHistory[customer]),ROW(orderHistory[customer])),""),ROWS($A$15:A42)+$B$3)),INDEX(orderHistory[inv_amount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_amount],SMALL(IF(ISNUMBER(MATCH(orderHistory[customer],$D$9,0)),MATCH(ROW(orderHistory[customer]),ROW(orderHistory[customer])),""),ROWS($A$15:A42)+$B$3)),INDEX(orderHistory[inv_amount],SMALL(IF(ISNUMBER(MATCH(orderHistory[customer],$D$9,0)*MATCH(YEAR(orderHistory[invoice_date]),$D$15,0)),MATCH(ROW(orderHistory[customer]),ROW(orderHistory[customer])),""),ROWS($A$15:A42)+$B$3))),IF($D$15="",INDEX(orderHistory[inv_amount],SMALL(IF(ISNUMBER(MATCH(orderHistory[customer],$D$9,0)*MATCH(orderHistory[order_type],$D$13,0)),MATCH(ROW(orderHistory[customer]),ROW(orderHistory[customer])),""),ROWS($A$15:A42)+$B$3)),INDEX(orderHistory[inv_amount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_amount],SMALL(IF(ISNUMBER(MATCH(orderHistory[customer],$D$9,0)*MATCH(orderHistory[status],$D$11,0)),MATCH(ROW(orderHistory[customer]),ROW(orderHistory[customer])),""),ROWS($A$15:A42)+$B$3)),INDEX(orderHistory[inv_amount],SMALL(IF(ISNUMBER(MATCH(orderHistory[customer],$D$9,0)*MATCH(orderHistory[status],$D$11,0)*MATCH(YEAR(orderHistory[inv_amount]),$D$15,0)),MATCH(ROW(orderHistory[customer]),ROW(orderHistory[customer])),""),ROWS($A$15:A42)+$B$3))),IF($D$15="",INDEX(orderHistory[inv_amount],SMALL(IF(ISNUMBER(MATCH(orderHistory[customer],$D$9,0)*MATCH(orderHistory[status],$D$11,0)*MATCH(orderHistory[order_type],$D$13,0)),MATCH(ROW(orderHistory[customer]),ROW(orderHistory[customer])),""),ROWS($A$15:A42)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S37" s="546" t="str">
        <f t="shared" si="2"/>
        <v/>
      </c>
      <c r="T37" s="547" t="str">
        <f t="array" ref="T37">IFERROR(IF($D$9="",IF($D$11="",IF($D$13="",IF($D$15="",INDEX(orderHistory[payed],SMALL(MATCH(ROW(orderHistory[customer]),ROW(orderHistory[customer])),ROWS($A$15:A42)+$B$3)),INDEX(orderHistory[payed],SMALL(IF(ISNUMBER(MATCH(YEAR(orderHistory[invoice_date]),$D$15,0)),MATCH(ROW(orderHistory[customer]),ROW(orderHistory[customer])),""),ROWS($A$15:A42)+$B$3))),IF($D$15="",INDEX(orderHistory[payed],SMALL(IF(ISNUMBER(MATCH(orderHistory[order_type],$D$13,0)),MATCH(ROW(orderHistory[customer]),ROW(orderHistory[customer])),""),ROWS($A$15:A42)+$B$3)),INDEX(orderHistory[payed],SMALL(IF(ISNUMBER(MATCH(orderHistory[order_type],$D$13,0)*MATCH(YEAR(orderHistory[invoice_date]),$D$15,0)),MATCH(ROW(orderHistory[customer]),ROW(orderHistory[customer])),""),ROWS($A$15:A42)+$B$3)))),IF($D$13="",IF($D$15="",INDEX(orderHistory[payed],SMALL(IF(ISNUMBER(MATCH(orderHistory[status],$D$11,0)),MATCH(ROW(orderHistory[customer]),ROW(orderHistory[customer])),""),ROWS($A$15:A42)+$B$3)),INDEX(orderHistory[payed],SMALL(IF(ISNUMBER(MATCH(orderHistory[status],$D$11,0)*MATCH(YEAR(orderHistory[invoice_date]),$D$15,0)),MATCH(ROW(orderHistory[customer]),ROW(orderHistory[customer])),""),ROWS($A$15:A42)+$B$3))),IF($D$15="",INDEX(orderHistory[payed],SMALL(IF(ISNUMBER(MATCH(orderHistory[status],$D$11,0)*MATCH(orderHistory[order_type],$D$13,0)),MATCH(ROW(orderHistory[customer]),ROW(orderHistory[customer])),""),ROWS($A$15:A42)+$B$3)),INDEX(orderHistory[payed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payed],SMALL(IF(ISNUMBER(MATCH(orderHistory[customer],$D$9,0)),MATCH(ROW(orderHistory[customer]),ROW(orderHistory[customer])),""),ROWS($A$15:A42)+$B$3)),INDEX(orderHistory[payed],SMALL(IF(ISNUMBER(MATCH(orderHistory[customer],$D$9,0)*MATCH(YEAR(orderHistory[invoice_date]),$D$15,0)),MATCH(ROW(orderHistory[customer]),ROW(orderHistory[customer])),""),ROWS($A$15:A42)+$B$3))),IF($D$15="",INDEX(orderHistory[payed],SMALL(IF(ISNUMBER(MATCH(orderHistory[customer],$D$9,0)*MATCH(orderHistory[order_type],$D$13,0)),MATCH(ROW(orderHistory[customer]),ROW(orderHistory[customer])),""),ROWS($A$15:A42)+$B$3)),INDEX(orderHistory[payed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payed],SMALL(IF(ISNUMBER(MATCH(orderHistory[customer],$D$9,0)*MATCH(orderHistory[status],$D$11,0)),MATCH(ROW(orderHistory[customer]),ROW(orderHistory[customer])),""),ROWS($A$15:A42)+$B$3)),INDEX(orderHistory[payed],SMALL(IF(ISNUMBER(MATCH(orderHistory[customer],$D$9,0)*MATCH(orderHistory[status],$D$11,0)*MATCH(YEAR(orderHistory[payed]),$D$15,0)),MATCH(ROW(orderHistory[customer]),ROW(orderHistory[customer])),""),ROWS($A$15:A42)+$B$3))),IF($D$15="",INDEX(orderHistory[payed],SMALL(IF(ISNUMBER(MATCH(orderHistory[customer],$D$9,0)*MATCH(orderHistory[status],$D$11,0)*MATCH(orderHistory[order_type],$D$13,0)),MATCH(ROW(orderHistory[customer]),ROW(orderHistory[customer])),""),ROWS($A$15:A42)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U37" s="541" t="str">
        <f t="array" ref="U37">IFERROR(IF($D$9="",IF($D$11="",IF($D$13="",IF($D$15="",INDEX(orderHistory[shipping_method],SMALL(MATCH(ROW(orderHistory[customer]),ROW(orderHistory[customer])),ROWS($A$15:A42)+$B$3)),INDEX(orderHistory[shipping_method],SMALL(IF(ISNUMBER(MATCH(YEAR(orderHistory[invoice_date]),$D$15,0)),MATCH(ROW(orderHistory[customer]),ROW(orderHistory[customer])),""),ROWS($A$15:A42)+$B$3))),IF($D$15="",INDEX(orderHistory[shipping_method],SMALL(IF(ISNUMBER(MATCH(orderHistory[order_type],$D$13,0)),MATCH(ROW(orderHistory[customer]),ROW(orderHistory[customer])),""),ROWS($A$15:A42)+$B$3)),INDEX(orderHistory[shipping_method],SMALL(IF(ISNUMBER(MATCH(orderHistory[order_type],$D$13,0)*MATCH(YEAR(orderHistory[invoice_date]),$D$15,0)),MATCH(ROW(orderHistory[customer]),ROW(orderHistory[customer])),""),ROWS($A$15:A42)+$B$3)))),IF($D$13="",IF($D$15="",INDEX(orderHistory[shipping_method],SMALL(IF(ISNUMBER(MATCH(orderHistory[status],$D$11,0)),MATCH(ROW(orderHistory[customer]),ROW(orderHistory[customer])),""),ROWS($A$15:A42)+$B$3)),INDEX(orderHistory[shipping_method],SMALL(IF(ISNUMBER(MATCH(orderHistory[status],$D$11,0)*MATCH(YEAR(orderHistory[invoice_date]),$D$15,0)),MATCH(ROW(orderHistory[customer]),ROW(orderHistory[customer])),""),ROWS($A$15:A42)+$B$3))),IF($D$15="",INDEX(orderHistory[shipping_method],SMALL(IF(ISNUMBER(MATCH(orderHistory[status],$D$11,0)*MATCH(orderHistory[order_type],$D$13,0)),MATCH(ROW(orderHistory[customer]),ROW(orderHistory[customer])),""),ROWS($A$15:A42)+$B$3)),INDEX(orderHistory[shipping_method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shipping_method],SMALL(IF(ISNUMBER(MATCH(orderHistory[customer],$D$9,0)),MATCH(ROW(orderHistory[customer]),ROW(orderHistory[customer])),""),ROWS($A$15:A42)+$B$3)),INDEX(orderHistory[shipping_method],SMALL(IF(ISNUMBER(MATCH(orderHistory[customer],$D$9,0)*MATCH(YEAR(orderHistory[invoice_date]),$D$15,0)),MATCH(ROW(orderHistory[customer]),ROW(orderHistory[customer])),""),ROWS($A$15:A42)+$B$3))),IF($D$15="",INDEX(orderHistory[shipping_method],SMALL(IF(ISNUMBER(MATCH(orderHistory[customer],$D$9,0)*MATCH(orderHistory[order_type],$D$13,0)),MATCH(ROW(orderHistory[customer]),ROW(orderHistory[customer])),""),ROWS($A$15:A42)+$B$3)),INDEX(orderHistory[shipping_method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shipping_method],SMALL(IF(ISNUMBER(MATCH(orderHistory[customer],$D$9,0)*MATCH(orderHistory[status],$D$11,0)),MATCH(ROW(orderHistory[customer]),ROW(orderHistory[customer])),""),ROWS($A$15:A42)+$B$3)),INDEX(orderHistory[shipping_method],SMALL(IF(ISNUMBER(MATCH(orderHistory[customer],$D$9,0)*MATCH(orderHistory[status],$D$11,0)*MATCH(YEAR(orderHistory[shipping_method]),$D$15,0)),MATCH(ROW(orderHistory[customer]),ROW(orderHistory[customer])),""),ROWS($A$15:A42)+$B$3))),IF($D$15="",INDEX(orderHistory[shipping_method],SMALL(IF(ISNUMBER(MATCH(orderHistory[customer],$D$9,0)*MATCH(orderHistory[status],$D$11,0)*MATCH(orderHistory[order_type],$D$13,0)),MATCH(ROW(orderHistory[customer]),ROW(orderHistory[customer])),""),ROWS($A$15:A42)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V37" s="548" t="str">
        <f t="array" ref="V37">IFERROR(IF($D$9="",IF($D$11="",IF($D$13="",IF($D$15="",INDEX(orderHistory[status],SMALL(MATCH(ROW(orderHistory[customer]),ROW(orderHistory[customer])),ROWS($A$15:A42)+$B$3)),INDEX(orderHistory[status],SMALL(IF(ISNUMBER(MATCH(YEAR(orderHistory[invoice_date]),$D$15,0)),MATCH(ROW(orderHistory[customer]),ROW(orderHistory[customer])),""),ROWS($A$15:A42)+$B$3))),IF($D$15="",INDEX(orderHistory[status],SMALL(IF(ISNUMBER(MATCH(orderHistory[order_type],$D$13,0)),MATCH(ROW(orderHistory[customer]),ROW(orderHistory[customer])),""),ROWS($A$15:A42)+$B$3)),INDEX(orderHistory[status],SMALL(IF(ISNUMBER(MATCH(orderHistory[order_type],$D$13,0)*MATCH(YEAR(orderHistory[invoice_date]),$D$15,0)),MATCH(ROW(orderHistory[customer]),ROW(orderHistory[customer])),""),ROWS($A$15:A42)+$B$3)))),IF($D$13="",IF($D$15="",INDEX(orderHistory[status],SMALL(IF(ISNUMBER(MATCH(orderHistory[status],$D$11,0)),MATCH(ROW(orderHistory[customer]),ROW(orderHistory[customer])),""),ROWS($A$15:A42)+$B$3)),INDEX(orderHistory[status],SMALL(IF(ISNUMBER(MATCH(orderHistory[status],$D$11,0)*MATCH(YEAR(orderHistory[invoice_date]),$D$15,0)),MATCH(ROW(orderHistory[customer]),ROW(orderHistory[customer])),""),ROWS($A$15:A42)+$B$3))),IF($D$15="",INDEX(orderHistory[status],SMALL(IF(ISNUMBER(MATCH(orderHistory[status],$D$11,0)*MATCH(orderHistory[order_type],$D$13,0)),MATCH(ROW(orderHistory[customer]),ROW(orderHistory[customer])),""),ROWS($A$15:A42)+$B$3)),INDEX(orderHistory[status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status],SMALL(IF(ISNUMBER(MATCH(orderHistory[customer],$D$9,0)),MATCH(ROW(orderHistory[customer]),ROW(orderHistory[customer])),""),ROWS($A$15:A42)+$B$3)),INDEX(orderHistory[status],SMALL(IF(ISNUMBER(MATCH(orderHistory[customer],$D$9,0)*MATCH(YEAR(orderHistory[invoice_date]),$D$15,0)),MATCH(ROW(orderHistory[customer]),ROW(orderHistory[customer])),""),ROWS($A$15:A42)+$B$3))),IF($D$15="",INDEX(orderHistory[status],SMALL(IF(ISNUMBER(MATCH(orderHistory[customer],$D$9,0)*MATCH(orderHistory[order_type],$D$13,0)),MATCH(ROW(orderHistory[customer]),ROW(orderHistory[customer])),""),ROWS($A$15:A42)+$B$3)),INDEX(orderHistory[status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status],SMALL(IF(ISNUMBER(MATCH(orderHistory[customer],$D$9,0)*MATCH(orderHistory[status],$D$11,0)),MATCH(ROW(orderHistory[customer]),ROW(orderHistory[customer])),""),ROWS($A$15:A42)+$B$3)),INDEX(orderHistory[status],SMALL(IF(ISNUMBER(MATCH(orderHistory[customer],$D$9,0)*MATCH(orderHistory[status],$D$11,0)*MATCH(YEAR(orderHistory[status]),$D$15,0)),MATCH(ROW(orderHistory[customer]),ROW(orderHistory[customer])),""),ROWS($A$15:A42)+$B$3))),IF($D$15="",INDEX(orderHistory[status],SMALL(IF(ISNUMBER(MATCH(orderHistory[customer],$D$9,0)*MATCH(orderHistory[status],$D$11,0)*MATCH(orderHistory[order_type],$D$13,0)),MATCH(ROW(orderHistory[customer]),ROW(orderHistory[customer])),""),ROWS($A$15:A42)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W37" s="107"/>
      <c r="AQ37" s="491"/>
      <c r="AR37" s="505"/>
      <c r="AU37" s="421"/>
      <c r="AW37" s="460"/>
      <c r="BJ37" s="421"/>
      <c r="BK37" s="450"/>
      <c r="BL37" s="451"/>
      <c r="BM37" s="452"/>
      <c r="BN37" s="451"/>
      <c r="BO37" s="452"/>
      <c r="BZ37" s="167"/>
      <c r="CA37" s="154" t="str">
        <f>IF(BZ37="","",INDEX(bhpc_data[description],MATCH(BZ37,bhpc_data[sku],0)))</f>
        <v/>
      </c>
      <c r="CB37" s="166"/>
      <c r="CC37" s="357"/>
      <c r="CD37" s="160"/>
      <c r="CE37" s="360"/>
      <c r="CF37" s="161"/>
      <c r="CG37" s="164" t="str">
        <f>IFERROR(ROUNDUP(CB37/INDEX(bhpc_data[units_per_carton],MATCH(BZ37,bhpc_data[sku],0)),0),"")</f>
        <v/>
      </c>
      <c r="CH37" s="165" t="str">
        <f>IFERROR(ROUNDUP(CD37/INDEX(bhpc_data[units_per_carton],MATCH(BZ37,bhpc_data[sku],0)),0),"")</f>
        <v/>
      </c>
      <c r="CI37" s="165" t="str">
        <f>IFERROR(ROUNDUP(CF37/INDEX(bhpc_data[units_per_carton],MATCH(BZ37,bhpc_data[sku])),0),"")</f>
        <v/>
      </c>
      <c r="CJ37" s="165" t="str">
        <f>IFERROR(((CB37+CD37+CF37)/INDEX(bhpc_data[units_per_carton],MATCH(BZ37,bhpc_data[sku],0)))*INDEX(bhpc_data[net_weight],MATCH(BZ37,bhpc_data[sku],0)),"")</f>
        <v/>
      </c>
      <c r="CK37" s="165" t="str">
        <f>IFERROR(((CB37+CD37+CF37)/INDEX(bhpc_data[units_per_carton],MATCH(BZ37,bhpc_data[sku],0)))*INDEX(bhpc_data[gross_weight],MATCH(BZ37,bhpc_data[sku],0)),"")</f>
        <v/>
      </c>
      <c r="CL37" s="180" t="str">
        <f>IFERROR((CB37+CD37+CF37)/INDEX(bhpc_data[units_per_carton],MATCH(BZ37,bhpc_data[sku],0))*INDEX(bhpc_data[lenght],MATCH(BZ37,bhpc_data[sku],0))*INDEX(bhpc_data[width],MATCH(BZ37,bhpc_data[sku],0))*INDEX(bhpc_data[height],MATCH(BZ37,bhpc_data[sku],0))/1000000000,"")</f>
        <v/>
      </c>
      <c r="CM37" s="189" t="str">
        <f>IFERROR(INDEX(bhpc_data[category],MATCH(BZ37,bhpc_data[sku],0)),"")</f>
        <v/>
      </c>
      <c r="CN37" s="189" t="str">
        <f>IFERROR(INDEX(bhpc_data[size1],MATCH(BZ37,bhpc_data[sku],0)),"")</f>
        <v/>
      </c>
      <c r="CO37" s="388" t="str">
        <f>IFERROR(INDEX(bhpc_data[hs_code],MATCH(BZ37,bhpc_data[sku],0)),"")</f>
        <v/>
      </c>
      <c r="CP37" s="377" t="str">
        <f>IFERROR(INDEX(inventory[ESISTENZA],MATCH(BZ37,inventory[ARTICOLO],0)),"")</f>
        <v/>
      </c>
      <c r="CQ37" s="364" t="str">
        <f>IFERROR(IF(BZ37="","",IF($BX$15="SALE",INDEX(inventory[COSTO UNITARIO],MATCH(BZ37,inventory[ARTICOLO],0)),IF($BX$15="SAMPLING",INDEX(inventory[COSTO UNITARIO],MATCH(BZ37,inventory[ARTICOLO],0)),""))),"")</f>
        <v/>
      </c>
      <c r="CR37" s="365" t="str">
        <f t="shared" si="0"/>
        <v/>
      </c>
      <c r="CS37" s="264" t="str">
        <f t="shared" si="1"/>
        <v/>
      </c>
      <c r="CU37" s="505"/>
      <c r="CX37" s="524"/>
      <c r="CY37" s="524"/>
      <c r="DA37" s="432" t="str">
        <f>IFERROR(VLOOKUP(BZ37,bhpc_data[],22,FALSE),"")</f>
        <v/>
      </c>
      <c r="DH37" s="296"/>
      <c r="EE37" s="202" t="str" cm="1">
        <f t="array" ref="EE37">IFERROR(IF($EC$9="",IF($EC$11="",IF($EC$13="",INDEX(bhpc_data[sku],SMALL(MATCH(ROW(bhpc_data[sku]),ROW(bhpc_data[sku])),ROWS($A$15:A42)+$B$3)),INDEX(bhpc_data[sku],SMALL(IF(ISNUMBER(MATCH(bhpc_data[size1],$EC$13,0)),MATCH(ROW(bhpc_data[sku]),ROW(bhpc_data[sku])),""),ROWS($A$15:A42)+$B$3))),IF($EC$13="",INDEX(bhpc_data[sku],SMALL(IF(ISNUMBER(MATCH(bhpc_data[sex],$EC$11,0)),MATCH(ROW(bhpc_data[sku]),ROW(bhpc_data[sku])),""),ROWS($A$15:A42)+$B$3)),INDEX(bhpc_data[sku],SMALL(IF(ISNUMBER(MATCH(bhpc_data[sex],$EC$11,0)*MATCH(bhpc_data[size1],$EC$13,0)),MATCH(ROW(bhpc_data[sku]),ROW(bhpc_data[sku])),""),ROWS($A$15:A42)+$B$3)))),IF($EC$11="",IF($EC$13="",INDEX(bhpc_data[sku],SMALL(IF(ISNUMBER(MATCH(bhpc_data[category],$EC$9,0)),MATCH(ROW(bhpc_data[sku]),ROW(bhpc_data[sku])),""),ROWS($A$15:A42)+$B$3)),INDEX(bhpc_data[sku],SMALL(IF(ISNUMBER(MATCH(bhpc_data[category],$EC$9,0)*MATCH(bhpc_data[size1],$EC$13,0)),MATCH(ROW(bhpc_data[sku]),ROW(bhpc_data[sku])),""),ROWS($A$15:A42)+$B$3))),IF($EC$13="",INDEX(bhpc_data[sku],SMALL(IF(ISNUMBER(MATCH(bhpc_data[category],$EC$9,0)*MATCH(bhpc_data[sex],$EC$11,0)),MATCH(ROW(bhpc_data[sku]),ROW(bhpc_data[sku])),""),ROWS($A$15:A42)+$B$3)),INDEX(bhpc_data[sku],SMALL(IF(ISNUMBER(MATCH(bhpc_data[category],$EC$9,0)*MATCH(bhpc_data[sex],$EC$11,0)*MATCH(bhpc_data[size1],$EC$13,0)),MATCH(ROW(bhpc_data[sku]),ROW(bhpc_data[sku])),""),ROWS($A$15:A42)+$B$3))))),"")</f>
        <v>GSTM28</v>
      </c>
      <c r="EF37" s="198" t="str" cm="1">
        <f t="array" ref="EF37">IFERROR(IF($EC$9="",IF($EC$11="",IF($EC$13="",INDEX(bhpc_data[description],SMALL(MATCH(ROW(bhpc_data[sku]),ROW(bhpc_data[sku])),ROWS($A$15:A42)+$B$3)),INDEX(bhpc_data[description],SMALL(IF(ISNUMBER(MATCH(bhpc_data[size1],$EC$13,0)),MATCH(ROW(bhpc_data[sku]),ROW(bhpc_data[sku])),""),ROWS($A$15:A42)+$B$3))),IF($EC$13="",INDEX(bhpc_data[description],SMALL(IF(ISNUMBER(MATCH(bhpc_data[sex],$EC$11,0)),MATCH(ROW(bhpc_data[sku]),ROW(bhpc_data[sku])),""),ROWS($A$15:A42)+$B$3)),INDEX(bhpc_data[description],SMALL(IF(ISNUMBER(MATCH(bhpc_data[sex],$EC$11,0)*MATCH(bhpc_data[size1],$EC$13,0)),MATCH(ROW(bhpc_data[sku]),ROW(bhpc_data[sku])),""),ROWS($A$15:A42)+$B$3)))),IF($EC$11="",IF($EC$13="",INDEX(bhpc_data[description],SMALL(IF(ISNUMBER(MATCH(bhpc_data[category],$EC$9,0)),MATCH(ROW(bhpc_data[sku]),ROW(bhpc_data[sku])),""),ROWS($A$15:A42)+$B$3)),INDEX(bhpc_data[description],SMALL(IF(ISNUMBER(MATCH(bhpc_data[category],$EC$9,0)*MATCH(bhpc_data[size1],$EC$13,0)),MATCH(ROW(bhpc_data[sku]),ROW(bhpc_data[sku])),""),ROWS($A$15:A42)+$B$3))),IF($EC$13="",INDEX(bhpc_data[description],SMALL(IF(ISNUMBER(MATCH(bhpc_data[category],$EC$9,0)*MATCH(bhpc_data[sex],$EC$11,0)),MATCH(ROW(bhpc_data[sku]),ROW(bhpc_data[sku])),""),ROWS($A$15:A42)+$B$3)),INDEX(bhpc_data[description],SMALL(IF(ISNUMBER(MATCH(bhpc_data[category],$EC$9,0)*MATCH(bhpc_data[sex],$EC$11,0)*MATCH(bhpc_data[size1],$EC$13,0)),MATCH(ROW(bhpc_data[sku]),ROW(bhpc_data[sku])),""),ROWS($A$15:A42)+$B$3))))),"")</f>
        <v>BHPC TWINPACK SPORTS MEN DEO #2 #8 175ML</v>
      </c>
      <c r="EG37" s="263">
        <f>IFERROR(IF(warehouse[[#This Row],[SKU]]="","",INDEX(inventory[ESISTENZA],MATCH(warehouse[[#This Row],[SKU]],inventory[ARTICOLO],0))),"")</f>
        <v>0</v>
      </c>
      <c r="EH37" s="328"/>
      <c r="EI37" s="328"/>
      <c r="EJ37" s="263"/>
      <c r="EK37" s="329"/>
      <c r="FF37" s="413"/>
      <c r="FG37" s="413"/>
      <c r="FH37" s="413"/>
      <c r="FI37" s="413"/>
      <c r="FJ37" s="413"/>
      <c r="FK37" s="413"/>
      <c r="FL37" s="413"/>
      <c r="FM37" s="413"/>
      <c r="FN37" s="413"/>
      <c r="FO37" s="413"/>
      <c r="FP37" s="413"/>
      <c r="FQ37" s="413"/>
      <c r="FR37" s="413"/>
      <c r="FS37" s="413"/>
      <c r="FT37" s="413"/>
      <c r="FU37" s="413"/>
      <c r="FV37" s="413"/>
      <c r="FW37" s="413"/>
      <c r="FX37" s="413"/>
      <c r="FY37" s="413"/>
      <c r="FZ37" s="413"/>
      <c r="GA37" s="413"/>
      <c r="GB37" s="413"/>
      <c r="GC37" s="413"/>
      <c r="GD37" s="413"/>
      <c r="GE37" s="413"/>
      <c r="GF37" s="413"/>
      <c r="GG37" s="413"/>
      <c r="GH37" s="413"/>
      <c r="GI37" s="413"/>
      <c r="GJ37" s="413"/>
      <c r="GK37" s="413"/>
      <c r="GL37" s="413"/>
      <c r="GM37" s="413"/>
      <c r="GN37" s="413"/>
      <c r="GO37" s="413"/>
      <c r="GP37" s="413"/>
      <c r="GQ37" s="413"/>
      <c r="GR37" s="413"/>
      <c r="GS37" s="413"/>
      <c r="GT37" s="413"/>
      <c r="GU37" s="413"/>
      <c r="GV37" s="413"/>
      <c r="GW37" s="413"/>
      <c r="GX37" s="413"/>
      <c r="GY37" s="413"/>
      <c r="GZ37" s="413"/>
      <c r="HA37" s="413"/>
      <c r="HB37" s="413"/>
      <c r="HC37" s="413"/>
      <c r="HD37" s="413"/>
      <c r="HE37" s="413"/>
      <c r="HF37" s="413"/>
      <c r="HG37" s="413"/>
      <c r="HH37" s="413"/>
      <c r="HI37" s="413"/>
      <c r="HJ37" s="413"/>
      <c r="HK37" s="413"/>
      <c r="HL37" s="413"/>
      <c r="HM37" s="413"/>
      <c r="HN37" s="413"/>
      <c r="HO37" s="413"/>
      <c r="HP37" s="413"/>
      <c r="HQ37" s="413"/>
      <c r="HR37" s="413"/>
      <c r="HS37" s="413"/>
      <c r="HT37" s="413"/>
    </row>
    <row r="38" spans="10:228" ht="15" customHeight="1" x14ac:dyDescent="0.35">
      <c r="L38" s="539" t="str">
        <f t="array" ref="L38">IFERROR(IF($D$9="",IF($D$11="",IF($D$13="",IF($D$15="",INDEX(orderHistory[customer],SMALL(MATCH(ROW(orderHistory[customer]),ROW(orderHistory[customer])),ROWS($A$15:A43)+$B$3)),INDEX(orderHistory[customer],SMALL(IF(ISNUMBER(MATCH(YEAR(orderHistory[invoice_date]),$D$15,0)),MATCH(ROW(orderHistory[customer]),ROW(orderHistory[customer])),""),ROWS($A$15:A43)+$B$3))),IF($D$15="",INDEX(orderHistory[customer],SMALL(IF(ISNUMBER(MATCH(orderHistory[order_type],$D$13,0)),MATCH(ROW(orderHistory[customer]),ROW(orderHistory[customer])),""),ROWS($A$15:A43)+$B$3)),INDEX(orderHistory[customer],SMALL(IF(ISNUMBER(MATCH(orderHistory[order_type],$D$13,0)*MATCH(YEAR(orderHistory[invoice_date]),$D$15,0)),MATCH(ROW(orderHistory[customer]),ROW(orderHistory[customer])),""),ROWS($A$15:A43)+$B$3)))),IF($D$13="",IF($D$15="",INDEX(orderHistory[customer],SMALL(IF(ISNUMBER(MATCH(orderHistory[status],$D$11,0)),MATCH(ROW(orderHistory[customer]),ROW(orderHistory[customer])),""),ROWS($A$15:A43)+$B$3)),INDEX(orderHistory[customer],SMALL(IF(ISNUMBER(MATCH(orderHistory[status],$D$11,0)*MATCH(YEAR(orderHistory[invoice_date]),$D$15,0)),MATCH(ROW(orderHistory[customer]),ROW(orderHistory[customer])),""),ROWS($A$15:A43)+$B$3))),IF($D$15="",INDEX(orderHistory[customer],SMALL(IF(ISNUMBER(MATCH(orderHistory[status],$D$11,0)*MATCH(orderHistory[order_type],$D$13,0)),MATCH(ROW(orderHistory[customer]),ROW(orderHistory[customer])),""),ROWS($A$15:A43)+$B$3)),INDEX(orderHistory[customer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customer],SMALL(IF(ISNUMBER(MATCH(orderHistory[customer],$D$9,0)),MATCH(ROW(orderHistory[customer]),ROW(orderHistory[customer])),""),ROWS($A$15:A43)+$B$3)),INDEX(orderHistory[customer],SMALL(IF(ISNUMBER(MATCH(orderHistory[customer],$D$9,0)*MATCH(YEAR(orderHistory[invoice_date]),$D$15,0)),MATCH(ROW(orderHistory[customer]),ROW(orderHistory[customer])),""),ROWS($A$15:A43)+$B$3))),IF($D$15="",INDEX(orderHistory[customer],SMALL(IF(ISNUMBER(MATCH(orderHistory[customer],$D$9,0)*MATCH(orderHistory[order_type],$D$13,0)),MATCH(ROW(orderHistory[customer]),ROW(orderHistory[customer])),""),ROWS($A$15:A43)+$B$3)),INDEX(orderHistory[customer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customer],SMALL(IF(ISNUMBER(MATCH(orderHistory[customer],$D$9,0)*MATCH(orderHistory[status],$D$11,0)),MATCH(ROW(orderHistory[customer]),ROW(orderHistory[customer])),""),ROWS($A$15:A43)+$B$3)),INDEX(orderHistory[customer],SMALL(IF(ISNUMBER(MATCH(orderHistory[customer],$D$9,0)*MATCH(orderHistory[status],$D$11,0)*MATCH(YEAR(orderHistory[invoice_date]),$D$15,0)),MATCH(ROW(orderHistory[customer]),ROW(orderHistory[customer])),""),ROWS($A$15:A43)+$B$3))),IF($D$15="",INDEX(orderHistory[customer],SMALL(IF(ISNUMBER(MATCH(orderHistory[customer],$D$9,0)*MATCH(orderHistory[status],$D$11,0)*MATCH(orderHistory[order_type],$D$13,0)),MATCH(ROW(orderHistory[customer]),ROW(orderHistory[customer])),""),ROWS($A$15:A43)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M38" s="540" t="str">
        <f t="array" ref="M38">IFERROR(IF($D$9="",IF($D$11="",IF($D$13="",IF($D$15="",INDEX(orderHistory[order_no],SMALL(MATCH(ROW(orderHistory[customer]),ROW(orderHistory[customer])),ROWS($A$15:A43)+$B$3)),INDEX(orderHistory[order_no],SMALL(IF(ISNUMBER(MATCH(YEAR(orderHistory[invoice_date]),$D$15,0)),MATCH(ROW(orderHistory[customer]),ROW(orderHistory[customer])),""),ROWS($A$15:A43)+$B$3))),IF($D$15="",INDEX(orderHistory[order_no],SMALL(IF(ISNUMBER(MATCH(orderHistory[order_type],$D$13,0)),MATCH(ROW(orderHistory[customer]),ROW(orderHistory[customer])),""),ROWS($A$15:A43)+$B$3)),INDEX(orderHistory[order_no],SMALL(IF(ISNUMBER(MATCH(orderHistory[order_type],$D$13,0)*MATCH(YEAR(orderHistory[invoice_date]),$D$15,0)),MATCH(ROW(orderHistory[customer]),ROW(orderHistory[customer])),""),ROWS($A$15:A43)+$B$3)))),IF($D$13="",IF($D$15="",INDEX(orderHistory[order_no],SMALL(IF(ISNUMBER(MATCH(orderHistory[status],$D$11,0)),MATCH(ROW(orderHistory[customer]),ROW(orderHistory[customer])),""),ROWS($A$15:A43)+$B$3)),INDEX(orderHistory[order_no],SMALL(IF(ISNUMBER(MATCH(orderHistory[status],$D$11,0)*MATCH(YEAR(orderHistory[invoice_date]),$D$15,0)),MATCH(ROW(orderHistory[customer]),ROW(orderHistory[customer])),""),ROWS($A$15:A43)+$B$3))),IF($D$15="",INDEX(orderHistory[order_no],SMALL(IF(ISNUMBER(MATCH(orderHistory[status],$D$11,0)*MATCH(orderHistory[order_type],$D$13,0)),MATCH(ROW(orderHistory[customer]),ROW(orderHistory[customer])),""),ROWS($A$15:A43)+$B$3)),INDEX(orderHistory[order_no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no],SMALL(IF(ISNUMBER(MATCH(orderHistory[customer],$D$9,0)),MATCH(ROW(orderHistory[customer]),ROW(orderHistory[customer])),""),ROWS($A$15:A43)+$B$3)),INDEX(orderHistory[order_no],SMALL(IF(ISNUMBER(MATCH(orderHistory[customer],$D$9,0)*MATCH(YEAR(orderHistory[invoice_date]),$D$15,0)),MATCH(ROW(orderHistory[customer]),ROW(orderHistory[customer])),""),ROWS($A$15:A43)+$B$3))),IF($D$15="",INDEX(orderHistory[order_no],SMALL(IF(ISNUMBER(MATCH(orderHistory[customer],$D$9,0)*MATCH(orderHistory[order_type],$D$13,0)),MATCH(ROW(orderHistory[customer]),ROW(orderHistory[customer])),""),ROWS($A$15:A43)+$B$3)),INDEX(orderHistory[order_no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no],SMALL(IF(ISNUMBER(MATCH(orderHistory[customer],$D$9,0)*MATCH(orderHistory[status],$D$11,0)),MATCH(ROW(orderHistory[customer]),ROW(orderHistory[customer])),""),ROWS($A$15:A43)+$B$3)),INDEX(orderHistory[order_no],SMALL(IF(ISNUMBER(MATCH(orderHistory[customer],$D$9,0)*MATCH(orderHistory[status],$D$11,0)*MATCH(YEAR(orderHistory[invoice_date]),$D$15,0)),MATCH(ROW(orderHistory[customer]),ROW(orderHistory[customer])),""),ROWS($A$15:A43)+$B$3))),IF($D$15="",INDEX(orderHistory[order_no],SMALL(IF(ISNUMBER(MATCH(orderHistory[customer],$D$9,0)*MATCH(orderHistory[status],$D$11,0)*MATCH(orderHistory[order_type],$D$13,0)),MATCH(ROW(orderHistory[customer]),ROW(orderHistory[customer])),""),ROWS($A$15:A43)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N38" s="541" t="str">
        <f t="array" ref="N38">IFERROR(IF($D$9="",IF($D$11="",IF($D$13="",IF($D$15="",INDEX(orderHistory[order_type],SMALL(MATCH(ROW(orderHistory[customer]),ROW(orderHistory[customer])),ROWS($A$15:A43)+$B$3)),INDEX(orderHistory[order_type],SMALL(IF(ISNUMBER(MATCH(YEAR(orderHistory[invoice_date]),$D$15,0)),MATCH(ROW(orderHistory[customer]),ROW(orderHistory[customer])),""),ROWS($A$15:A43)+$B$3))),IF($D$15="",INDEX(orderHistory[order_type],SMALL(IF(ISNUMBER(MATCH(orderHistory[order_type],$D$13,0)),MATCH(ROW(orderHistory[customer]),ROW(orderHistory[customer])),""),ROWS($A$15:A43)+$B$3)),INDEX(orderHistory[order_type],SMALL(IF(ISNUMBER(MATCH(orderHistory[order_type],$D$13,0)*MATCH(YEAR(orderHistory[invoice_date]),$D$15,0)),MATCH(ROW(orderHistory[customer]),ROW(orderHistory[customer])),""),ROWS($A$15:A43)+$B$3)))),IF($D$13="",IF($D$15="",INDEX(orderHistory[order_type],SMALL(IF(ISNUMBER(MATCH(orderHistory[status],$D$11,0)),MATCH(ROW(orderHistory[customer]),ROW(orderHistory[customer])),""),ROWS($A$15:A43)+$B$3)),INDEX(orderHistory[order_type],SMALL(IF(ISNUMBER(MATCH(orderHistory[status],$D$11,0)*MATCH(YEAR(orderHistory[invoice_date]),$D$15,0)),MATCH(ROW(orderHistory[customer]),ROW(orderHistory[customer])),""),ROWS($A$15:A43)+$B$3))),IF($D$15="",INDEX(orderHistory[order_type],SMALL(IF(ISNUMBER(MATCH(orderHistory[status],$D$11,0)*MATCH(orderHistory[order_type],$D$13,0)),MATCH(ROW(orderHistory[customer]),ROW(orderHistory[customer])),""),ROWS($A$15:A43)+$B$3)),INDEX(orderHistory[order_typ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type],SMALL(IF(ISNUMBER(MATCH(orderHistory[customer],$D$9,0)),MATCH(ROW(orderHistory[customer]),ROW(orderHistory[customer])),""),ROWS($A$15:A43)+$B$3)),INDEX(orderHistory[order_type],SMALL(IF(ISNUMBER(MATCH(orderHistory[customer],$D$9,0)*MATCH(YEAR(orderHistory[invoice_date]),$D$15,0)),MATCH(ROW(orderHistory[customer]),ROW(orderHistory[customer])),""),ROWS($A$15:A43)+$B$3))),IF($D$15="",INDEX(orderHistory[order_type],SMALL(IF(ISNUMBER(MATCH(orderHistory[customer],$D$9,0)*MATCH(orderHistory[order_type],$D$13,0)),MATCH(ROW(orderHistory[customer]),ROW(orderHistory[customer])),""),ROWS($A$15:A43)+$B$3)),INDEX(orderHistory[order_typ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type],SMALL(IF(ISNUMBER(MATCH(orderHistory[customer],$D$9,0)*MATCH(orderHistory[status],$D$11,0)),MATCH(ROW(orderHistory[customer]),ROW(orderHistory[customer])),""),ROWS($A$15:A43)+$B$3)),INDEX(orderHistory[order_type],SMALL(IF(ISNUMBER(MATCH(orderHistory[customer],$D$9,0)*MATCH(orderHistory[status],$D$11,0)*MATCH(YEAR(orderHistory[invoice_date]),$D$15,0)),MATCH(ROW(orderHistory[customer]),ROW(orderHistory[customer])),""),ROWS($A$15:A43)+$B$3))),IF($D$15="",INDEX(orderHistory[order_type],SMALL(IF(ISNUMBER(MATCH(orderHistory[customer],$D$9,0)*MATCH(orderHistory[status],$D$11,0)*MATCH(orderHistory[order_type],$D$13,0)),MATCH(ROW(orderHistory[customer]),ROW(orderHistory[customer])),""),ROWS($A$15:A43)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O38" s="542" t="str">
        <f t="array" ref="O38">IFERROR(IF($D$9="",IF($D$11="",IF($D$13="",IF($D$15="",INDEX(orderHistory[order_date],SMALL(MATCH(ROW(orderHistory[customer]),ROW(orderHistory[customer])),ROWS($A$15:A43)+$B$3)),INDEX(orderHistory[order_date],SMALL(IF(ISNUMBER(MATCH(YEAR(orderHistory[invoice_date]),$D$15,0)),MATCH(ROW(orderHistory[customer]),ROW(orderHistory[customer])),""),ROWS($A$15:A43)+$B$3))),IF($D$15="",INDEX(orderHistory[order_date],SMALL(IF(ISNUMBER(MATCH(orderHistory[order_type],$D$13,0)),MATCH(ROW(orderHistory[customer]),ROW(orderHistory[customer])),""),ROWS($A$15:A43)+$B$3)),INDEX(orderHistory[order_date],SMALL(IF(ISNUMBER(MATCH(orderHistory[order_type],$D$13,0)*MATCH(YEAR(orderHistory[invoice_date]),$D$15,0)),MATCH(ROW(orderHistory[customer]),ROW(orderHistory[customer])),""),ROWS($A$15:A43)+$B$3)))),IF($D$13="",IF($D$15="",INDEX(orderHistory[order_date],SMALL(IF(ISNUMBER(MATCH(orderHistory[status],$D$11,0)),MATCH(ROW(orderHistory[customer]),ROW(orderHistory[customer])),""),ROWS($A$15:A43)+$B$3)),INDEX(orderHistory[order_date],SMALL(IF(ISNUMBER(MATCH(orderHistory[status],$D$11,0)*MATCH(YEAR(orderHistory[invoice_date]),$D$15,0)),MATCH(ROW(orderHistory[customer]),ROW(orderHistory[customer])),""),ROWS($A$15:A43)+$B$3))),IF($D$15="",INDEX(orderHistory[order_date],SMALL(IF(ISNUMBER(MATCH(orderHistory[status],$D$11,0)*MATCH(orderHistory[order_type],$D$13,0)),MATCH(ROW(orderHistory[customer]),ROW(orderHistory[customer])),""),ROWS($A$15:A43)+$B$3)),INDEX(orderHistory[order_dat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date],SMALL(IF(ISNUMBER(MATCH(orderHistory[customer],$D$9,0)),MATCH(ROW(orderHistory[customer]),ROW(orderHistory[customer])),""),ROWS($A$15:A43)+$B$3)),INDEX(orderHistory[order_date],SMALL(IF(ISNUMBER(MATCH(orderHistory[customer],$D$9,0)*MATCH(YEAR(orderHistory[invoice_date]),$D$15,0)),MATCH(ROW(orderHistory[customer]),ROW(orderHistory[customer])),""),ROWS($A$15:A43)+$B$3))),IF($D$15="",INDEX(orderHistory[order_date],SMALL(IF(ISNUMBER(MATCH(orderHistory[customer],$D$9,0)*MATCH(orderHistory[order_type],$D$13,0)),MATCH(ROW(orderHistory[customer]),ROW(orderHistory[customer])),""),ROWS($A$15:A43)+$B$3)),INDEX(orderHistory[order_dat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date],SMALL(IF(ISNUMBER(MATCH(orderHistory[customer],$D$9,0)*MATCH(orderHistory[status],$D$11,0)),MATCH(ROW(orderHistory[customer]),ROW(orderHistory[customer])),""),ROWS($A$15:A43)+$B$3)),INDEX(orderHistory[order_date],SMALL(IF(ISNUMBER(MATCH(orderHistory[customer],$D$9,0)*MATCH(orderHistory[status],$D$11,0)*MATCH(YEAR(orderHistory[invoice_date]),$D$15,0)),MATCH(ROW(orderHistory[customer]),ROW(orderHistory[customer])),""),ROWS($A$15:A43)+$B$3))),IF($D$15="",INDEX(orderHistory[order_date],SMALL(IF(ISNUMBER(MATCH(orderHistory[customer],$D$9,0)*MATCH(orderHistory[status],$D$11,0)*MATCH(orderHistory[order_type],$D$13,0)),MATCH(ROW(orderHistory[customer]),ROW(orderHistory[customer])),""),ROWS($A$15:A43)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P38" s="543" t="str">
        <f t="array" ref="P38">IFERROR(IF($D$9="",IF($D$11="",IF($D$13="",IF($D$15="",INDEX(orderHistory[invoice_no],SMALL(MATCH(ROW(orderHistory[customer]),ROW(orderHistory[customer])),ROWS($A$15:A43)+$B$3)),INDEX(orderHistory[invoice_no],SMALL(IF(ISNUMBER(MATCH(YEAR(orderHistory[invoice_date]),$D$15,0)),MATCH(ROW(orderHistory[customer]),ROW(orderHistory[customer])),""),ROWS($A$15:A43)+$B$3))),IF($D$15="",INDEX(orderHistory[invoice_no],SMALL(IF(ISNUMBER(MATCH(orderHistory[order_type],$D$13,0)),MATCH(ROW(orderHistory[customer]),ROW(orderHistory[customer])),""),ROWS($A$15:A43)+$B$3)),INDEX(orderHistory[invoice_no],SMALL(IF(ISNUMBER(MATCH(orderHistory[order_type],$D$13,0)*MATCH(YEAR(orderHistory[invoice_date]),$D$15,0)),MATCH(ROW(orderHistory[customer]),ROW(orderHistory[customer])),""),ROWS($A$15:A43)+$B$3)))),IF($D$13="",IF($D$15="",INDEX(orderHistory[invoice_no],SMALL(IF(ISNUMBER(MATCH(orderHistory[status],$D$11,0)),MATCH(ROW(orderHistory[customer]),ROW(orderHistory[customer])),""),ROWS($A$15:A43)+$B$3)),INDEX(orderHistory[invoice_no],SMALL(IF(ISNUMBER(MATCH(orderHistory[status],$D$11,0)*MATCH(YEAR(orderHistory[invoice_date]),$D$15,0)),MATCH(ROW(orderHistory[customer]),ROW(orderHistory[customer])),""),ROWS($A$15:A43)+$B$3))),IF($D$15="",INDEX(orderHistory[invoice_no],SMALL(IF(ISNUMBER(MATCH(orderHistory[status],$D$11,0)*MATCH(orderHistory[order_type],$D$13,0)),MATCH(ROW(orderHistory[customer]),ROW(orderHistory[customer])),""),ROWS($A$15:A43)+$B$3)),INDEX(orderHistory[invoice_no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oice_no],SMALL(IF(ISNUMBER(MATCH(orderHistory[customer],$D$9,0)),MATCH(ROW(orderHistory[customer]),ROW(orderHistory[customer])),""),ROWS($A$15:A43)+$B$3)),INDEX(orderHistory[invoice_no],SMALL(IF(ISNUMBER(MATCH(orderHistory[customer],$D$9,0)*MATCH(YEAR(orderHistory[invoice_date]),$D$15,0)),MATCH(ROW(orderHistory[customer]),ROW(orderHistory[customer])),""),ROWS($A$15:A43)+$B$3))),IF($D$15="",INDEX(orderHistory[invoice_no],SMALL(IF(ISNUMBER(MATCH(orderHistory[customer],$D$9,0)*MATCH(orderHistory[order_type],$D$13,0)),MATCH(ROW(orderHistory[customer]),ROW(orderHistory[customer])),""),ROWS($A$15:A43)+$B$3)),INDEX(orderHistory[invoice_no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YEAR(orderHistory[invoice_date]),$D$15,0)),MATCH(ROW(orderHistory[customer]),ROW(orderHistory[customer])),""),ROWS($A$15:A43)+$B$3))),IF($D$15="",INDEX(orderHistory[invoice_no],SMALL(IF(ISNUMBER(MATCH(orderHistory[customer],$D$9,0)*MATCH(orderHistory[status],$D$11,0)*MATCH(orderHistory[order_type],$D$13,0)),MATCH(ROW(orderHistory[customer]),ROW(orderHistory[customer])),""),ROWS($A$15:A43)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Q38" s="544" t="str">
        <f t="array" ref="Q38">IFERROR(IF($D$9="",IF($D$11="",IF($D$13="",IF($D$15="",INDEX(orderHistory[invoice_date],SMALL(MATCH(ROW(orderHistory[customer]),ROW(orderHistory[customer])),ROWS($A$15:A43)+$B$3)),INDEX(orderHistory[invoice_date],SMALL(IF(ISNUMBER(MATCH(YEAR(orderHistory[invoice_date]),$D$15,0)),MATCH(ROW(orderHistory[customer]),ROW(orderHistory[customer])),""),ROWS($A$15:A43)+$B$3))),IF($D$15="",INDEX(orderHistory[invoice_date],SMALL(IF(ISNUMBER(MATCH(orderHistory[order_type],$D$13,0)),MATCH(ROW(orderHistory[customer]),ROW(orderHistory[customer])),""),ROWS($A$15:A43)+$B$3)),INDEX(orderHistory[invoice_date],SMALL(IF(ISNUMBER(MATCH(orderHistory[order_type],$D$13,0)*MATCH(YEAR(orderHistory[invoice_date]),$D$15,0)),MATCH(ROW(orderHistory[customer]),ROW(orderHistory[customer])),""),ROWS($A$15:A43)+$B$3)))),IF($D$13="",IF($D$15="",INDEX(orderHistory[invoice_date],SMALL(IF(ISNUMBER(MATCH(orderHistory[status],$D$11,0)),MATCH(ROW(orderHistory[customer]),ROW(orderHistory[customer])),""),ROWS($A$15:A43)+$B$3)),INDEX(orderHistory[invoice_date],SMALL(IF(ISNUMBER(MATCH(orderHistory[status],$D$11,0)*MATCH(YEAR(orderHistory[invoice_date]),$D$15,0)),MATCH(ROW(orderHistory[customer]),ROW(orderHistory[customer])),""),ROWS($A$15:A43)+$B$3))),IF($D$15="",INDEX(orderHistory[invoice_date],SMALL(IF(ISNUMBER(MATCH(orderHistory[status],$D$11,0)*MATCH(orderHistory[order_type],$D$13,0)),MATCH(ROW(orderHistory[customer]),ROW(orderHistory[customer])),""),ROWS($A$15:A43)+$B$3)),INDEX(orderHistory[invoice_dat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oice_date],SMALL(IF(ISNUMBER(MATCH(orderHistory[customer],$D$9,0)),MATCH(ROW(orderHistory[customer]),ROW(orderHistory[customer])),""),ROWS($A$15:A43)+$B$3)),INDEX(orderHistory[invoice_date],SMALL(IF(ISNUMBER(MATCH(orderHistory[customer],$D$9,0)*MATCH(YEAR(orderHistory[invoice_date]),$D$15,0)),MATCH(ROW(orderHistory[customer]),ROW(orderHistory[customer])),""),ROWS($A$15:A43)+$B$3))),IF($D$15="",INDEX(orderHistory[invoice_date],SMALL(IF(ISNUMBER(MATCH(orderHistory[customer],$D$9,0)*MATCH(orderHistory[order_type],$D$13,0)),MATCH(ROW(orderHistory[customer]),ROW(orderHistory[customer])),""),ROWS($A$15:A43)+$B$3)),INDEX(orderHistory[invoice_dat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YEAR(orderHistory[invoice_date]),$D$15,0)),MATCH(ROW(orderHistory[customer]),ROW(orderHistory[customer])),""),ROWS($A$15:A43)+$B$3))),IF($D$15="",INDEX(orderHistory[invoice_date],SMALL(IF(ISNUMBER(MATCH(orderHistory[customer],$D$9,0)*MATCH(orderHistory[status],$D$11,0)*MATCH(orderHistory[order_type],$D$13,0)),MATCH(ROW(orderHistory[customer]),ROW(orderHistory[customer])),""),ROWS($A$15:A43)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R38" s="545" t="str">
        <f t="array" ref="R38">IFERROR(IF($D$9="",IF($D$11="",IF($D$13="",IF($D$15="",INDEX(orderHistory[inv_amount],SMALL(MATCH(ROW(orderHistory[customer]),ROW(orderHistory[customer])),ROWS($A$15:A43)+$B$3)),INDEX(orderHistory[inv_amount],SMALL(IF(ISNUMBER(MATCH(YEAR(orderHistory[invoice_date]),$D$15,0)),MATCH(ROW(orderHistory[customer]),ROW(orderHistory[customer])),""),ROWS($A$15:A43)+$B$3))),IF($D$15="",INDEX(orderHistory[inv_amount],SMALL(IF(ISNUMBER(MATCH(orderHistory[order_type],$D$13,0)),MATCH(ROW(orderHistory[customer]),ROW(orderHistory[customer])),""),ROWS($A$15:A43)+$B$3)),INDEX(orderHistory[inv_amount],SMALL(IF(ISNUMBER(MATCH(orderHistory[order_type],$D$13,0)*MATCH(YEAR(orderHistory[invoice_date]),$D$15,0)),MATCH(ROW(orderHistory[customer]),ROW(orderHistory[customer])),""),ROWS($A$15:A43)+$B$3)))),IF($D$13="",IF($D$15="",INDEX(orderHistory[inv_amount],SMALL(IF(ISNUMBER(MATCH(orderHistory[status],$D$11,0)),MATCH(ROW(orderHistory[customer]),ROW(orderHistory[customer])),""),ROWS($A$15:A43)+$B$3)),INDEX(orderHistory[inv_amount],SMALL(IF(ISNUMBER(MATCH(orderHistory[status],$D$11,0)*MATCH(YEAR(orderHistory[invoice_date]),$D$15,0)),MATCH(ROW(orderHistory[customer]),ROW(orderHistory[customer])),""),ROWS($A$15:A43)+$B$3))),IF($D$15="",INDEX(orderHistory[inv_amount],SMALL(IF(ISNUMBER(MATCH(orderHistory[status],$D$11,0)*MATCH(orderHistory[order_type],$D$13,0)),MATCH(ROW(orderHistory[customer]),ROW(orderHistory[customer])),""),ROWS($A$15:A43)+$B$3)),INDEX(orderHistory[inv_amount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_amount],SMALL(IF(ISNUMBER(MATCH(orderHistory[customer],$D$9,0)),MATCH(ROW(orderHistory[customer]),ROW(orderHistory[customer])),""),ROWS($A$15:A43)+$B$3)),INDEX(orderHistory[inv_amount],SMALL(IF(ISNUMBER(MATCH(orderHistory[customer],$D$9,0)*MATCH(YEAR(orderHistory[invoice_date]),$D$15,0)),MATCH(ROW(orderHistory[customer]),ROW(orderHistory[customer])),""),ROWS($A$15:A43)+$B$3))),IF($D$15="",INDEX(orderHistory[inv_amount],SMALL(IF(ISNUMBER(MATCH(orderHistory[customer],$D$9,0)*MATCH(orderHistory[order_type],$D$13,0)),MATCH(ROW(orderHistory[customer]),ROW(orderHistory[customer])),""),ROWS($A$15:A43)+$B$3)),INDEX(orderHistory[inv_amount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_amount],SMALL(IF(ISNUMBER(MATCH(orderHistory[customer],$D$9,0)*MATCH(orderHistory[status],$D$11,0)),MATCH(ROW(orderHistory[customer]),ROW(orderHistory[customer])),""),ROWS($A$15:A43)+$B$3)),INDEX(orderHistory[inv_amount],SMALL(IF(ISNUMBER(MATCH(orderHistory[customer],$D$9,0)*MATCH(orderHistory[status],$D$11,0)*MATCH(YEAR(orderHistory[inv_amount]),$D$15,0)),MATCH(ROW(orderHistory[customer]),ROW(orderHistory[customer])),""),ROWS($A$15:A43)+$B$3))),IF($D$15="",INDEX(orderHistory[inv_amount],SMALL(IF(ISNUMBER(MATCH(orderHistory[customer],$D$9,0)*MATCH(orderHistory[status],$D$11,0)*MATCH(orderHistory[order_type],$D$13,0)),MATCH(ROW(orderHistory[customer]),ROW(orderHistory[customer])),""),ROWS($A$15:A43)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S38" s="546" t="str">
        <f t="shared" si="2"/>
        <v/>
      </c>
      <c r="T38" s="547" t="str">
        <f t="array" ref="T38">IFERROR(IF($D$9="",IF($D$11="",IF($D$13="",IF($D$15="",INDEX(orderHistory[payed],SMALL(MATCH(ROW(orderHistory[customer]),ROW(orderHistory[customer])),ROWS($A$15:A43)+$B$3)),INDEX(orderHistory[payed],SMALL(IF(ISNUMBER(MATCH(YEAR(orderHistory[invoice_date]),$D$15,0)),MATCH(ROW(orderHistory[customer]),ROW(orderHistory[customer])),""),ROWS($A$15:A43)+$B$3))),IF($D$15="",INDEX(orderHistory[payed],SMALL(IF(ISNUMBER(MATCH(orderHistory[order_type],$D$13,0)),MATCH(ROW(orderHistory[customer]),ROW(orderHistory[customer])),""),ROWS($A$15:A43)+$B$3)),INDEX(orderHistory[payed],SMALL(IF(ISNUMBER(MATCH(orderHistory[order_type],$D$13,0)*MATCH(YEAR(orderHistory[invoice_date]),$D$15,0)),MATCH(ROW(orderHistory[customer]),ROW(orderHistory[customer])),""),ROWS($A$15:A43)+$B$3)))),IF($D$13="",IF($D$15="",INDEX(orderHistory[payed],SMALL(IF(ISNUMBER(MATCH(orderHistory[status],$D$11,0)),MATCH(ROW(orderHistory[customer]),ROW(orderHistory[customer])),""),ROWS($A$15:A43)+$B$3)),INDEX(orderHistory[payed],SMALL(IF(ISNUMBER(MATCH(orderHistory[status],$D$11,0)*MATCH(YEAR(orderHistory[invoice_date]),$D$15,0)),MATCH(ROW(orderHistory[customer]),ROW(orderHistory[customer])),""),ROWS($A$15:A43)+$B$3))),IF($D$15="",INDEX(orderHistory[payed],SMALL(IF(ISNUMBER(MATCH(orderHistory[status],$D$11,0)*MATCH(orderHistory[order_type],$D$13,0)),MATCH(ROW(orderHistory[customer]),ROW(orderHistory[customer])),""),ROWS($A$15:A43)+$B$3)),INDEX(orderHistory[payed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payed],SMALL(IF(ISNUMBER(MATCH(orderHistory[customer],$D$9,0)),MATCH(ROW(orderHistory[customer]),ROW(orderHistory[customer])),""),ROWS($A$15:A43)+$B$3)),INDEX(orderHistory[payed],SMALL(IF(ISNUMBER(MATCH(orderHistory[customer],$D$9,0)*MATCH(YEAR(orderHistory[invoice_date]),$D$15,0)),MATCH(ROW(orderHistory[customer]),ROW(orderHistory[customer])),""),ROWS($A$15:A43)+$B$3))),IF($D$15="",INDEX(orderHistory[payed],SMALL(IF(ISNUMBER(MATCH(orderHistory[customer],$D$9,0)*MATCH(orderHistory[order_type],$D$13,0)),MATCH(ROW(orderHistory[customer]),ROW(orderHistory[customer])),""),ROWS($A$15:A43)+$B$3)),INDEX(orderHistory[payed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payed],SMALL(IF(ISNUMBER(MATCH(orderHistory[customer],$D$9,0)*MATCH(orderHistory[status],$D$11,0)),MATCH(ROW(orderHistory[customer]),ROW(orderHistory[customer])),""),ROWS($A$15:A43)+$B$3)),INDEX(orderHistory[payed],SMALL(IF(ISNUMBER(MATCH(orderHistory[customer],$D$9,0)*MATCH(orderHistory[status],$D$11,0)*MATCH(YEAR(orderHistory[payed]),$D$15,0)),MATCH(ROW(orderHistory[customer]),ROW(orderHistory[customer])),""),ROWS($A$15:A43)+$B$3))),IF($D$15="",INDEX(orderHistory[payed],SMALL(IF(ISNUMBER(MATCH(orderHistory[customer],$D$9,0)*MATCH(orderHistory[status],$D$11,0)*MATCH(orderHistory[order_type],$D$13,0)),MATCH(ROW(orderHistory[customer]),ROW(orderHistory[customer])),""),ROWS($A$15:A43)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U38" s="541" t="str">
        <f t="array" ref="U38">IFERROR(IF($D$9="",IF($D$11="",IF($D$13="",IF($D$15="",INDEX(orderHistory[shipping_method],SMALL(MATCH(ROW(orderHistory[customer]),ROW(orderHistory[customer])),ROWS($A$15:A43)+$B$3)),INDEX(orderHistory[shipping_method],SMALL(IF(ISNUMBER(MATCH(YEAR(orderHistory[invoice_date]),$D$15,0)),MATCH(ROW(orderHistory[customer]),ROW(orderHistory[customer])),""),ROWS($A$15:A43)+$B$3))),IF($D$15="",INDEX(orderHistory[shipping_method],SMALL(IF(ISNUMBER(MATCH(orderHistory[order_type],$D$13,0)),MATCH(ROW(orderHistory[customer]),ROW(orderHistory[customer])),""),ROWS($A$15:A43)+$B$3)),INDEX(orderHistory[shipping_method],SMALL(IF(ISNUMBER(MATCH(orderHistory[order_type],$D$13,0)*MATCH(YEAR(orderHistory[invoice_date]),$D$15,0)),MATCH(ROW(orderHistory[customer]),ROW(orderHistory[customer])),""),ROWS($A$15:A43)+$B$3)))),IF($D$13="",IF($D$15="",INDEX(orderHistory[shipping_method],SMALL(IF(ISNUMBER(MATCH(orderHistory[status],$D$11,0)),MATCH(ROW(orderHistory[customer]),ROW(orderHistory[customer])),""),ROWS($A$15:A43)+$B$3)),INDEX(orderHistory[shipping_method],SMALL(IF(ISNUMBER(MATCH(orderHistory[status],$D$11,0)*MATCH(YEAR(orderHistory[invoice_date]),$D$15,0)),MATCH(ROW(orderHistory[customer]),ROW(orderHistory[customer])),""),ROWS($A$15:A43)+$B$3))),IF($D$15="",INDEX(orderHistory[shipping_method],SMALL(IF(ISNUMBER(MATCH(orderHistory[status],$D$11,0)*MATCH(orderHistory[order_type],$D$13,0)),MATCH(ROW(orderHistory[customer]),ROW(orderHistory[customer])),""),ROWS($A$15:A43)+$B$3)),INDEX(orderHistory[shipping_method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shipping_method],SMALL(IF(ISNUMBER(MATCH(orderHistory[customer],$D$9,0)),MATCH(ROW(orderHistory[customer]),ROW(orderHistory[customer])),""),ROWS($A$15:A43)+$B$3)),INDEX(orderHistory[shipping_method],SMALL(IF(ISNUMBER(MATCH(orderHistory[customer],$D$9,0)*MATCH(YEAR(orderHistory[invoice_date]),$D$15,0)),MATCH(ROW(orderHistory[customer]),ROW(orderHistory[customer])),""),ROWS($A$15:A43)+$B$3))),IF($D$15="",INDEX(orderHistory[shipping_method],SMALL(IF(ISNUMBER(MATCH(orderHistory[customer],$D$9,0)*MATCH(orderHistory[order_type],$D$13,0)),MATCH(ROW(orderHistory[customer]),ROW(orderHistory[customer])),""),ROWS($A$15:A43)+$B$3)),INDEX(orderHistory[shipping_method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shipping_method],SMALL(IF(ISNUMBER(MATCH(orderHistory[customer],$D$9,0)*MATCH(orderHistory[status],$D$11,0)),MATCH(ROW(orderHistory[customer]),ROW(orderHistory[customer])),""),ROWS($A$15:A43)+$B$3)),INDEX(orderHistory[shipping_method],SMALL(IF(ISNUMBER(MATCH(orderHistory[customer],$D$9,0)*MATCH(orderHistory[status],$D$11,0)*MATCH(YEAR(orderHistory[shipping_method]),$D$15,0)),MATCH(ROW(orderHistory[customer]),ROW(orderHistory[customer])),""),ROWS($A$15:A43)+$B$3))),IF($D$15="",INDEX(orderHistory[shipping_method],SMALL(IF(ISNUMBER(MATCH(orderHistory[customer],$D$9,0)*MATCH(orderHistory[status],$D$11,0)*MATCH(orderHistory[order_type],$D$13,0)),MATCH(ROW(orderHistory[customer]),ROW(orderHistory[customer])),""),ROWS($A$15:A43)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V38" s="548" t="str">
        <f t="array" ref="V38">IFERROR(IF($D$9="",IF($D$11="",IF($D$13="",IF($D$15="",INDEX(orderHistory[status],SMALL(MATCH(ROW(orderHistory[customer]),ROW(orderHistory[customer])),ROWS($A$15:A43)+$B$3)),INDEX(orderHistory[status],SMALL(IF(ISNUMBER(MATCH(YEAR(orderHistory[invoice_date]),$D$15,0)),MATCH(ROW(orderHistory[customer]),ROW(orderHistory[customer])),""),ROWS($A$15:A43)+$B$3))),IF($D$15="",INDEX(orderHistory[status],SMALL(IF(ISNUMBER(MATCH(orderHistory[order_type],$D$13,0)),MATCH(ROW(orderHistory[customer]),ROW(orderHistory[customer])),""),ROWS($A$15:A43)+$B$3)),INDEX(orderHistory[status],SMALL(IF(ISNUMBER(MATCH(orderHistory[order_type],$D$13,0)*MATCH(YEAR(orderHistory[invoice_date]),$D$15,0)),MATCH(ROW(orderHistory[customer]),ROW(orderHistory[customer])),""),ROWS($A$15:A43)+$B$3)))),IF($D$13="",IF($D$15="",INDEX(orderHistory[status],SMALL(IF(ISNUMBER(MATCH(orderHistory[status],$D$11,0)),MATCH(ROW(orderHistory[customer]),ROW(orderHistory[customer])),""),ROWS($A$15:A43)+$B$3)),INDEX(orderHistory[status],SMALL(IF(ISNUMBER(MATCH(orderHistory[status],$D$11,0)*MATCH(YEAR(orderHistory[invoice_date]),$D$15,0)),MATCH(ROW(orderHistory[customer]),ROW(orderHistory[customer])),""),ROWS($A$15:A43)+$B$3))),IF($D$15="",INDEX(orderHistory[status],SMALL(IF(ISNUMBER(MATCH(orderHistory[status],$D$11,0)*MATCH(orderHistory[order_type],$D$13,0)),MATCH(ROW(orderHistory[customer]),ROW(orderHistory[customer])),""),ROWS($A$15:A43)+$B$3)),INDEX(orderHistory[status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status],SMALL(IF(ISNUMBER(MATCH(orderHistory[customer],$D$9,0)),MATCH(ROW(orderHistory[customer]),ROW(orderHistory[customer])),""),ROWS($A$15:A43)+$B$3)),INDEX(orderHistory[status],SMALL(IF(ISNUMBER(MATCH(orderHistory[customer],$D$9,0)*MATCH(YEAR(orderHistory[invoice_date]),$D$15,0)),MATCH(ROW(orderHistory[customer]),ROW(orderHistory[customer])),""),ROWS($A$15:A43)+$B$3))),IF($D$15="",INDEX(orderHistory[status],SMALL(IF(ISNUMBER(MATCH(orderHistory[customer],$D$9,0)*MATCH(orderHistory[order_type],$D$13,0)),MATCH(ROW(orderHistory[customer]),ROW(orderHistory[customer])),""),ROWS($A$15:A43)+$B$3)),INDEX(orderHistory[status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status],SMALL(IF(ISNUMBER(MATCH(orderHistory[customer],$D$9,0)*MATCH(orderHistory[status],$D$11,0)),MATCH(ROW(orderHistory[customer]),ROW(orderHistory[customer])),""),ROWS($A$15:A43)+$B$3)),INDEX(orderHistory[status],SMALL(IF(ISNUMBER(MATCH(orderHistory[customer],$D$9,0)*MATCH(orderHistory[status],$D$11,0)*MATCH(YEAR(orderHistory[status]),$D$15,0)),MATCH(ROW(orderHistory[customer]),ROW(orderHistory[customer])),""),ROWS($A$15:A43)+$B$3))),IF($D$15="",INDEX(orderHistory[status],SMALL(IF(ISNUMBER(MATCH(orderHistory[customer],$D$9,0)*MATCH(orderHistory[status],$D$11,0)*MATCH(orderHistory[order_type],$D$13,0)),MATCH(ROW(orderHistory[customer]),ROW(orderHistory[customer])),""),ROWS($A$15:A43)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W38" s="107"/>
      <c r="AQ38" s="462"/>
      <c r="AR38" s="777"/>
      <c r="AS38" s="778"/>
      <c r="AT38" s="779"/>
      <c r="AU38" s="421"/>
      <c r="AW38" s="460"/>
      <c r="BJ38" s="421"/>
      <c r="BK38" s="450"/>
      <c r="BL38" s="451"/>
      <c r="BM38" s="452"/>
      <c r="BN38" s="451"/>
      <c r="BO38" s="452"/>
      <c r="BZ38" s="158"/>
      <c r="CA38" s="154" t="str">
        <f>IF(BZ38="","",INDEX(bhpc_data[description],MATCH(BZ38,bhpc_data[sku],0)))</f>
        <v/>
      </c>
      <c r="CB38" s="159"/>
      <c r="CC38" s="357"/>
      <c r="CD38" s="259"/>
      <c r="CE38" s="360"/>
      <c r="CF38" s="161"/>
      <c r="CG38" s="164" t="str">
        <f>IFERROR(ROUNDUP(CB38/INDEX(bhpc_data[units_per_carton],MATCH(BZ38,bhpc_data[sku],0)),0),"")</f>
        <v/>
      </c>
      <c r="CH38" s="165" t="str">
        <f>IFERROR(ROUNDUP(CD38/INDEX(bhpc_data[units_per_carton],MATCH(BZ38,bhpc_data[sku],0)),0),"")</f>
        <v/>
      </c>
      <c r="CI38" s="165" t="str">
        <f>IFERROR(ROUNDUP(CF38/INDEX(bhpc_data[units_per_carton],MATCH(BZ38,bhpc_data[sku])),0),"")</f>
        <v/>
      </c>
      <c r="CJ38" s="165" t="str">
        <f>IFERROR(((CB38+CD38+CF38)/INDEX(bhpc_data[units_per_carton],MATCH(BZ38,bhpc_data[sku],0)))*INDEX(bhpc_data[net_weight],MATCH(BZ38,bhpc_data[sku],0)),"")</f>
        <v/>
      </c>
      <c r="CK38" s="165" t="str">
        <f>IFERROR(((CB38+CD38+CF38)/INDEX(bhpc_data[units_per_carton],MATCH(BZ38,bhpc_data[sku],0)))*INDEX(bhpc_data[gross_weight],MATCH(BZ38,bhpc_data[sku],0)),"")</f>
        <v/>
      </c>
      <c r="CL38" s="180" t="str">
        <f>IFERROR((CB38+CD38+CF38)/INDEX(bhpc_data[units_per_carton],MATCH(BZ38,bhpc_data[sku],0))*INDEX(bhpc_data[lenght],MATCH(BZ38,bhpc_data[sku],0))*INDEX(bhpc_data[width],MATCH(BZ38,bhpc_data[sku],0))*INDEX(bhpc_data[height],MATCH(BZ38,bhpc_data[sku],0))/1000000000,"")</f>
        <v/>
      </c>
      <c r="CM38" s="189" t="str">
        <f>IFERROR(INDEX(bhpc_data[category],MATCH(BZ38,bhpc_data[sku],0)),"")</f>
        <v/>
      </c>
      <c r="CN38" s="189" t="str">
        <f>IFERROR(INDEX(bhpc_data[size1],MATCH(BZ38,bhpc_data[sku],0)),"")</f>
        <v/>
      </c>
      <c r="CO38" s="388" t="str">
        <f>IFERROR(INDEX(bhpc_data[hs_code],MATCH(BZ38,bhpc_data[sku],0)),"")</f>
        <v/>
      </c>
      <c r="CP38" s="377" t="str">
        <f>IFERROR(INDEX(inventory[ESISTENZA],MATCH(BZ38,inventory[ARTICOLO],0)),"")</f>
        <v/>
      </c>
      <c r="CQ38" s="364" t="str">
        <f>IFERROR(IF(BZ38="","",IF($BX$15="SALE",INDEX(inventory[COSTO UNITARIO],MATCH(BZ38,inventory[ARTICOLO],0)),IF($BX$15="SAMPLING",INDEX(inventory[COSTO UNITARIO],MATCH(BZ38,inventory[ARTICOLO],0)),""))),"")</f>
        <v/>
      </c>
      <c r="CR38" s="365" t="str">
        <f t="shared" si="0"/>
        <v/>
      </c>
      <c r="CS38" s="264" t="str">
        <f t="shared" si="1"/>
        <v/>
      </c>
      <c r="CU38" s="505"/>
      <c r="CV38" s="505"/>
      <c r="CW38" s="527"/>
      <c r="CX38" s="505"/>
      <c r="DA38" s="432" t="str">
        <f>IFERROR(VLOOKUP(BZ38,bhpc_data[],22,FALSE),"")</f>
        <v/>
      </c>
      <c r="DH38" s="296"/>
      <c r="EE38" s="202" t="str" cm="1">
        <f t="array" ref="EE38">IFERROR(IF($EC$9="",IF($EC$11="",IF($EC$13="",INDEX(bhpc_data[sku],SMALL(MATCH(ROW(bhpc_data[sku]),ROW(bhpc_data[sku])),ROWS($A$15:A43)+$B$3)),INDEX(bhpc_data[sku],SMALL(IF(ISNUMBER(MATCH(bhpc_data[size1],$EC$13,0)),MATCH(ROW(bhpc_data[sku]),ROW(bhpc_data[sku])),""),ROWS($A$15:A43)+$B$3))),IF($EC$13="",INDEX(bhpc_data[sku],SMALL(IF(ISNUMBER(MATCH(bhpc_data[sex],$EC$11,0)),MATCH(ROW(bhpc_data[sku]),ROW(bhpc_data[sku])),""),ROWS($A$15:A43)+$B$3)),INDEX(bhpc_data[sku],SMALL(IF(ISNUMBER(MATCH(bhpc_data[sex],$EC$11,0)*MATCH(bhpc_data[size1],$EC$13,0)),MATCH(ROW(bhpc_data[sku]),ROW(bhpc_data[sku])),""),ROWS($A$15:A43)+$B$3)))),IF($EC$11="",IF($EC$13="",INDEX(bhpc_data[sku],SMALL(IF(ISNUMBER(MATCH(bhpc_data[category],$EC$9,0)),MATCH(ROW(bhpc_data[sku]),ROW(bhpc_data[sku])),""),ROWS($A$15:A43)+$B$3)),INDEX(bhpc_data[sku],SMALL(IF(ISNUMBER(MATCH(bhpc_data[category],$EC$9,0)*MATCH(bhpc_data[size1],$EC$13,0)),MATCH(ROW(bhpc_data[sku]),ROW(bhpc_data[sku])),""),ROWS($A$15:A43)+$B$3))),IF($EC$13="",INDEX(bhpc_data[sku],SMALL(IF(ISNUMBER(MATCH(bhpc_data[category],$EC$9,0)*MATCH(bhpc_data[sex],$EC$11,0)),MATCH(ROW(bhpc_data[sku]),ROW(bhpc_data[sku])),""),ROWS($A$15:A43)+$B$3)),INDEX(bhpc_data[sku],SMALL(IF(ISNUMBER(MATCH(bhpc_data[category],$EC$9,0)*MATCH(bhpc_data[sex],$EC$11,0)*MATCH(bhpc_data[size1],$EC$13,0)),MATCH(ROW(bhpc_data[sku]),ROW(bhpc_data[sku])),""),ROWS($A$15:A43)+$B$3))))),"")</f>
        <v>GSTM29</v>
      </c>
      <c r="EF38" s="198" t="str" cm="1">
        <f t="array" ref="EF38">IFERROR(IF($EC$9="",IF($EC$11="",IF($EC$13="",INDEX(bhpc_data[description],SMALL(MATCH(ROW(bhpc_data[sku]),ROW(bhpc_data[sku])),ROWS($A$15:A43)+$B$3)),INDEX(bhpc_data[description],SMALL(IF(ISNUMBER(MATCH(bhpc_data[size1],$EC$13,0)),MATCH(ROW(bhpc_data[sku]),ROW(bhpc_data[sku])),""),ROWS($A$15:A43)+$B$3))),IF($EC$13="",INDEX(bhpc_data[description],SMALL(IF(ISNUMBER(MATCH(bhpc_data[sex],$EC$11,0)),MATCH(ROW(bhpc_data[sku]),ROW(bhpc_data[sku])),""),ROWS($A$15:A43)+$B$3)),INDEX(bhpc_data[description],SMALL(IF(ISNUMBER(MATCH(bhpc_data[sex],$EC$11,0)*MATCH(bhpc_data[size1],$EC$13,0)),MATCH(ROW(bhpc_data[sku]),ROW(bhpc_data[sku])),""),ROWS($A$15:A43)+$B$3)))),IF($EC$11="",IF($EC$13="",INDEX(bhpc_data[description],SMALL(IF(ISNUMBER(MATCH(bhpc_data[category],$EC$9,0)),MATCH(ROW(bhpc_data[sku]),ROW(bhpc_data[sku])),""),ROWS($A$15:A43)+$B$3)),INDEX(bhpc_data[description],SMALL(IF(ISNUMBER(MATCH(bhpc_data[category],$EC$9,0)*MATCH(bhpc_data[size1],$EC$13,0)),MATCH(ROW(bhpc_data[sku]),ROW(bhpc_data[sku])),""),ROWS($A$15:A43)+$B$3))),IF($EC$13="",INDEX(bhpc_data[description],SMALL(IF(ISNUMBER(MATCH(bhpc_data[category],$EC$9,0)*MATCH(bhpc_data[sex],$EC$11,0)),MATCH(ROW(bhpc_data[sku]),ROW(bhpc_data[sku])),""),ROWS($A$15:A43)+$B$3)),INDEX(bhpc_data[description],SMALL(IF(ISNUMBER(MATCH(bhpc_data[category],$EC$9,0)*MATCH(bhpc_data[sex],$EC$11,0)*MATCH(bhpc_data[size1],$EC$13,0)),MATCH(ROW(bhpc_data[sku]),ROW(bhpc_data[sku])),""),ROWS($A$15:A43)+$B$3))))),"")</f>
        <v>BHPC TWINPACK SPORTS MEN DEO #2 #9 175ML</v>
      </c>
      <c r="EG38" s="263">
        <f>IFERROR(IF(warehouse[[#This Row],[SKU]]="","",INDEX(inventory[ESISTENZA],MATCH(warehouse[[#This Row],[SKU]],inventory[ARTICOLO],0))),"")</f>
        <v>0</v>
      </c>
      <c r="EH38" s="328"/>
      <c r="EI38" s="328"/>
      <c r="EJ38" s="263"/>
      <c r="EK38" s="329"/>
      <c r="FF38" s="413"/>
      <c r="FG38" s="413"/>
      <c r="FH38" s="413"/>
      <c r="FI38" s="413"/>
      <c r="FJ38" s="413"/>
      <c r="FK38" s="413"/>
      <c r="FL38" s="413"/>
      <c r="FM38" s="413"/>
      <c r="FN38" s="413"/>
      <c r="FO38" s="413"/>
      <c r="FP38" s="413"/>
      <c r="FQ38" s="413"/>
      <c r="FR38" s="413"/>
      <c r="FS38" s="413"/>
      <c r="FT38" s="413"/>
      <c r="FU38" s="413"/>
      <c r="FV38" s="413"/>
      <c r="FW38" s="413"/>
      <c r="FX38" s="413"/>
      <c r="FY38" s="413"/>
      <c r="FZ38" s="413"/>
      <c r="GA38" s="413"/>
      <c r="GB38" s="413"/>
      <c r="GC38" s="413"/>
      <c r="GD38" s="413"/>
      <c r="GE38" s="413"/>
      <c r="GF38" s="413"/>
      <c r="GG38" s="413"/>
      <c r="GH38" s="413"/>
      <c r="GI38" s="413"/>
      <c r="GJ38" s="413"/>
      <c r="GK38" s="413"/>
      <c r="GL38" s="413"/>
      <c r="GM38" s="413"/>
      <c r="GN38" s="413"/>
      <c r="GO38" s="413"/>
      <c r="GP38" s="413"/>
      <c r="GQ38" s="413"/>
      <c r="GR38" s="413"/>
      <c r="GS38" s="413"/>
      <c r="GT38" s="413"/>
      <c r="GU38" s="413"/>
      <c r="GV38" s="413"/>
      <c r="GW38" s="413"/>
      <c r="GX38" s="413"/>
      <c r="GY38" s="413"/>
      <c r="GZ38" s="413"/>
      <c r="HA38" s="413"/>
      <c r="HB38" s="413"/>
      <c r="HC38" s="413"/>
      <c r="HD38" s="413"/>
      <c r="HE38" s="413"/>
      <c r="HF38" s="413"/>
      <c r="HG38" s="413"/>
      <c r="HH38" s="413"/>
      <c r="HI38" s="413"/>
      <c r="HJ38" s="413"/>
      <c r="HK38" s="413"/>
      <c r="HL38" s="413"/>
      <c r="HM38" s="413"/>
      <c r="HN38" s="413"/>
      <c r="HO38" s="413"/>
      <c r="HP38" s="413"/>
      <c r="HQ38" s="413"/>
      <c r="HR38" s="413"/>
      <c r="HS38" s="413"/>
      <c r="HT38" s="413"/>
    </row>
    <row r="39" spans="10:228" ht="15" customHeight="1" x14ac:dyDescent="0.35">
      <c r="L39" s="539" t="str">
        <f t="array" ref="L39">IFERROR(IF($D$9="",IF($D$11="",IF($D$13="",IF($D$15="",INDEX(orderHistory[customer],SMALL(MATCH(ROW(orderHistory[customer]),ROW(orderHistory[customer])),ROWS($A$15:A44)+$B$3)),INDEX(orderHistory[customer],SMALL(IF(ISNUMBER(MATCH(YEAR(orderHistory[invoice_date]),$D$15,0)),MATCH(ROW(orderHistory[customer]),ROW(orderHistory[customer])),""),ROWS($A$15:A44)+$B$3))),IF($D$15="",INDEX(orderHistory[customer],SMALL(IF(ISNUMBER(MATCH(orderHistory[order_type],$D$13,0)),MATCH(ROW(orderHistory[customer]),ROW(orderHistory[customer])),""),ROWS($A$15:A44)+$B$3)),INDEX(orderHistory[customer],SMALL(IF(ISNUMBER(MATCH(orderHistory[order_type],$D$13,0)*MATCH(YEAR(orderHistory[invoice_date]),$D$15,0)),MATCH(ROW(orderHistory[customer]),ROW(orderHistory[customer])),""),ROWS($A$15:A44)+$B$3)))),IF($D$13="",IF($D$15="",INDEX(orderHistory[customer],SMALL(IF(ISNUMBER(MATCH(orderHistory[status],$D$11,0)),MATCH(ROW(orderHistory[customer]),ROW(orderHistory[customer])),""),ROWS($A$15:A44)+$B$3)),INDEX(orderHistory[customer],SMALL(IF(ISNUMBER(MATCH(orderHistory[status],$D$11,0)*MATCH(YEAR(orderHistory[invoice_date]),$D$15,0)),MATCH(ROW(orderHistory[customer]),ROW(orderHistory[customer])),""),ROWS($A$15:A44)+$B$3))),IF($D$15="",INDEX(orderHistory[customer],SMALL(IF(ISNUMBER(MATCH(orderHistory[status],$D$11,0)*MATCH(orderHistory[order_type],$D$13,0)),MATCH(ROW(orderHistory[customer]),ROW(orderHistory[customer])),""),ROWS($A$15:A44)+$B$3)),INDEX(orderHistory[customer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customer],SMALL(IF(ISNUMBER(MATCH(orderHistory[customer],$D$9,0)),MATCH(ROW(orderHistory[customer]),ROW(orderHistory[customer])),""),ROWS($A$15:A44)+$B$3)),INDEX(orderHistory[customer],SMALL(IF(ISNUMBER(MATCH(orderHistory[customer],$D$9,0)*MATCH(YEAR(orderHistory[invoice_date]),$D$15,0)),MATCH(ROW(orderHistory[customer]),ROW(orderHistory[customer])),""),ROWS($A$15:A44)+$B$3))),IF($D$15="",INDEX(orderHistory[customer],SMALL(IF(ISNUMBER(MATCH(orderHistory[customer],$D$9,0)*MATCH(orderHistory[order_type],$D$13,0)),MATCH(ROW(orderHistory[customer]),ROW(orderHistory[customer])),""),ROWS($A$15:A44)+$B$3)),INDEX(orderHistory[customer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customer],SMALL(IF(ISNUMBER(MATCH(orderHistory[customer],$D$9,0)*MATCH(orderHistory[status],$D$11,0)),MATCH(ROW(orderHistory[customer]),ROW(orderHistory[customer])),""),ROWS($A$15:A44)+$B$3)),INDEX(orderHistory[customer],SMALL(IF(ISNUMBER(MATCH(orderHistory[customer],$D$9,0)*MATCH(orderHistory[status],$D$11,0)*MATCH(YEAR(orderHistory[invoice_date]),$D$15,0)),MATCH(ROW(orderHistory[customer]),ROW(orderHistory[customer])),""),ROWS($A$15:A44)+$B$3))),IF($D$15="",INDEX(orderHistory[customer],SMALL(IF(ISNUMBER(MATCH(orderHistory[customer],$D$9,0)*MATCH(orderHistory[status],$D$11,0)*MATCH(orderHistory[order_type],$D$13,0)),MATCH(ROW(orderHistory[customer]),ROW(orderHistory[customer])),""),ROWS($A$15:A44)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M39" s="540" t="str">
        <f t="array" ref="M39">IFERROR(IF($D$9="",IF($D$11="",IF($D$13="",IF($D$15="",INDEX(orderHistory[order_no],SMALL(MATCH(ROW(orderHistory[customer]),ROW(orderHistory[customer])),ROWS($A$15:A44)+$B$3)),INDEX(orderHistory[order_no],SMALL(IF(ISNUMBER(MATCH(YEAR(orderHistory[invoice_date]),$D$15,0)),MATCH(ROW(orderHistory[customer]),ROW(orderHistory[customer])),""),ROWS($A$15:A44)+$B$3))),IF($D$15="",INDEX(orderHistory[order_no],SMALL(IF(ISNUMBER(MATCH(orderHistory[order_type],$D$13,0)),MATCH(ROW(orderHistory[customer]),ROW(orderHistory[customer])),""),ROWS($A$15:A44)+$B$3)),INDEX(orderHistory[order_no],SMALL(IF(ISNUMBER(MATCH(orderHistory[order_type],$D$13,0)*MATCH(YEAR(orderHistory[invoice_date]),$D$15,0)),MATCH(ROW(orderHistory[customer]),ROW(orderHistory[customer])),""),ROWS($A$15:A44)+$B$3)))),IF($D$13="",IF($D$15="",INDEX(orderHistory[order_no],SMALL(IF(ISNUMBER(MATCH(orderHistory[status],$D$11,0)),MATCH(ROW(orderHistory[customer]),ROW(orderHistory[customer])),""),ROWS($A$15:A44)+$B$3)),INDEX(orderHistory[order_no],SMALL(IF(ISNUMBER(MATCH(orderHistory[status],$D$11,0)*MATCH(YEAR(orderHistory[invoice_date]),$D$15,0)),MATCH(ROW(orderHistory[customer]),ROW(orderHistory[customer])),""),ROWS($A$15:A44)+$B$3))),IF($D$15="",INDEX(orderHistory[order_no],SMALL(IF(ISNUMBER(MATCH(orderHistory[status],$D$11,0)*MATCH(orderHistory[order_type],$D$13,0)),MATCH(ROW(orderHistory[customer]),ROW(orderHistory[customer])),""),ROWS($A$15:A44)+$B$3)),INDEX(orderHistory[order_no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no],SMALL(IF(ISNUMBER(MATCH(orderHistory[customer],$D$9,0)),MATCH(ROW(orderHistory[customer]),ROW(orderHistory[customer])),""),ROWS($A$15:A44)+$B$3)),INDEX(orderHistory[order_no],SMALL(IF(ISNUMBER(MATCH(orderHistory[customer],$D$9,0)*MATCH(YEAR(orderHistory[invoice_date]),$D$15,0)),MATCH(ROW(orderHistory[customer]),ROW(orderHistory[customer])),""),ROWS($A$15:A44)+$B$3))),IF($D$15="",INDEX(orderHistory[order_no],SMALL(IF(ISNUMBER(MATCH(orderHistory[customer],$D$9,0)*MATCH(orderHistory[order_type],$D$13,0)),MATCH(ROW(orderHistory[customer]),ROW(orderHistory[customer])),""),ROWS($A$15:A44)+$B$3)),INDEX(orderHistory[order_no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no],SMALL(IF(ISNUMBER(MATCH(orderHistory[customer],$D$9,0)*MATCH(orderHistory[status],$D$11,0)),MATCH(ROW(orderHistory[customer]),ROW(orderHistory[customer])),""),ROWS($A$15:A44)+$B$3)),INDEX(orderHistory[order_no],SMALL(IF(ISNUMBER(MATCH(orderHistory[customer],$D$9,0)*MATCH(orderHistory[status],$D$11,0)*MATCH(YEAR(orderHistory[invoice_date]),$D$15,0)),MATCH(ROW(orderHistory[customer]),ROW(orderHistory[customer])),""),ROWS($A$15:A44)+$B$3))),IF($D$15="",INDEX(orderHistory[order_no],SMALL(IF(ISNUMBER(MATCH(orderHistory[customer],$D$9,0)*MATCH(orderHistory[status],$D$11,0)*MATCH(orderHistory[order_type],$D$13,0)),MATCH(ROW(orderHistory[customer]),ROW(orderHistory[customer])),""),ROWS($A$15:A44)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N39" s="541" t="str">
        <f t="array" ref="N39">IFERROR(IF($D$9="",IF($D$11="",IF($D$13="",IF($D$15="",INDEX(orderHistory[order_type],SMALL(MATCH(ROW(orderHistory[customer]),ROW(orderHistory[customer])),ROWS($A$15:A44)+$B$3)),INDEX(orderHistory[order_type],SMALL(IF(ISNUMBER(MATCH(YEAR(orderHistory[invoice_date]),$D$15,0)),MATCH(ROW(orderHistory[customer]),ROW(orderHistory[customer])),""),ROWS($A$15:A44)+$B$3))),IF($D$15="",INDEX(orderHistory[order_type],SMALL(IF(ISNUMBER(MATCH(orderHistory[order_type],$D$13,0)),MATCH(ROW(orderHistory[customer]),ROW(orderHistory[customer])),""),ROWS($A$15:A44)+$B$3)),INDEX(orderHistory[order_type],SMALL(IF(ISNUMBER(MATCH(orderHistory[order_type],$D$13,0)*MATCH(YEAR(orderHistory[invoice_date]),$D$15,0)),MATCH(ROW(orderHistory[customer]),ROW(orderHistory[customer])),""),ROWS($A$15:A44)+$B$3)))),IF($D$13="",IF($D$15="",INDEX(orderHistory[order_type],SMALL(IF(ISNUMBER(MATCH(orderHistory[status],$D$11,0)),MATCH(ROW(orderHistory[customer]),ROW(orderHistory[customer])),""),ROWS($A$15:A44)+$B$3)),INDEX(orderHistory[order_type],SMALL(IF(ISNUMBER(MATCH(orderHistory[status],$D$11,0)*MATCH(YEAR(orderHistory[invoice_date]),$D$15,0)),MATCH(ROW(orderHistory[customer]),ROW(orderHistory[customer])),""),ROWS($A$15:A44)+$B$3))),IF($D$15="",INDEX(orderHistory[order_type],SMALL(IF(ISNUMBER(MATCH(orderHistory[status],$D$11,0)*MATCH(orderHistory[order_type],$D$13,0)),MATCH(ROW(orderHistory[customer]),ROW(orderHistory[customer])),""),ROWS($A$15:A44)+$B$3)),INDEX(orderHistory[order_typ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type],SMALL(IF(ISNUMBER(MATCH(orderHistory[customer],$D$9,0)),MATCH(ROW(orderHistory[customer]),ROW(orderHistory[customer])),""),ROWS($A$15:A44)+$B$3)),INDEX(orderHistory[order_type],SMALL(IF(ISNUMBER(MATCH(orderHistory[customer],$D$9,0)*MATCH(YEAR(orderHistory[invoice_date]),$D$15,0)),MATCH(ROW(orderHistory[customer]),ROW(orderHistory[customer])),""),ROWS($A$15:A44)+$B$3))),IF($D$15="",INDEX(orderHistory[order_type],SMALL(IF(ISNUMBER(MATCH(orderHistory[customer],$D$9,0)*MATCH(orderHistory[order_type],$D$13,0)),MATCH(ROW(orderHistory[customer]),ROW(orderHistory[customer])),""),ROWS($A$15:A44)+$B$3)),INDEX(orderHistory[order_typ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type],SMALL(IF(ISNUMBER(MATCH(orderHistory[customer],$D$9,0)*MATCH(orderHistory[status],$D$11,0)),MATCH(ROW(orderHistory[customer]),ROW(orderHistory[customer])),""),ROWS($A$15:A44)+$B$3)),INDEX(orderHistory[order_type],SMALL(IF(ISNUMBER(MATCH(orderHistory[customer],$D$9,0)*MATCH(orderHistory[status],$D$11,0)*MATCH(YEAR(orderHistory[invoice_date]),$D$15,0)),MATCH(ROW(orderHistory[customer]),ROW(orderHistory[customer])),""),ROWS($A$15:A44)+$B$3))),IF($D$15="",INDEX(orderHistory[order_type],SMALL(IF(ISNUMBER(MATCH(orderHistory[customer],$D$9,0)*MATCH(orderHistory[status],$D$11,0)*MATCH(orderHistory[order_type],$D$13,0)),MATCH(ROW(orderHistory[customer]),ROW(orderHistory[customer])),""),ROWS($A$15:A44)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O39" s="542" t="str">
        <f t="array" ref="O39">IFERROR(IF($D$9="",IF($D$11="",IF($D$13="",IF($D$15="",INDEX(orderHistory[order_date],SMALL(MATCH(ROW(orderHistory[customer]),ROW(orderHistory[customer])),ROWS($A$15:A44)+$B$3)),INDEX(orderHistory[order_date],SMALL(IF(ISNUMBER(MATCH(YEAR(orderHistory[invoice_date]),$D$15,0)),MATCH(ROW(orderHistory[customer]),ROW(orderHistory[customer])),""),ROWS($A$15:A44)+$B$3))),IF($D$15="",INDEX(orderHistory[order_date],SMALL(IF(ISNUMBER(MATCH(orderHistory[order_type],$D$13,0)),MATCH(ROW(orderHistory[customer]),ROW(orderHistory[customer])),""),ROWS($A$15:A44)+$B$3)),INDEX(orderHistory[order_date],SMALL(IF(ISNUMBER(MATCH(orderHistory[order_type],$D$13,0)*MATCH(YEAR(orderHistory[invoice_date]),$D$15,0)),MATCH(ROW(orderHistory[customer]),ROW(orderHistory[customer])),""),ROWS($A$15:A44)+$B$3)))),IF($D$13="",IF($D$15="",INDEX(orderHistory[order_date],SMALL(IF(ISNUMBER(MATCH(orderHistory[status],$D$11,0)),MATCH(ROW(orderHistory[customer]),ROW(orderHistory[customer])),""),ROWS($A$15:A44)+$B$3)),INDEX(orderHistory[order_date],SMALL(IF(ISNUMBER(MATCH(orderHistory[status],$D$11,0)*MATCH(YEAR(orderHistory[invoice_date]),$D$15,0)),MATCH(ROW(orderHistory[customer]),ROW(orderHistory[customer])),""),ROWS($A$15:A44)+$B$3))),IF($D$15="",INDEX(orderHistory[order_date],SMALL(IF(ISNUMBER(MATCH(orderHistory[status],$D$11,0)*MATCH(orderHistory[order_type],$D$13,0)),MATCH(ROW(orderHistory[customer]),ROW(orderHistory[customer])),""),ROWS($A$15:A44)+$B$3)),INDEX(orderHistory[order_dat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date],SMALL(IF(ISNUMBER(MATCH(orderHistory[customer],$D$9,0)),MATCH(ROW(orderHistory[customer]),ROW(orderHistory[customer])),""),ROWS($A$15:A44)+$B$3)),INDEX(orderHistory[order_date],SMALL(IF(ISNUMBER(MATCH(orderHistory[customer],$D$9,0)*MATCH(YEAR(orderHistory[invoice_date]),$D$15,0)),MATCH(ROW(orderHistory[customer]),ROW(orderHistory[customer])),""),ROWS($A$15:A44)+$B$3))),IF($D$15="",INDEX(orderHistory[order_date],SMALL(IF(ISNUMBER(MATCH(orderHistory[customer],$D$9,0)*MATCH(orderHistory[order_type],$D$13,0)),MATCH(ROW(orderHistory[customer]),ROW(orderHistory[customer])),""),ROWS($A$15:A44)+$B$3)),INDEX(orderHistory[order_dat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date],SMALL(IF(ISNUMBER(MATCH(orderHistory[customer],$D$9,0)*MATCH(orderHistory[status],$D$11,0)),MATCH(ROW(orderHistory[customer]),ROW(orderHistory[customer])),""),ROWS($A$15:A44)+$B$3)),INDEX(orderHistory[order_date],SMALL(IF(ISNUMBER(MATCH(orderHistory[customer],$D$9,0)*MATCH(orderHistory[status],$D$11,0)*MATCH(YEAR(orderHistory[invoice_date]),$D$15,0)),MATCH(ROW(orderHistory[customer]),ROW(orderHistory[customer])),""),ROWS($A$15:A44)+$B$3))),IF($D$15="",INDEX(orderHistory[order_date],SMALL(IF(ISNUMBER(MATCH(orderHistory[customer],$D$9,0)*MATCH(orderHistory[status],$D$11,0)*MATCH(orderHistory[order_type],$D$13,0)),MATCH(ROW(orderHistory[customer]),ROW(orderHistory[customer])),""),ROWS($A$15:A44)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P39" s="543" t="str">
        <f t="array" ref="P39">IFERROR(IF($D$9="",IF($D$11="",IF($D$13="",IF($D$15="",INDEX(orderHistory[invoice_no],SMALL(MATCH(ROW(orderHistory[customer]),ROW(orderHistory[customer])),ROWS($A$15:A44)+$B$3)),INDEX(orderHistory[invoice_no],SMALL(IF(ISNUMBER(MATCH(YEAR(orderHistory[invoice_date]),$D$15,0)),MATCH(ROW(orderHistory[customer]),ROW(orderHistory[customer])),""),ROWS($A$15:A44)+$B$3))),IF($D$15="",INDEX(orderHistory[invoice_no],SMALL(IF(ISNUMBER(MATCH(orderHistory[order_type],$D$13,0)),MATCH(ROW(orderHistory[customer]),ROW(orderHistory[customer])),""),ROWS($A$15:A44)+$B$3)),INDEX(orderHistory[invoice_no],SMALL(IF(ISNUMBER(MATCH(orderHistory[order_type],$D$13,0)*MATCH(YEAR(orderHistory[invoice_date]),$D$15,0)),MATCH(ROW(orderHistory[customer]),ROW(orderHistory[customer])),""),ROWS($A$15:A44)+$B$3)))),IF($D$13="",IF($D$15="",INDEX(orderHistory[invoice_no],SMALL(IF(ISNUMBER(MATCH(orderHistory[status],$D$11,0)),MATCH(ROW(orderHistory[customer]),ROW(orderHistory[customer])),""),ROWS($A$15:A44)+$B$3)),INDEX(orderHistory[invoice_no],SMALL(IF(ISNUMBER(MATCH(orderHistory[status],$D$11,0)*MATCH(YEAR(orderHistory[invoice_date]),$D$15,0)),MATCH(ROW(orderHistory[customer]),ROW(orderHistory[customer])),""),ROWS($A$15:A44)+$B$3))),IF($D$15="",INDEX(orderHistory[invoice_no],SMALL(IF(ISNUMBER(MATCH(orderHistory[status],$D$11,0)*MATCH(orderHistory[order_type],$D$13,0)),MATCH(ROW(orderHistory[customer]),ROW(orderHistory[customer])),""),ROWS($A$15:A44)+$B$3)),INDEX(orderHistory[invoice_no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oice_no],SMALL(IF(ISNUMBER(MATCH(orderHistory[customer],$D$9,0)),MATCH(ROW(orderHistory[customer]),ROW(orderHistory[customer])),""),ROWS($A$15:A44)+$B$3)),INDEX(orderHistory[invoice_no],SMALL(IF(ISNUMBER(MATCH(orderHistory[customer],$D$9,0)*MATCH(YEAR(orderHistory[invoice_date]),$D$15,0)),MATCH(ROW(orderHistory[customer]),ROW(orderHistory[customer])),""),ROWS($A$15:A44)+$B$3))),IF($D$15="",INDEX(orderHistory[invoice_no],SMALL(IF(ISNUMBER(MATCH(orderHistory[customer],$D$9,0)*MATCH(orderHistory[order_type],$D$13,0)),MATCH(ROW(orderHistory[customer]),ROW(orderHistory[customer])),""),ROWS($A$15:A44)+$B$3)),INDEX(orderHistory[invoice_no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YEAR(orderHistory[invoice_date]),$D$15,0)),MATCH(ROW(orderHistory[customer]),ROW(orderHistory[customer])),""),ROWS($A$15:A44)+$B$3))),IF($D$15="",INDEX(orderHistory[invoice_no],SMALL(IF(ISNUMBER(MATCH(orderHistory[customer],$D$9,0)*MATCH(orderHistory[status],$D$11,0)*MATCH(orderHistory[order_type],$D$13,0)),MATCH(ROW(orderHistory[customer]),ROW(orderHistory[customer])),""),ROWS($A$15:A44)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Q39" s="544" t="str">
        <f t="array" ref="Q39">IFERROR(IF($D$9="",IF($D$11="",IF($D$13="",IF($D$15="",INDEX(orderHistory[invoice_date],SMALL(MATCH(ROW(orderHistory[customer]),ROW(orderHistory[customer])),ROWS($A$15:A44)+$B$3)),INDEX(orderHistory[invoice_date],SMALL(IF(ISNUMBER(MATCH(YEAR(orderHistory[invoice_date]),$D$15,0)),MATCH(ROW(orderHistory[customer]),ROW(orderHistory[customer])),""),ROWS($A$15:A44)+$B$3))),IF($D$15="",INDEX(orderHistory[invoice_date],SMALL(IF(ISNUMBER(MATCH(orderHistory[order_type],$D$13,0)),MATCH(ROW(orderHistory[customer]),ROW(orderHistory[customer])),""),ROWS($A$15:A44)+$B$3)),INDEX(orderHistory[invoice_date],SMALL(IF(ISNUMBER(MATCH(orderHistory[order_type],$D$13,0)*MATCH(YEAR(orderHistory[invoice_date]),$D$15,0)),MATCH(ROW(orderHistory[customer]),ROW(orderHistory[customer])),""),ROWS($A$15:A44)+$B$3)))),IF($D$13="",IF($D$15="",INDEX(orderHistory[invoice_date],SMALL(IF(ISNUMBER(MATCH(orderHistory[status],$D$11,0)),MATCH(ROW(orderHistory[customer]),ROW(orderHistory[customer])),""),ROWS($A$15:A44)+$B$3)),INDEX(orderHistory[invoice_date],SMALL(IF(ISNUMBER(MATCH(orderHistory[status],$D$11,0)*MATCH(YEAR(orderHistory[invoice_date]),$D$15,0)),MATCH(ROW(orderHistory[customer]),ROW(orderHistory[customer])),""),ROWS($A$15:A44)+$B$3))),IF($D$15="",INDEX(orderHistory[invoice_date],SMALL(IF(ISNUMBER(MATCH(orderHistory[status],$D$11,0)*MATCH(orderHistory[order_type],$D$13,0)),MATCH(ROW(orderHistory[customer]),ROW(orderHistory[customer])),""),ROWS($A$15:A44)+$B$3)),INDEX(orderHistory[invoice_dat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oice_date],SMALL(IF(ISNUMBER(MATCH(orderHistory[customer],$D$9,0)),MATCH(ROW(orderHistory[customer]),ROW(orderHistory[customer])),""),ROWS($A$15:A44)+$B$3)),INDEX(orderHistory[invoice_date],SMALL(IF(ISNUMBER(MATCH(orderHistory[customer],$D$9,0)*MATCH(YEAR(orderHistory[invoice_date]),$D$15,0)),MATCH(ROW(orderHistory[customer]),ROW(orderHistory[customer])),""),ROWS($A$15:A44)+$B$3))),IF($D$15="",INDEX(orderHistory[invoice_date],SMALL(IF(ISNUMBER(MATCH(orderHistory[customer],$D$9,0)*MATCH(orderHistory[order_type],$D$13,0)),MATCH(ROW(orderHistory[customer]),ROW(orderHistory[customer])),""),ROWS($A$15:A44)+$B$3)),INDEX(orderHistory[invoice_dat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YEAR(orderHistory[invoice_date]),$D$15,0)),MATCH(ROW(orderHistory[customer]),ROW(orderHistory[customer])),""),ROWS($A$15:A44)+$B$3))),IF($D$15="",INDEX(orderHistory[invoice_date],SMALL(IF(ISNUMBER(MATCH(orderHistory[customer],$D$9,0)*MATCH(orderHistory[status],$D$11,0)*MATCH(orderHistory[order_type],$D$13,0)),MATCH(ROW(orderHistory[customer]),ROW(orderHistory[customer])),""),ROWS($A$15:A44)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R39" s="545" t="str">
        <f t="array" ref="R39">IFERROR(IF($D$9="",IF($D$11="",IF($D$13="",IF($D$15="",INDEX(orderHistory[inv_amount],SMALL(MATCH(ROW(orderHistory[customer]),ROW(orderHistory[customer])),ROWS($A$15:A44)+$B$3)),INDEX(orderHistory[inv_amount],SMALL(IF(ISNUMBER(MATCH(YEAR(orderHistory[invoice_date]),$D$15,0)),MATCH(ROW(orderHistory[customer]),ROW(orderHistory[customer])),""),ROWS($A$15:A44)+$B$3))),IF($D$15="",INDEX(orderHistory[inv_amount],SMALL(IF(ISNUMBER(MATCH(orderHistory[order_type],$D$13,0)),MATCH(ROW(orderHistory[customer]),ROW(orderHistory[customer])),""),ROWS($A$15:A44)+$B$3)),INDEX(orderHistory[inv_amount],SMALL(IF(ISNUMBER(MATCH(orderHistory[order_type],$D$13,0)*MATCH(YEAR(orderHistory[invoice_date]),$D$15,0)),MATCH(ROW(orderHistory[customer]),ROW(orderHistory[customer])),""),ROWS($A$15:A44)+$B$3)))),IF($D$13="",IF($D$15="",INDEX(orderHistory[inv_amount],SMALL(IF(ISNUMBER(MATCH(orderHistory[status],$D$11,0)),MATCH(ROW(orderHistory[customer]),ROW(orderHistory[customer])),""),ROWS($A$15:A44)+$B$3)),INDEX(orderHistory[inv_amount],SMALL(IF(ISNUMBER(MATCH(orderHistory[status],$D$11,0)*MATCH(YEAR(orderHistory[invoice_date]),$D$15,0)),MATCH(ROW(orderHistory[customer]),ROW(orderHistory[customer])),""),ROWS($A$15:A44)+$B$3))),IF($D$15="",INDEX(orderHistory[inv_amount],SMALL(IF(ISNUMBER(MATCH(orderHistory[status],$D$11,0)*MATCH(orderHistory[order_type],$D$13,0)),MATCH(ROW(orderHistory[customer]),ROW(orderHistory[customer])),""),ROWS($A$15:A44)+$B$3)),INDEX(orderHistory[inv_amount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_amount],SMALL(IF(ISNUMBER(MATCH(orderHistory[customer],$D$9,0)),MATCH(ROW(orderHistory[customer]),ROW(orderHistory[customer])),""),ROWS($A$15:A44)+$B$3)),INDEX(orderHistory[inv_amount],SMALL(IF(ISNUMBER(MATCH(orderHistory[customer],$D$9,0)*MATCH(YEAR(orderHistory[invoice_date]),$D$15,0)),MATCH(ROW(orderHistory[customer]),ROW(orderHistory[customer])),""),ROWS($A$15:A44)+$B$3))),IF($D$15="",INDEX(orderHistory[inv_amount],SMALL(IF(ISNUMBER(MATCH(orderHistory[customer],$D$9,0)*MATCH(orderHistory[order_type],$D$13,0)),MATCH(ROW(orderHistory[customer]),ROW(orderHistory[customer])),""),ROWS($A$15:A44)+$B$3)),INDEX(orderHistory[inv_amount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_amount],SMALL(IF(ISNUMBER(MATCH(orderHistory[customer],$D$9,0)*MATCH(orderHistory[status],$D$11,0)),MATCH(ROW(orderHistory[customer]),ROW(orderHistory[customer])),""),ROWS($A$15:A44)+$B$3)),INDEX(orderHistory[inv_amount],SMALL(IF(ISNUMBER(MATCH(orderHistory[customer],$D$9,0)*MATCH(orderHistory[status],$D$11,0)*MATCH(YEAR(orderHistory[inv_amount]),$D$15,0)),MATCH(ROW(orderHistory[customer]),ROW(orderHistory[customer])),""),ROWS($A$15:A44)+$B$3))),IF($D$15="",INDEX(orderHistory[inv_amount],SMALL(IF(ISNUMBER(MATCH(orderHistory[customer],$D$9,0)*MATCH(orderHistory[status],$D$11,0)*MATCH(orderHistory[order_type],$D$13,0)),MATCH(ROW(orderHistory[customer]),ROW(orderHistory[customer])),""),ROWS($A$15:A44)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S39" s="546" t="str">
        <f t="shared" si="2"/>
        <v/>
      </c>
      <c r="T39" s="547" t="str">
        <f t="array" ref="T39">IFERROR(IF($D$9="",IF($D$11="",IF($D$13="",IF($D$15="",INDEX(orderHistory[payed],SMALL(MATCH(ROW(orderHistory[customer]),ROW(orderHistory[customer])),ROWS($A$15:A44)+$B$3)),INDEX(orderHistory[payed],SMALL(IF(ISNUMBER(MATCH(YEAR(orderHistory[invoice_date]),$D$15,0)),MATCH(ROW(orderHistory[customer]),ROW(orderHistory[customer])),""),ROWS($A$15:A44)+$B$3))),IF($D$15="",INDEX(orderHistory[payed],SMALL(IF(ISNUMBER(MATCH(orderHistory[order_type],$D$13,0)),MATCH(ROW(orderHistory[customer]),ROW(orderHistory[customer])),""),ROWS($A$15:A44)+$B$3)),INDEX(orderHistory[payed],SMALL(IF(ISNUMBER(MATCH(orderHistory[order_type],$D$13,0)*MATCH(YEAR(orderHistory[invoice_date]),$D$15,0)),MATCH(ROW(orderHistory[customer]),ROW(orderHistory[customer])),""),ROWS($A$15:A44)+$B$3)))),IF($D$13="",IF($D$15="",INDEX(orderHistory[payed],SMALL(IF(ISNUMBER(MATCH(orderHistory[status],$D$11,0)),MATCH(ROW(orderHistory[customer]),ROW(orderHistory[customer])),""),ROWS($A$15:A44)+$B$3)),INDEX(orderHistory[payed],SMALL(IF(ISNUMBER(MATCH(orderHistory[status],$D$11,0)*MATCH(YEAR(orderHistory[invoice_date]),$D$15,0)),MATCH(ROW(orderHistory[customer]),ROW(orderHistory[customer])),""),ROWS($A$15:A44)+$B$3))),IF($D$15="",INDEX(orderHistory[payed],SMALL(IF(ISNUMBER(MATCH(orderHistory[status],$D$11,0)*MATCH(orderHistory[order_type],$D$13,0)),MATCH(ROW(orderHistory[customer]),ROW(orderHistory[customer])),""),ROWS($A$15:A44)+$B$3)),INDEX(orderHistory[payed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payed],SMALL(IF(ISNUMBER(MATCH(orderHistory[customer],$D$9,0)),MATCH(ROW(orderHistory[customer]),ROW(orderHistory[customer])),""),ROWS($A$15:A44)+$B$3)),INDEX(orderHistory[payed],SMALL(IF(ISNUMBER(MATCH(orderHistory[customer],$D$9,0)*MATCH(YEAR(orderHistory[invoice_date]),$D$15,0)),MATCH(ROW(orderHistory[customer]),ROW(orderHistory[customer])),""),ROWS($A$15:A44)+$B$3))),IF($D$15="",INDEX(orderHistory[payed],SMALL(IF(ISNUMBER(MATCH(orderHistory[customer],$D$9,0)*MATCH(orderHistory[order_type],$D$13,0)),MATCH(ROW(orderHistory[customer]),ROW(orderHistory[customer])),""),ROWS($A$15:A44)+$B$3)),INDEX(orderHistory[payed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payed],SMALL(IF(ISNUMBER(MATCH(orderHistory[customer],$D$9,0)*MATCH(orderHistory[status],$D$11,0)),MATCH(ROW(orderHistory[customer]),ROW(orderHistory[customer])),""),ROWS($A$15:A44)+$B$3)),INDEX(orderHistory[payed],SMALL(IF(ISNUMBER(MATCH(orderHistory[customer],$D$9,0)*MATCH(orderHistory[status],$D$11,0)*MATCH(YEAR(orderHistory[payed]),$D$15,0)),MATCH(ROW(orderHistory[customer]),ROW(orderHistory[customer])),""),ROWS($A$15:A44)+$B$3))),IF($D$15="",INDEX(orderHistory[payed],SMALL(IF(ISNUMBER(MATCH(orderHistory[customer],$D$9,0)*MATCH(orderHistory[status],$D$11,0)*MATCH(orderHistory[order_type],$D$13,0)),MATCH(ROW(orderHistory[customer]),ROW(orderHistory[customer])),""),ROWS($A$15:A44)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U39" s="541" t="str">
        <f t="array" ref="U39">IFERROR(IF($D$9="",IF($D$11="",IF($D$13="",IF($D$15="",INDEX(orderHistory[shipping_method],SMALL(MATCH(ROW(orderHistory[customer]),ROW(orderHistory[customer])),ROWS($A$15:A44)+$B$3)),INDEX(orderHistory[shipping_method],SMALL(IF(ISNUMBER(MATCH(YEAR(orderHistory[invoice_date]),$D$15,0)),MATCH(ROW(orderHistory[customer]),ROW(orderHistory[customer])),""),ROWS($A$15:A44)+$B$3))),IF($D$15="",INDEX(orderHistory[shipping_method],SMALL(IF(ISNUMBER(MATCH(orderHistory[order_type],$D$13,0)),MATCH(ROW(orderHistory[customer]),ROW(orderHistory[customer])),""),ROWS($A$15:A44)+$B$3)),INDEX(orderHistory[shipping_method],SMALL(IF(ISNUMBER(MATCH(orderHistory[order_type],$D$13,0)*MATCH(YEAR(orderHistory[invoice_date]),$D$15,0)),MATCH(ROW(orderHistory[customer]),ROW(orderHistory[customer])),""),ROWS($A$15:A44)+$B$3)))),IF($D$13="",IF($D$15="",INDEX(orderHistory[shipping_method],SMALL(IF(ISNUMBER(MATCH(orderHistory[status],$D$11,0)),MATCH(ROW(orderHistory[customer]),ROW(orderHistory[customer])),""),ROWS($A$15:A44)+$B$3)),INDEX(orderHistory[shipping_method],SMALL(IF(ISNUMBER(MATCH(orderHistory[status],$D$11,0)*MATCH(YEAR(orderHistory[invoice_date]),$D$15,0)),MATCH(ROW(orderHistory[customer]),ROW(orderHistory[customer])),""),ROWS($A$15:A44)+$B$3))),IF($D$15="",INDEX(orderHistory[shipping_method],SMALL(IF(ISNUMBER(MATCH(orderHistory[status],$D$11,0)*MATCH(orderHistory[order_type],$D$13,0)),MATCH(ROW(orderHistory[customer]),ROW(orderHistory[customer])),""),ROWS($A$15:A44)+$B$3)),INDEX(orderHistory[shipping_method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shipping_method],SMALL(IF(ISNUMBER(MATCH(orderHistory[customer],$D$9,0)),MATCH(ROW(orderHistory[customer]),ROW(orderHistory[customer])),""),ROWS($A$15:A44)+$B$3)),INDEX(orderHistory[shipping_method],SMALL(IF(ISNUMBER(MATCH(orderHistory[customer],$D$9,0)*MATCH(YEAR(orderHistory[invoice_date]),$D$15,0)),MATCH(ROW(orderHistory[customer]),ROW(orderHistory[customer])),""),ROWS($A$15:A44)+$B$3))),IF($D$15="",INDEX(orderHistory[shipping_method],SMALL(IF(ISNUMBER(MATCH(orderHistory[customer],$D$9,0)*MATCH(orderHistory[order_type],$D$13,0)),MATCH(ROW(orderHistory[customer]),ROW(orderHistory[customer])),""),ROWS($A$15:A44)+$B$3)),INDEX(orderHistory[shipping_method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shipping_method],SMALL(IF(ISNUMBER(MATCH(orderHistory[customer],$D$9,0)*MATCH(orderHistory[status],$D$11,0)),MATCH(ROW(orderHistory[customer]),ROW(orderHistory[customer])),""),ROWS($A$15:A44)+$B$3)),INDEX(orderHistory[shipping_method],SMALL(IF(ISNUMBER(MATCH(orderHistory[customer],$D$9,0)*MATCH(orderHistory[status],$D$11,0)*MATCH(YEAR(orderHistory[shipping_method]),$D$15,0)),MATCH(ROW(orderHistory[customer]),ROW(orderHistory[customer])),""),ROWS($A$15:A44)+$B$3))),IF($D$15="",INDEX(orderHistory[shipping_method],SMALL(IF(ISNUMBER(MATCH(orderHistory[customer],$D$9,0)*MATCH(orderHistory[status],$D$11,0)*MATCH(orderHistory[order_type],$D$13,0)),MATCH(ROW(orderHistory[customer]),ROW(orderHistory[customer])),""),ROWS($A$15:A44)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V39" s="548" t="str">
        <f t="array" ref="V39">IFERROR(IF($D$9="",IF($D$11="",IF($D$13="",IF($D$15="",INDEX(orderHistory[status],SMALL(MATCH(ROW(orderHistory[customer]),ROW(orderHistory[customer])),ROWS($A$15:A44)+$B$3)),INDEX(orderHistory[status],SMALL(IF(ISNUMBER(MATCH(YEAR(orderHistory[invoice_date]),$D$15,0)),MATCH(ROW(orderHistory[customer]),ROW(orderHistory[customer])),""),ROWS($A$15:A44)+$B$3))),IF($D$15="",INDEX(orderHistory[status],SMALL(IF(ISNUMBER(MATCH(orderHistory[order_type],$D$13,0)),MATCH(ROW(orderHistory[customer]),ROW(orderHistory[customer])),""),ROWS($A$15:A44)+$B$3)),INDEX(orderHistory[status],SMALL(IF(ISNUMBER(MATCH(orderHistory[order_type],$D$13,0)*MATCH(YEAR(orderHistory[invoice_date]),$D$15,0)),MATCH(ROW(orderHistory[customer]),ROW(orderHistory[customer])),""),ROWS($A$15:A44)+$B$3)))),IF($D$13="",IF($D$15="",INDEX(orderHistory[status],SMALL(IF(ISNUMBER(MATCH(orderHistory[status],$D$11,0)),MATCH(ROW(orderHistory[customer]),ROW(orderHistory[customer])),""),ROWS($A$15:A44)+$B$3)),INDEX(orderHistory[status],SMALL(IF(ISNUMBER(MATCH(orderHistory[status],$D$11,0)*MATCH(YEAR(orderHistory[invoice_date]),$D$15,0)),MATCH(ROW(orderHistory[customer]),ROW(orderHistory[customer])),""),ROWS($A$15:A44)+$B$3))),IF($D$15="",INDEX(orderHistory[status],SMALL(IF(ISNUMBER(MATCH(orderHistory[status],$D$11,0)*MATCH(orderHistory[order_type],$D$13,0)),MATCH(ROW(orderHistory[customer]),ROW(orderHistory[customer])),""),ROWS($A$15:A44)+$B$3)),INDEX(orderHistory[status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status],SMALL(IF(ISNUMBER(MATCH(orderHistory[customer],$D$9,0)),MATCH(ROW(orderHistory[customer]),ROW(orderHistory[customer])),""),ROWS($A$15:A44)+$B$3)),INDEX(orderHistory[status],SMALL(IF(ISNUMBER(MATCH(orderHistory[customer],$D$9,0)*MATCH(YEAR(orderHistory[invoice_date]),$D$15,0)),MATCH(ROW(orderHistory[customer]),ROW(orderHistory[customer])),""),ROWS($A$15:A44)+$B$3))),IF($D$15="",INDEX(orderHistory[status],SMALL(IF(ISNUMBER(MATCH(orderHistory[customer],$D$9,0)*MATCH(orderHistory[order_type],$D$13,0)),MATCH(ROW(orderHistory[customer]),ROW(orderHistory[customer])),""),ROWS($A$15:A44)+$B$3)),INDEX(orderHistory[status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status],SMALL(IF(ISNUMBER(MATCH(orderHistory[customer],$D$9,0)*MATCH(orderHistory[status],$D$11,0)),MATCH(ROW(orderHistory[customer]),ROW(orderHistory[customer])),""),ROWS($A$15:A44)+$B$3)),INDEX(orderHistory[status],SMALL(IF(ISNUMBER(MATCH(orderHistory[customer],$D$9,0)*MATCH(orderHistory[status],$D$11,0)*MATCH(YEAR(orderHistory[status]),$D$15,0)),MATCH(ROW(orderHistory[customer]),ROW(orderHistory[customer])),""),ROWS($A$15:A44)+$B$3))),IF($D$15="",INDEX(orderHistory[status],SMALL(IF(ISNUMBER(MATCH(orderHistory[customer],$D$9,0)*MATCH(orderHistory[status],$D$11,0)*MATCH(orderHistory[order_type],$D$13,0)),MATCH(ROW(orderHistory[customer]),ROW(orderHistory[customer])),""),ROWS($A$15:A44)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W39" s="107"/>
      <c r="AQ39" s="462"/>
      <c r="AR39" s="513"/>
      <c r="AS39" s="505"/>
      <c r="AT39" s="514"/>
      <c r="AU39" s="421"/>
      <c r="AW39" s="460"/>
      <c r="BJ39" s="421"/>
      <c r="BK39" s="450"/>
      <c r="BL39" s="451"/>
      <c r="BM39" s="452"/>
      <c r="BN39" s="451"/>
      <c r="BO39" s="452"/>
      <c r="BZ39" s="167"/>
      <c r="CA39" s="154" t="str">
        <f>IF(BZ39="","",INDEX(bhpc_data[description],MATCH(BZ39,bhpc_data[sku],0)))</f>
        <v/>
      </c>
      <c r="CB39" s="159"/>
      <c r="CC39" s="357"/>
      <c r="CD39" s="160"/>
      <c r="CE39" s="360"/>
      <c r="CF39" s="161"/>
      <c r="CG39" s="164" t="str">
        <f>IFERROR(ROUNDUP(CB39/INDEX(bhpc_data[units_per_carton],MATCH(BZ39,bhpc_data[sku],0)),0),"")</f>
        <v/>
      </c>
      <c r="CH39" s="165" t="str">
        <f>IFERROR(ROUNDUP(CD39/INDEX(bhpc_data[units_per_carton],MATCH(BZ39,bhpc_data[sku],0)),0),"")</f>
        <v/>
      </c>
      <c r="CI39" s="165" t="str">
        <f>IFERROR(ROUNDUP(CF39/INDEX(bhpc_data[units_per_carton],MATCH(BZ39,bhpc_data[sku])),0),"")</f>
        <v/>
      </c>
      <c r="CJ39" s="165" t="str">
        <f>IFERROR(((CB39+CD39+CF39)/INDEX(bhpc_data[units_per_carton],MATCH(BZ39,bhpc_data[sku],0)))*INDEX(bhpc_data[net_weight],MATCH(BZ39,bhpc_data[sku],0)),"")</f>
        <v/>
      </c>
      <c r="CK39" s="165" t="str">
        <f>IFERROR(((CB39+CD39+CF39)/INDEX(bhpc_data[units_per_carton],MATCH(BZ39,bhpc_data[sku],0)))*INDEX(bhpc_data[gross_weight],MATCH(BZ39,bhpc_data[sku],0)),"")</f>
        <v/>
      </c>
      <c r="CL39" s="180" t="str">
        <f>IFERROR((CB39+CD39+CF39)/INDEX(bhpc_data[units_per_carton],MATCH(BZ39,bhpc_data[sku],0))*INDEX(bhpc_data[lenght],MATCH(BZ39,bhpc_data[sku],0))*INDEX(bhpc_data[width],MATCH(BZ39,bhpc_data[sku],0))*INDEX(bhpc_data[height],MATCH(BZ39,bhpc_data[sku],0))/1000000000,"")</f>
        <v/>
      </c>
      <c r="CM39" s="189" t="str">
        <f>IFERROR(INDEX(bhpc_data[category],MATCH(BZ39,bhpc_data[sku],0)),"")</f>
        <v/>
      </c>
      <c r="CN39" s="189" t="str">
        <f>IFERROR(INDEX(bhpc_data[size1],MATCH(BZ39,bhpc_data[sku],0)),"")</f>
        <v/>
      </c>
      <c r="CO39" s="388" t="str">
        <f>IFERROR(INDEX(bhpc_data[hs_code],MATCH(BZ39,bhpc_data[sku],0)),"")</f>
        <v/>
      </c>
      <c r="CP39" s="377" t="str">
        <f>IFERROR(INDEX(inventory[ESISTENZA],MATCH(BZ39,inventory[ARTICOLO],0)),"")</f>
        <v/>
      </c>
      <c r="CQ39" s="367" t="str">
        <f>IFERROR(IF(BZ39="","",IF($BX$15="SALE",INDEX(inventory[COSTO UNITARIO],MATCH(BZ39,inventory[ARTICOLO],0)),IF($BX$15="SAMPLING",INDEX(inventory[COSTO UNITARIO],MATCH(BZ39,inventory[ARTICOLO],0)),""))),"")</f>
        <v/>
      </c>
      <c r="CR39" s="368" t="str">
        <f t="shared" si="0"/>
        <v/>
      </c>
      <c r="CS39" s="264" t="str">
        <f t="shared" si="1"/>
        <v/>
      </c>
      <c r="DA39" s="432" t="str">
        <f>IFERROR(VLOOKUP(BZ39,bhpc_data[],22,FALSE),"")</f>
        <v/>
      </c>
      <c r="DH39" s="296"/>
      <c r="EE39" s="202" t="str" cm="1">
        <f t="array" ref="EE39">IFERROR(IF($EC$9="",IF($EC$11="",IF($EC$13="",INDEX(bhpc_data[sku],SMALL(MATCH(ROW(bhpc_data[sku]),ROW(bhpc_data[sku])),ROWS($A$15:A44)+$B$3)),INDEX(bhpc_data[sku],SMALL(IF(ISNUMBER(MATCH(bhpc_data[size1],$EC$13,0)),MATCH(ROW(bhpc_data[sku]),ROW(bhpc_data[sku])),""),ROWS($A$15:A44)+$B$3))),IF($EC$13="",INDEX(bhpc_data[sku],SMALL(IF(ISNUMBER(MATCH(bhpc_data[sex],$EC$11,0)),MATCH(ROW(bhpc_data[sku]),ROW(bhpc_data[sku])),""),ROWS($A$15:A44)+$B$3)),INDEX(bhpc_data[sku],SMALL(IF(ISNUMBER(MATCH(bhpc_data[sex],$EC$11,0)*MATCH(bhpc_data[size1],$EC$13,0)),MATCH(ROW(bhpc_data[sku]),ROW(bhpc_data[sku])),""),ROWS($A$15:A44)+$B$3)))),IF($EC$11="",IF($EC$13="",INDEX(bhpc_data[sku],SMALL(IF(ISNUMBER(MATCH(bhpc_data[category],$EC$9,0)),MATCH(ROW(bhpc_data[sku]),ROW(bhpc_data[sku])),""),ROWS($A$15:A44)+$B$3)),INDEX(bhpc_data[sku],SMALL(IF(ISNUMBER(MATCH(bhpc_data[category],$EC$9,0)*MATCH(bhpc_data[size1],$EC$13,0)),MATCH(ROW(bhpc_data[sku]),ROW(bhpc_data[sku])),""),ROWS($A$15:A44)+$B$3))),IF($EC$13="",INDEX(bhpc_data[sku],SMALL(IF(ISNUMBER(MATCH(bhpc_data[category],$EC$9,0)*MATCH(bhpc_data[sex],$EC$11,0)),MATCH(ROW(bhpc_data[sku]),ROW(bhpc_data[sku])),""),ROWS($A$15:A44)+$B$3)),INDEX(bhpc_data[sku],SMALL(IF(ISNUMBER(MATCH(bhpc_data[category],$EC$9,0)*MATCH(bhpc_data[sex],$EC$11,0)*MATCH(bhpc_data[size1],$EC$13,0)),MATCH(ROW(bhpc_data[sku]),ROW(bhpc_data[sku])),""),ROWS($A$15:A44)+$B$3))))),"")</f>
        <v>GSTM89</v>
      </c>
      <c r="EF39" s="198" t="str" cm="1">
        <f t="array" ref="EF39">IFERROR(IF($EC$9="",IF($EC$11="",IF($EC$13="",INDEX(bhpc_data[description],SMALL(MATCH(ROW(bhpc_data[sku]),ROW(bhpc_data[sku])),ROWS($A$15:A44)+$B$3)),INDEX(bhpc_data[description],SMALL(IF(ISNUMBER(MATCH(bhpc_data[size1],$EC$13,0)),MATCH(ROW(bhpc_data[sku]),ROW(bhpc_data[sku])),""),ROWS($A$15:A44)+$B$3))),IF($EC$13="",INDEX(bhpc_data[description],SMALL(IF(ISNUMBER(MATCH(bhpc_data[sex],$EC$11,0)),MATCH(ROW(bhpc_data[sku]),ROW(bhpc_data[sku])),""),ROWS($A$15:A44)+$B$3)),INDEX(bhpc_data[description],SMALL(IF(ISNUMBER(MATCH(bhpc_data[sex],$EC$11,0)*MATCH(bhpc_data[size1],$EC$13,0)),MATCH(ROW(bhpc_data[sku]),ROW(bhpc_data[sku])),""),ROWS($A$15:A44)+$B$3)))),IF($EC$11="",IF($EC$13="",INDEX(bhpc_data[description],SMALL(IF(ISNUMBER(MATCH(bhpc_data[category],$EC$9,0)),MATCH(ROW(bhpc_data[sku]),ROW(bhpc_data[sku])),""),ROWS($A$15:A44)+$B$3)),INDEX(bhpc_data[description],SMALL(IF(ISNUMBER(MATCH(bhpc_data[category],$EC$9,0)*MATCH(bhpc_data[size1],$EC$13,0)),MATCH(ROW(bhpc_data[sku]),ROW(bhpc_data[sku])),""),ROWS($A$15:A44)+$B$3))),IF($EC$13="",INDEX(bhpc_data[description],SMALL(IF(ISNUMBER(MATCH(bhpc_data[category],$EC$9,0)*MATCH(bhpc_data[sex],$EC$11,0)),MATCH(ROW(bhpc_data[sku]),ROW(bhpc_data[sku])),""),ROWS($A$15:A44)+$B$3)),INDEX(bhpc_data[description],SMALL(IF(ISNUMBER(MATCH(bhpc_data[category],$EC$9,0)*MATCH(bhpc_data[sex],$EC$11,0)*MATCH(bhpc_data[size1],$EC$13,0)),MATCH(ROW(bhpc_data[sku]),ROW(bhpc_data[sku])),""),ROWS($A$15:A44)+$B$3))))),"")</f>
        <v>BHPC TWINPACK SPORTS MEN DEO #8 #9 175ML</v>
      </c>
      <c r="EG39" s="263">
        <f>IFERROR(IF(warehouse[[#This Row],[SKU]]="","",INDEX(inventory[ESISTENZA],MATCH(warehouse[[#This Row],[SKU]],inventory[ARTICOLO],0))),"")</f>
        <v>0</v>
      </c>
      <c r="EH39" s="328"/>
      <c r="EI39" s="328"/>
      <c r="EJ39" s="263"/>
      <c r="EK39" s="329"/>
      <c r="FF39" s="413"/>
      <c r="FG39" s="413"/>
      <c r="FH39" s="413"/>
      <c r="FI39" s="413"/>
      <c r="FJ39" s="413"/>
      <c r="FK39" s="413"/>
      <c r="FL39" s="413"/>
      <c r="FM39" s="413"/>
      <c r="FN39" s="413"/>
      <c r="FO39" s="413"/>
      <c r="FP39" s="413"/>
      <c r="FQ39" s="413"/>
      <c r="FR39" s="413"/>
      <c r="FS39" s="413"/>
      <c r="FT39" s="413"/>
      <c r="FU39" s="413"/>
      <c r="FV39" s="413"/>
      <c r="FW39" s="413"/>
      <c r="FX39" s="413"/>
      <c r="FY39" s="413"/>
      <c r="FZ39" s="413"/>
      <c r="GA39" s="413"/>
      <c r="GB39" s="413"/>
      <c r="GC39" s="413"/>
      <c r="GD39" s="413"/>
      <c r="GE39" s="413"/>
      <c r="GF39" s="413"/>
      <c r="GG39" s="413"/>
      <c r="GH39" s="413"/>
      <c r="GI39" s="413"/>
      <c r="GJ39" s="413"/>
      <c r="GK39" s="413"/>
      <c r="GL39" s="413"/>
      <c r="GM39" s="413"/>
      <c r="GN39" s="413"/>
      <c r="GO39" s="413"/>
      <c r="GP39" s="413"/>
      <c r="GQ39" s="413"/>
      <c r="GR39" s="413"/>
      <c r="GS39" s="413"/>
      <c r="GT39" s="413"/>
      <c r="GU39" s="413"/>
      <c r="GV39" s="413"/>
      <c r="GW39" s="413"/>
      <c r="GX39" s="413"/>
      <c r="GY39" s="413"/>
      <c r="GZ39" s="413"/>
      <c r="HA39" s="413"/>
      <c r="HB39" s="413"/>
      <c r="HC39" s="413"/>
      <c r="HD39" s="413"/>
      <c r="HE39" s="413"/>
      <c r="HF39" s="413"/>
      <c r="HG39" s="413"/>
      <c r="HH39" s="413"/>
      <c r="HI39" s="413"/>
      <c r="HJ39" s="413"/>
      <c r="HK39" s="413"/>
      <c r="HL39" s="413"/>
      <c r="HM39" s="413"/>
      <c r="HN39" s="413"/>
      <c r="HO39" s="413"/>
      <c r="HP39" s="413"/>
      <c r="HQ39" s="413"/>
      <c r="HR39" s="413"/>
      <c r="HS39" s="413"/>
      <c r="HT39" s="413"/>
    </row>
    <row r="40" spans="10:228" ht="15" customHeight="1" thickBot="1" x14ac:dyDescent="0.4">
      <c r="L40" s="539" t="str">
        <f t="array" ref="L40">IFERROR(IF($D$9="",IF($D$11="",IF($D$13="",IF($D$15="",INDEX(orderHistory[customer],SMALL(MATCH(ROW(orderHistory[customer]),ROW(orderHistory[customer])),ROWS($A$15:A45)+$B$3)),INDEX(orderHistory[customer],SMALL(IF(ISNUMBER(MATCH(YEAR(orderHistory[invoice_date]),$D$15,0)),MATCH(ROW(orderHistory[customer]),ROW(orderHistory[customer])),""),ROWS($A$15:A45)+$B$3))),IF($D$15="",INDEX(orderHistory[customer],SMALL(IF(ISNUMBER(MATCH(orderHistory[order_type],$D$13,0)),MATCH(ROW(orderHistory[customer]),ROW(orderHistory[customer])),""),ROWS($A$15:A45)+$B$3)),INDEX(orderHistory[customer],SMALL(IF(ISNUMBER(MATCH(orderHistory[order_type],$D$13,0)*MATCH(YEAR(orderHistory[invoice_date]),$D$15,0)),MATCH(ROW(orderHistory[customer]),ROW(orderHistory[customer])),""),ROWS($A$15:A45)+$B$3)))),IF($D$13="",IF($D$15="",INDEX(orderHistory[customer],SMALL(IF(ISNUMBER(MATCH(orderHistory[status],$D$11,0)),MATCH(ROW(orderHistory[customer]),ROW(orderHistory[customer])),""),ROWS($A$15:A45)+$B$3)),INDEX(orderHistory[customer],SMALL(IF(ISNUMBER(MATCH(orderHistory[status],$D$11,0)*MATCH(YEAR(orderHistory[invoice_date]),$D$15,0)),MATCH(ROW(orderHistory[customer]),ROW(orderHistory[customer])),""),ROWS($A$15:A45)+$B$3))),IF($D$15="",INDEX(orderHistory[customer],SMALL(IF(ISNUMBER(MATCH(orderHistory[status],$D$11,0)*MATCH(orderHistory[order_type],$D$13,0)),MATCH(ROW(orderHistory[customer]),ROW(orderHistory[customer])),""),ROWS($A$15:A45)+$B$3)),INDEX(orderHistory[customer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customer],SMALL(IF(ISNUMBER(MATCH(orderHistory[customer],$D$9,0)),MATCH(ROW(orderHistory[customer]),ROW(orderHistory[customer])),""),ROWS($A$15:A45)+$B$3)),INDEX(orderHistory[customer],SMALL(IF(ISNUMBER(MATCH(orderHistory[customer],$D$9,0)*MATCH(YEAR(orderHistory[invoice_date]),$D$15,0)),MATCH(ROW(orderHistory[customer]),ROW(orderHistory[customer])),""),ROWS($A$15:A45)+$B$3))),IF($D$15="",INDEX(orderHistory[customer],SMALL(IF(ISNUMBER(MATCH(orderHistory[customer],$D$9,0)*MATCH(orderHistory[order_type],$D$13,0)),MATCH(ROW(orderHistory[customer]),ROW(orderHistory[customer])),""),ROWS($A$15:A45)+$B$3)),INDEX(orderHistory[customer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customer],SMALL(IF(ISNUMBER(MATCH(orderHistory[customer],$D$9,0)*MATCH(orderHistory[status],$D$11,0)),MATCH(ROW(orderHistory[customer]),ROW(orderHistory[customer])),""),ROWS($A$15:A45)+$B$3)),INDEX(orderHistory[customer],SMALL(IF(ISNUMBER(MATCH(orderHistory[customer],$D$9,0)*MATCH(orderHistory[status],$D$11,0)*MATCH(YEAR(orderHistory[invoice_date]),$D$15,0)),MATCH(ROW(orderHistory[customer]),ROW(orderHistory[customer])),""),ROWS($A$15:A45)+$B$3))),IF($D$15="",INDEX(orderHistory[customer],SMALL(IF(ISNUMBER(MATCH(orderHistory[customer],$D$9,0)*MATCH(orderHistory[status],$D$11,0)*MATCH(orderHistory[order_type],$D$13,0)),MATCH(ROW(orderHistory[customer]),ROW(orderHistory[customer])),""),ROWS($A$15:A45)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M40" s="540" t="str">
        <f t="array" ref="M40">IFERROR(IF($D$9="",IF($D$11="",IF($D$13="",IF($D$15="",INDEX(orderHistory[order_no],SMALL(MATCH(ROW(orderHistory[customer]),ROW(orderHistory[customer])),ROWS($A$15:A45)+$B$3)),INDEX(orderHistory[order_no],SMALL(IF(ISNUMBER(MATCH(YEAR(orderHistory[invoice_date]),$D$15,0)),MATCH(ROW(orderHistory[customer]),ROW(orderHistory[customer])),""),ROWS($A$15:A45)+$B$3))),IF($D$15="",INDEX(orderHistory[order_no],SMALL(IF(ISNUMBER(MATCH(orderHistory[order_type],$D$13,0)),MATCH(ROW(orderHistory[customer]),ROW(orderHistory[customer])),""),ROWS($A$15:A45)+$B$3)),INDEX(orderHistory[order_no],SMALL(IF(ISNUMBER(MATCH(orderHistory[order_type],$D$13,0)*MATCH(YEAR(orderHistory[invoice_date]),$D$15,0)),MATCH(ROW(orderHistory[customer]),ROW(orderHistory[customer])),""),ROWS($A$15:A45)+$B$3)))),IF($D$13="",IF($D$15="",INDEX(orderHistory[order_no],SMALL(IF(ISNUMBER(MATCH(orderHistory[status],$D$11,0)),MATCH(ROW(orderHistory[customer]),ROW(orderHistory[customer])),""),ROWS($A$15:A45)+$B$3)),INDEX(orderHistory[order_no],SMALL(IF(ISNUMBER(MATCH(orderHistory[status],$D$11,0)*MATCH(YEAR(orderHistory[invoice_date]),$D$15,0)),MATCH(ROW(orderHistory[customer]),ROW(orderHistory[customer])),""),ROWS($A$15:A45)+$B$3))),IF($D$15="",INDEX(orderHistory[order_no],SMALL(IF(ISNUMBER(MATCH(orderHistory[status],$D$11,0)*MATCH(orderHistory[order_type],$D$13,0)),MATCH(ROW(orderHistory[customer]),ROW(orderHistory[customer])),""),ROWS($A$15:A45)+$B$3)),INDEX(orderHistory[order_no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no],SMALL(IF(ISNUMBER(MATCH(orderHistory[customer],$D$9,0)),MATCH(ROW(orderHistory[customer]),ROW(orderHistory[customer])),""),ROWS($A$15:A45)+$B$3)),INDEX(orderHistory[order_no],SMALL(IF(ISNUMBER(MATCH(orderHistory[customer],$D$9,0)*MATCH(YEAR(orderHistory[invoice_date]),$D$15,0)),MATCH(ROW(orderHistory[customer]),ROW(orderHistory[customer])),""),ROWS($A$15:A45)+$B$3))),IF($D$15="",INDEX(orderHistory[order_no],SMALL(IF(ISNUMBER(MATCH(orderHistory[customer],$D$9,0)*MATCH(orderHistory[order_type],$D$13,0)),MATCH(ROW(orderHistory[customer]),ROW(orderHistory[customer])),""),ROWS($A$15:A45)+$B$3)),INDEX(orderHistory[order_no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no],SMALL(IF(ISNUMBER(MATCH(orderHistory[customer],$D$9,0)*MATCH(orderHistory[status],$D$11,0)),MATCH(ROW(orderHistory[customer]),ROW(orderHistory[customer])),""),ROWS($A$15:A45)+$B$3)),INDEX(orderHistory[order_no],SMALL(IF(ISNUMBER(MATCH(orderHistory[customer],$D$9,0)*MATCH(orderHistory[status],$D$11,0)*MATCH(YEAR(orderHistory[invoice_date]),$D$15,0)),MATCH(ROW(orderHistory[customer]),ROW(orderHistory[customer])),""),ROWS($A$15:A45)+$B$3))),IF($D$15="",INDEX(orderHistory[order_no],SMALL(IF(ISNUMBER(MATCH(orderHistory[customer],$D$9,0)*MATCH(orderHistory[status],$D$11,0)*MATCH(orderHistory[order_type],$D$13,0)),MATCH(ROW(orderHistory[customer]),ROW(orderHistory[customer])),""),ROWS($A$15:A45)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N40" s="541" t="str">
        <f t="array" ref="N40">IFERROR(IF($D$9="",IF($D$11="",IF($D$13="",IF($D$15="",INDEX(orderHistory[order_type],SMALL(MATCH(ROW(orderHistory[customer]),ROW(orderHistory[customer])),ROWS($A$15:A45)+$B$3)),INDEX(orderHistory[order_type],SMALL(IF(ISNUMBER(MATCH(YEAR(orderHistory[invoice_date]),$D$15,0)),MATCH(ROW(orderHistory[customer]),ROW(orderHistory[customer])),""),ROWS($A$15:A45)+$B$3))),IF($D$15="",INDEX(orderHistory[order_type],SMALL(IF(ISNUMBER(MATCH(orderHistory[order_type],$D$13,0)),MATCH(ROW(orderHistory[customer]),ROW(orderHistory[customer])),""),ROWS($A$15:A45)+$B$3)),INDEX(orderHistory[order_type],SMALL(IF(ISNUMBER(MATCH(orderHistory[order_type],$D$13,0)*MATCH(YEAR(orderHistory[invoice_date]),$D$15,0)),MATCH(ROW(orderHistory[customer]),ROW(orderHistory[customer])),""),ROWS($A$15:A45)+$B$3)))),IF($D$13="",IF($D$15="",INDEX(orderHistory[order_type],SMALL(IF(ISNUMBER(MATCH(orderHistory[status],$D$11,0)),MATCH(ROW(orderHistory[customer]),ROW(orderHistory[customer])),""),ROWS($A$15:A45)+$B$3)),INDEX(orderHistory[order_type],SMALL(IF(ISNUMBER(MATCH(orderHistory[status],$D$11,0)*MATCH(YEAR(orderHistory[invoice_date]),$D$15,0)),MATCH(ROW(orderHistory[customer]),ROW(orderHistory[customer])),""),ROWS($A$15:A45)+$B$3))),IF($D$15="",INDEX(orderHistory[order_type],SMALL(IF(ISNUMBER(MATCH(orderHistory[status],$D$11,0)*MATCH(orderHistory[order_type],$D$13,0)),MATCH(ROW(orderHistory[customer]),ROW(orderHistory[customer])),""),ROWS($A$15:A45)+$B$3)),INDEX(orderHistory[order_typ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type],SMALL(IF(ISNUMBER(MATCH(orderHistory[customer],$D$9,0)),MATCH(ROW(orderHistory[customer]),ROW(orderHistory[customer])),""),ROWS($A$15:A45)+$B$3)),INDEX(orderHistory[order_type],SMALL(IF(ISNUMBER(MATCH(orderHistory[customer],$D$9,0)*MATCH(YEAR(orderHistory[invoice_date]),$D$15,0)),MATCH(ROW(orderHistory[customer]),ROW(orderHistory[customer])),""),ROWS($A$15:A45)+$B$3))),IF($D$15="",INDEX(orderHistory[order_type],SMALL(IF(ISNUMBER(MATCH(orderHistory[customer],$D$9,0)*MATCH(orderHistory[order_type],$D$13,0)),MATCH(ROW(orderHistory[customer]),ROW(orderHistory[customer])),""),ROWS($A$15:A45)+$B$3)),INDEX(orderHistory[order_typ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type],SMALL(IF(ISNUMBER(MATCH(orderHistory[customer],$D$9,0)*MATCH(orderHistory[status],$D$11,0)),MATCH(ROW(orderHistory[customer]),ROW(orderHistory[customer])),""),ROWS($A$15:A45)+$B$3)),INDEX(orderHistory[order_type],SMALL(IF(ISNUMBER(MATCH(orderHistory[customer],$D$9,0)*MATCH(orderHistory[status],$D$11,0)*MATCH(YEAR(orderHistory[invoice_date]),$D$15,0)),MATCH(ROW(orderHistory[customer]),ROW(orderHistory[customer])),""),ROWS($A$15:A45)+$B$3))),IF($D$15="",INDEX(orderHistory[order_type],SMALL(IF(ISNUMBER(MATCH(orderHistory[customer],$D$9,0)*MATCH(orderHistory[status],$D$11,0)*MATCH(orderHistory[order_type],$D$13,0)),MATCH(ROW(orderHistory[customer]),ROW(orderHistory[customer])),""),ROWS($A$15:A45)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O40" s="542" t="str">
        <f t="array" ref="O40">IFERROR(IF($D$9="",IF($D$11="",IF($D$13="",IF($D$15="",INDEX(orderHistory[order_date],SMALL(MATCH(ROW(orderHistory[customer]),ROW(orderHistory[customer])),ROWS($A$15:A45)+$B$3)),INDEX(orderHistory[order_date],SMALL(IF(ISNUMBER(MATCH(YEAR(orderHistory[invoice_date]),$D$15,0)),MATCH(ROW(orderHistory[customer]),ROW(orderHistory[customer])),""),ROWS($A$15:A45)+$B$3))),IF($D$15="",INDEX(orderHistory[order_date],SMALL(IF(ISNUMBER(MATCH(orderHistory[order_type],$D$13,0)),MATCH(ROW(orderHistory[customer]),ROW(orderHistory[customer])),""),ROWS($A$15:A45)+$B$3)),INDEX(orderHistory[order_date],SMALL(IF(ISNUMBER(MATCH(orderHistory[order_type],$D$13,0)*MATCH(YEAR(orderHistory[invoice_date]),$D$15,0)),MATCH(ROW(orderHistory[customer]),ROW(orderHistory[customer])),""),ROWS($A$15:A45)+$B$3)))),IF($D$13="",IF($D$15="",INDEX(orderHistory[order_date],SMALL(IF(ISNUMBER(MATCH(orderHistory[status],$D$11,0)),MATCH(ROW(orderHistory[customer]),ROW(orderHistory[customer])),""),ROWS($A$15:A45)+$B$3)),INDEX(orderHistory[order_date],SMALL(IF(ISNUMBER(MATCH(orderHistory[status],$D$11,0)*MATCH(YEAR(orderHistory[invoice_date]),$D$15,0)),MATCH(ROW(orderHistory[customer]),ROW(orderHistory[customer])),""),ROWS($A$15:A45)+$B$3))),IF($D$15="",INDEX(orderHistory[order_date],SMALL(IF(ISNUMBER(MATCH(orderHistory[status],$D$11,0)*MATCH(orderHistory[order_type],$D$13,0)),MATCH(ROW(orderHistory[customer]),ROW(orderHistory[customer])),""),ROWS($A$15:A45)+$B$3)),INDEX(orderHistory[order_dat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date],SMALL(IF(ISNUMBER(MATCH(orderHistory[customer],$D$9,0)),MATCH(ROW(orderHistory[customer]),ROW(orderHistory[customer])),""),ROWS($A$15:A45)+$B$3)),INDEX(orderHistory[order_date],SMALL(IF(ISNUMBER(MATCH(orderHistory[customer],$D$9,0)*MATCH(YEAR(orderHistory[invoice_date]),$D$15,0)),MATCH(ROW(orderHistory[customer]),ROW(orderHistory[customer])),""),ROWS($A$15:A45)+$B$3))),IF($D$15="",INDEX(orderHistory[order_date],SMALL(IF(ISNUMBER(MATCH(orderHistory[customer],$D$9,0)*MATCH(orderHistory[order_type],$D$13,0)),MATCH(ROW(orderHistory[customer]),ROW(orderHistory[customer])),""),ROWS($A$15:A45)+$B$3)),INDEX(orderHistory[order_dat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date],SMALL(IF(ISNUMBER(MATCH(orderHistory[customer],$D$9,0)*MATCH(orderHistory[status],$D$11,0)),MATCH(ROW(orderHistory[customer]),ROW(orderHistory[customer])),""),ROWS($A$15:A45)+$B$3)),INDEX(orderHistory[order_date],SMALL(IF(ISNUMBER(MATCH(orderHistory[customer],$D$9,0)*MATCH(orderHistory[status],$D$11,0)*MATCH(YEAR(orderHistory[invoice_date]),$D$15,0)),MATCH(ROW(orderHistory[customer]),ROW(orderHistory[customer])),""),ROWS($A$15:A45)+$B$3))),IF($D$15="",INDEX(orderHistory[order_date],SMALL(IF(ISNUMBER(MATCH(orderHistory[customer],$D$9,0)*MATCH(orderHistory[status],$D$11,0)*MATCH(orderHistory[order_type],$D$13,0)),MATCH(ROW(orderHistory[customer]),ROW(orderHistory[customer])),""),ROWS($A$15:A45)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P40" s="543" t="str">
        <f t="array" ref="P40">IFERROR(IF($D$9="",IF($D$11="",IF($D$13="",IF($D$15="",INDEX(orderHistory[invoice_no],SMALL(MATCH(ROW(orderHistory[customer]),ROW(orderHistory[customer])),ROWS($A$15:A45)+$B$3)),INDEX(orderHistory[invoice_no],SMALL(IF(ISNUMBER(MATCH(YEAR(orderHistory[invoice_date]),$D$15,0)),MATCH(ROW(orderHistory[customer]),ROW(orderHistory[customer])),""),ROWS($A$15:A45)+$B$3))),IF($D$15="",INDEX(orderHistory[invoice_no],SMALL(IF(ISNUMBER(MATCH(orderHistory[order_type],$D$13,0)),MATCH(ROW(orderHistory[customer]),ROW(orderHistory[customer])),""),ROWS($A$15:A45)+$B$3)),INDEX(orderHistory[invoice_no],SMALL(IF(ISNUMBER(MATCH(orderHistory[order_type],$D$13,0)*MATCH(YEAR(orderHistory[invoice_date]),$D$15,0)),MATCH(ROW(orderHistory[customer]),ROW(orderHistory[customer])),""),ROWS($A$15:A45)+$B$3)))),IF($D$13="",IF($D$15="",INDEX(orderHistory[invoice_no],SMALL(IF(ISNUMBER(MATCH(orderHistory[status],$D$11,0)),MATCH(ROW(orderHistory[customer]),ROW(orderHistory[customer])),""),ROWS($A$15:A45)+$B$3)),INDEX(orderHistory[invoice_no],SMALL(IF(ISNUMBER(MATCH(orderHistory[status],$D$11,0)*MATCH(YEAR(orderHistory[invoice_date]),$D$15,0)),MATCH(ROW(orderHistory[customer]),ROW(orderHistory[customer])),""),ROWS($A$15:A45)+$B$3))),IF($D$15="",INDEX(orderHistory[invoice_no],SMALL(IF(ISNUMBER(MATCH(orderHistory[status],$D$11,0)*MATCH(orderHistory[order_type],$D$13,0)),MATCH(ROW(orderHistory[customer]),ROW(orderHistory[customer])),""),ROWS($A$15:A45)+$B$3)),INDEX(orderHistory[invoice_no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oice_no],SMALL(IF(ISNUMBER(MATCH(orderHistory[customer],$D$9,0)),MATCH(ROW(orderHistory[customer]),ROW(orderHistory[customer])),""),ROWS($A$15:A45)+$B$3)),INDEX(orderHistory[invoice_no],SMALL(IF(ISNUMBER(MATCH(orderHistory[customer],$D$9,0)*MATCH(YEAR(orderHistory[invoice_date]),$D$15,0)),MATCH(ROW(orderHistory[customer]),ROW(orderHistory[customer])),""),ROWS($A$15:A45)+$B$3))),IF($D$15="",INDEX(orderHistory[invoice_no],SMALL(IF(ISNUMBER(MATCH(orderHistory[customer],$D$9,0)*MATCH(orderHistory[order_type],$D$13,0)),MATCH(ROW(orderHistory[customer]),ROW(orderHistory[customer])),""),ROWS($A$15:A45)+$B$3)),INDEX(orderHistory[invoice_no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YEAR(orderHistory[invoice_date]),$D$15,0)),MATCH(ROW(orderHistory[customer]),ROW(orderHistory[customer])),""),ROWS($A$15:A45)+$B$3))),IF($D$15="",INDEX(orderHistory[invoice_no],SMALL(IF(ISNUMBER(MATCH(orderHistory[customer],$D$9,0)*MATCH(orderHistory[status],$D$11,0)*MATCH(orderHistory[order_type],$D$13,0)),MATCH(ROW(orderHistory[customer]),ROW(orderHistory[customer])),""),ROWS($A$15:A45)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Q40" s="544" t="str">
        <f t="array" ref="Q40">IFERROR(IF($D$9="",IF($D$11="",IF($D$13="",IF($D$15="",INDEX(orderHistory[invoice_date],SMALL(MATCH(ROW(orderHistory[customer]),ROW(orderHistory[customer])),ROWS($A$15:A45)+$B$3)),INDEX(orderHistory[invoice_date],SMALL(IF(ISNUMBER(MATCH(YEAR(orderHistory[invoice_date]),$D$15,0)),MATCH(ROW(orderHistory[customer]),ROW(orderHistory[customer])),""),ROWS($A$15:A45)+$B$3))),IF($D$15="",INDEX(orderHistory[invoice_date],SMALL(IF(ISNUMBER(MATCH(orderHistory[order_type],$D$13,0)),MATCH(ROW(orderHistory[customer]),ROW(orderHistory[customer])),""),ROWS($A$15:A45)+$B$3)),INDEX(orderHistory[invoice_date],SMALL(IF(ISNUMBER(MATCH(orderHistory[order_type],$D$13,0)*MATCH(YEAR(orderHistory[invoice_date]),$D$15,0)),MATCH(ROW(orderHistory[customer]),ROW(orderHistory[customer])),""),ROWS($A$15:A45)+$B$3)))),IF($D$13="",IF($D$15="",INDEX(orderHistory[invoice_date],SMALL(IF(ISNUMBER(MATCH(orderHistory[status],$D$11,0)),MATCH(ROW(orderHistory[customer]),ROW(orderHistory[customer])),""),ROWS($A$15:A45)+$B$3)),INDEX(orderHistory[invoice_date],SMALL(IF(ISNUMBER(MATCH(orderHistory[status],$D$11,0)*MATCH(YEAR(orderHistory[invoice_date]),$D$15,0)),MATCH(ROW(orderHistory[customer]),ROW(orderHistory[customer])),""),ROWS($A$15:A45)+$B$3))),IF($D$15="",INDEX(orderHistory[invoice_date],SMALL(IF(ISNUMBER(MATCH(orderHistory[status],$D$11,0)*MATCH(orderHistory[order_type],$D$13,0)),MATCH(ROW(orderHistory[customer]),ROW(orderHistory[customer])),""),ROWS($A$15:A45)+$B$3)),INDEX(orderHistory[invoice_dat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oice_date],SMALL(IF(ISNUMBER(MATCH(orderHistory[customer],$D$9,0)),MATCH(ROW(orderHistory[customer]),ROW(orderHistory[customer])),""),ROWS($A$15:A45)+$B$3)),INDEX(orderHistory[invoice_date],SMALL(IF(ISNUMBER(MATCH(orderHistory[customer],$D$9,0)*MATCH(YEAR(orderHistory[invoice_date]),$D$15,0)),MATCH(ROW(orderHistory[customer]),ROW(orderHistory[customer])),""),ROWS($A$15:A45)+$B$3))),IF($D$15="",INDEX(orderHistory[invoice_date],SMALL(IF(ISNUMBER(MATCH(orderHistory[customer],$D$9,0)*MATCH(orderHistory[order_type],$D$13,0)),MATCH(ROW(orderHistory[customer]),ROW(orderHistory[customer])),""),ROWS($A$15:A45)+$B$3)),INDEX(orderHistory[invoice_dat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YEAR(orderHistory[invoice_date]),$D$15,0)),MATCH(ROW(orderHistory[customer]),ROW(orderHistory[customer])),""),ROWS($A$15:A45)+$B$3))),IF($D$15="",INDEX(orderHistory[invoice_date],SMALL(IF(ISNUMBER(MATCH(orderHistory[customer],$D$9,0)*MATCH(orderHistory[status],$D$11,0)*MATCH(orderHistory[order_type],$D$13,0)),MATCH(ROW(orderHistory[customer]),ROW(orderHistory[customer])),""),ROWS($A$15:A45)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R40" s="545" t="str">
        <f t="array" ref="R40">IFERROR(IF($D$9="",IF($D$11="",IF($D$13="",IF($D$15="",INDEX(orderHistory[inv_amount],SMALL(MATCH(ROW(orderHistory[customer]),ROW(orderHistory[customer])),ROWS($A$15:A45)+$B$3)),INDEX(orderHistory[inv_amount],SMALL(IF(ISNUMBER(MATCH(YEAR(orderHistory[invoice_date]),$D$15,0)),MATCH(ROW(orderHistory[customer]),ROW(orderHistory[customer])),""),ROWS($A$15:A45)+$B$3))),IF($D$15="",INDEX(orderHistory[inv_amount],SMALL(IF(ISNUMBER(MATCH(orderHistory[order_type],$D$13,0)),MATCH(ROW(orderHistory[customer]),ROW(orderHistory[customer])),""),ROWS($A$15:A45)+$B$3)),INDEX(orderHistory[inv_amount],SMALL(IF(ISNUMBER(MATCH(orderHistory[order_type],$D$13,0)*MATCH(YEAR(orderHistory[invoice_date]),$D$15,0)),MATCH(ROW(orderHistory[customer]),ROW(orderHistory[customer])),""),ROWS($A$15:A45)+$B$3)))),IF($D$13="",IF($D$15="",INDEX(orderHistory[inv_amount],SMALL(IF(ISNUMBER(MATCH(orderHistory[status],$D$11,0)),MATCH(ROW(orderHistory[customer]),ROW(orderHistory[customer])),""),ROWS($A$15:A45)+$B$3)),INDEX(orderHistory[inv_amount],SMALL(IF(ISNUMBER(MATCH(orderHistory[status],$D$11,0)*MATCH(YEAR(orderHistory[invoice_date]),$D$15,0)),MATCH(ROW(orderHistory[customer]),ROW(orderHistory[customer])),""),ROWS($A$15:A45)+$B$3))),IF($D$15="",INDEX(orderHistory[inv_amount],SMALL(IF(ISNUMBER(MATCH(orderHistory[status],$D$11,0)*MATCH(orderHistory[order_type],$D$13,0)),MATCH(ROW(orderHistory[customer]),ROW(orderHistory[customer])),""),ROWS($A$15:A45)+$B$3)),INDEX(orderHistory[inv_amount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_amount],SMALL(IF(ISNUMBER(MATCH(orderHistory[customer],$D$9,0)),MATCH(ROW(orderHistory[customer]),ROW(orderHistory[customer])),""),ROWS($A$15:A45)+$B$3)),INDEX(orderHistory[inv_amount],SMALL(IF(ISNUMBER(MATCH(orderHistory[customer],$D$9,0)*MATCH(YEAR(orderHistory[invoice_date]),$D$15,0)),MATCH(ROW(orderHistory[customer]),ROW(orderHistory[customer])),""),ROWS($A$15:A45)+$B$3))),IF($D$15="",INDEX(orderHistory[inv_amount],SMALL(IF(ISNUMBER(MATCH(orderHistory[customer],$D$9,0)*MATCH(orderHistory[order_type],$D$13,0)),MATCH(ROW(orderHistory[customer]),ROW(orderHistory[customer])),""),ROWS($A$15:A45)+$B$3)),INDEX(orderHistory[inv_amount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_amount],SMALL(IF(ISNUMBER(MATCH(orderHistory[customer],$D$9,0)*MATCH(orderHistory[status],$D$11,0)),MATCH(ROW(orderHistory[customer]),ROW(orderHistory[customer])),""),ROWS($A$15:A45)+$B$3)),INDEX(orderHistory[inv_amount],SMALL(IF(ISNUMBER(MATCH(orderHistory[customer],$D$9,0)*MATCH(orderHistory[status],$D$11,0)*MATCH(YEAR(orderHistory[inv_amount]),$D$15,0)),MATCH(ROW(orderHistory[customer]),ROW(orderHistory[customer])),""),ROWS($A$15:A45)+$B$3))),IF($D$15="",INDEX(orderHistory[inv_amount],SMALL(IF(ISNUMBER(MATCH(orderHistory[customer],$D$9,0)*MATCH(orderHistory[status],$D$11,0)*MATCH(orderHistory[order_type],$D$13,0)),MATCH(ROW(orderHistory[customer]),ROW(orderHistory[customer])),""),ROWS($A$15:A45)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S40" s="546" t="str">
        <f t="shared" si="2"/>
        <v/>
      </c>
      <c r="T40" s="547" t="str">
        <f t="array" ref="T40">IFERROR(IF($D$9="",IF($D$11="",IF($D$13="",IF($D$15="",INDEX(orderHistory[payed],SMALL(MATCH(ROW(orderHistory[customer]),ROW(orderHistory[customer])),ROWS($A$15:A45)+$B$3)),INDEX(orderHistory[payed],SMALL(IF(ISNUMBER(MATCH(YEAR(orderHistory[invoice_date]),$D$15,0)),MATCH(ROW(orderHistory[customer]),ROW(orderHistory[customer])),""),ROWS($A$15:A45)+$B$3))),IF($D$15="",INDEX(orderHistory[payed],SMALL(IF(ISNUMBER(MATCH(orderHistory[order_type],$D$13,0)),MATCH(ROW(orderHistory[customer]),ROW(orderHistory[customer])),""),ROWS($A$15:A45)+$B$3)),INDEX(orderHistory[payed],SMALL(IF(ISNUMBER(MATCH(orderHistory[order_type],$D$13,0)*MATCH(YEAR(orderHistory[invoice_date]),$D$15,0)),MATCH(ROW(orderHistory[customer]),ROW(orderHistory[customer])),""),ROWS($A$15:A45)+$B$3)))),IF($D$13="",IF($D$15="",INDEX(orderHistory[payed],SMALL(IF(ISNUMBER(MATCH(orderHistory[status],$D$11,0)),MATCH(ROW(orderHistory[customer]),ROW(orderHistory[customer])),""),ROWS($A$15:A45)+$B$3)),INDEX(orderHistory[payed],SMALL(IF(ISNUMBER(MATCH(orderHistory[status],$D$11,0)*MATCH(YEAR(orderHistory[invoice_date]),$D$15,0)),MATCH(ROW(orderHistory[customer]),ROW(orderHistory[customer])),""),ROWS($A$15:A45)+$B$3))),IF($D$15="",INDEX(orderHistory[payed],SMALL(IF(ISNUMBER(MATCH(orderHistory[status],$D$11,0)*MATCH(orderHistory[order_type],$D$13,0)),MATCH(ROW(orderHistory[customer]),ROW(orderHistory[customer])),""),ROWS($A$15:A45)+$B$3)),INDEX(orderHistory[payed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payed],SMALL(IF(ISNUMBER(MATCH(orderHistory[customer],$D$9,0)),MATCH(ROW(orderHistory[customer]),ROW(orderHistory[customer])),""),ROWS($A$15:A45)+$B$3)),INDEX(orderHistory[payed],SMALL(IF(ISNUMBER(MATCH(orderHistory[customer],$D$9,0)*MATCH(YEAR(orderHistory[invoice_date]),$D$15,0)),MATCH(ROW(orderHistory[customer]),ROW(orderHistory[customer])),""),ROWS($A$15:A45)+$B$3))),IF($D$15="",INDEX(orderHistory[payed],SMALL(IF(ISNUMBER(MATCH(orderHistory[customer],$D$9,0)*MATCH(orderHistory[order_type],$D$13,0)),MATCH(ROW(orderHistory[customer]),ROW(orderHistory[customer])),""),ROWS($A$15:A45)+$B$3)),INDEX(orderHistory[payed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payed],SMALL(IF(ISNUMBER(MATCH(orderHistory[customer],$D$9,0)*MATCH(orderHistory[status],$D$11,0)),MATCH(ROW(orderHistory[customer]),ROW(orderHistory[customer])),""),ROWS($A$15:A45)+$B$3)),INDEX(orderHistory[payed],SMALL(IF(ISNUMBER(MATCH(orderHistory[customer],$D$9,0)*MATCH(orderHistory[status],$D$11,0)*MATCH(YEAR(orderHistory[payed]),$D$15,0)),MATCH(ROW(orderHistory[customer]),ROW(orderHistory[customer])),""),ROWS($A$15:A45)+$B$3))),IF($D$15="",INDEX(orderHistory[payed],SMALL(IF(ISNUMBER(MATCH(orderHistory[customer],$D$9,0)*MATCH(orderHistory[status],$D$11,0)*MATCH(orderHistory[order_type],$D$13,0)),MATCH(ROW(orderHistory[customer]),ROW(orderHistory[customer])),""),ROWS($A$15:A45)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U40" s="541" t="str">
        <f t="array" ref="U40">IFERROR(IF($D$9="",IF($D$11="",IF($D$13="",IF($D$15="",INDEX(orderHistory[shipping_method],SMALL(MATCH(ROW(orderHistory[customer]),ROW(orderHistory[customer])),ROWS($A$15:A45)+$B$3)),INDEX(orderHistory[shipping_method],SMALL(IF(ISNUMBER(MATCH(YEAR(orderHistory[invoice_date]),$D$15,0)),MATCH(ROW(orderHistory[customer]),ROW(orderHistory[customer])),""),ROWS($A$15:A45)+$B$3))),IF($D$15="",INDEX(orderHistory[shipping_method],SMALL(IF(ISNUMBER(MATCH(orderHistory[order_type],$D$13,0)),MATCH(ROW(orderHistory[customer]),ROW(orderHistory[customer])),""),ROWS($A$15:A45)+$B$3)),INDEX(orderHistory[shipping_method],SMALL(IF(ISNUMBER(MATCH(orderHistory[order_type],$D$13,0)*MATCH(YEAR(orderHistory[invoice_date]),$D$15,0)),MATCH(ROW(orderHistory[customer]),ROW(orderHistory[customer])),""),ROWS($A$15:A45)+$B$3)))),IF($D$13="",IF($D$15="",INDEX(orderHistory[shipping_method],SMALL(IF(ISNUMBER(MATCH(orderHistory[status],$D$11,0)),MATCH(ROW(orderHistory[customer]),ROW(orderHistory[customer])),""),ROWS($A$15:A45)+$B$3)),INDEX(orderHistory[shipping_method],SMALL(IF(ISNUMBER(MATCH(orderHistory[status],$D$11,0)*MATCH(YEAR(orderHistory[invoice_date]),$D$15,0)),MATCH(ROW(orderHistory[customer]),ROW(orderHistory[customer])),""),ROWS($A$15:A45)+$B$3))),IF($D$15="",INDEX(orderHistory[shipping_method],SMALL(IF(ISNUMBER(MATCH(orderHistory[status],$D$11,0)*MATCH(orderHistory[order_type],$D$13,0)),MATCH(ROW(orderHistory[customer]),ROW(orderHistory[customer])),""),ROWS($A$15:A45)+$B$3)),INDEX(orderHistory[shipping_method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shipping_method],SMALL(IF(ISNUMBER(MATCH(orderHistory[customer],$D$9,0)),MATCH(ROW(orderHistory[customer]),ROW(orderHistory[customer])),""),ROWS($A$15:A45)+$B$3)),INDEX(orderHistory[shipping_method],SMALL(IF(ISNUMBER(MATCH(orderHistory[customer],$D$9,0)*MATCH(YEAR(orderHistory[invoice_date]),$D$15,0)),MATCH(ROW(orderHistory[customer]),ROW(orderHistory[customer])),""),ROWS($A$15:A45)+$B$3))),IF($D$15="",INDEX(orderHistory[shipping_method],SMALL(IF(ISNUMBER(MATCH(orderHistory[customer],$D$9,0)*MATCH(orderHistory[order_type],$D$13,0)),MATCH(ROW(orderHistory[customer]),ROW(orderHistory[customer])),""),ROWS($A$15:A45)+$B$3)),INDEX(orderHistory[shipping_method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shipping_method],SMALL(IF(ISNUMBER(MATCH(orderHistory[customer],$D$9,0)*MATCH(orderHistory[status],$D$11,0)),MATCH(ROW(orderHistory[customer]),ROW(orderHistory[customer])),""),ROWS($A$15:A45)+$B$3)),INDEX(orderHistory[shipping_method],SMALL(IF(ISNUMBER(MATCH(orderHistory[customer],$D$9,0)*MATCH(orderHistory[status],$D$11,0)*MATCH(YEAR(orderHistory[shipping_method]),$D$15,0)),MATCH(ROW(orderHistory[customer]),ROW(orderHistory[customer])),""),ROWS($A$15:A45)+$B$3))),IF($D$15="",INDEX(orderHistory[shipping_method],SMALL(IF(ISNUMBER(MATCH(orderHistory[customer],$D$9,0)*MATCH(orderHistory[status],$D$11,0)*MATCH(orderHistory[order_type],$D$13,0)),MATCH(ROW(orderHistory[customer]),ROW(orderHistory[customer])),""),ROWS($A$15:A45)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V40" s="548" t="str">
        <f t="array" ref="V40">IFERROR(IF($D$9="",IF($D$11="",IF($D$13="",IF($D$15="",INDEX(orderHistory[status],SMALL(MATCH(ROW(orderHistory[customer]),ROW(orderHistory[customer])),ROWS($A$15:A45)+$B$3)),INDEX(orderHistory[status],SMALL(IF(ISNUMBER(MATCH(YEAR(orderHistory[invoice_date]),$D$15,0)),MATCH(ROW(orderHistory[customer]),ROW(orderHistory[customer])),""),ROWS($A$15:A45)+$B$3))),IF($D$15="",INDEX(orderHistory[status],SMALL(IF(ISNUMBER(MATCH(orderHistory[order_type],$D$13,0)),MATCH(ROW(orderHistory[customer]),ROW(orderHistory[customer])),""),ROWS($A$15:A45)+$B$3)),INDEX(orderHistory[status],SMALL(IF(ISNUMBER(MATCH(orderHistory[order_type],$D$13,0)*MATCH(YEAR(orderHistory[invoice_date]),$D$15,0)),MATCH(ROW(orderHistory[customer]),ROW(orderHistory[customer])),""),ROWS($A$15:A45)+$B$3)))),IF($D$13="",IF($D$15="",INDEX(orderHistory[status],SMALL(IF(ISNUMBER(MATCH(orderHistory[status],$D$11,0)),MATCH(ROW(orderHistory[customer]),ROW(orderHistory[customer])),""),ROWS($A$15:A45)+$B$3)),INDEX(orderHistory[status],SMALL(IF(ISNUMBER(MATCH(orderHistory[status],$D$11,0)*MATCH(YEAR(orderHistory[invoice_date]),$D$15,0)),MATCH(ROW(orderHistory[customer]),ROW(orderHistory[customer])),""),ROWS($A$15:A45)+$B$3))),IF($D$15="",INDEX(orderHistory[status],SMALL(IF(ISNUMBER(MATCH(orderHistory[status],$D$11,0)*MATCH(orderHistory[order_type],$D$13,0)),MATCH(ROW(orderHistory[customer]),ROW(orderHistory[customer])),""),ROWS($A$15:A45)+$B$3)),INDEX(orderHistory[status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status],SMALL(IF(ISNUMBER(MATCH(orderHistory[customer],$D$9,0)),MATCH(ROW(orderHistory[customer]),ROW(orderHistory[customer])),""),ROWS($A$15:A45)+$B$3)),INDEX(orderHistory[status],SMALL(IF(ISNUMBER(MATCH(orderHistory[customer],$D$9,0)*MATCH(YEAR(orderHistory[invoice_date]),$D$15,0)),MATCH(ROW(orderHistory[customer]),ROW(orderHistory[customer])),""),ROWS($A$15:A45)+$B$3))),IF($D$15="",INDEX(orderHistory[status],SMALL(IF(ISNUMBER(MATCH(orderHistory[customer],$D$9,0)*MATCH(orderHistory[order_type],$D$13,0)),MATCH(ROW(orderHistory[customer]),ROW(orderHistory[customer])),""),ROWS($A$15:A45)+$B$3)),INDEX(orderHistory[status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status],SMALL(IF(ISNUMBER(MATCH(orderHistory[customer],$D$9,0)*MATCH(orderHistory[status],$D$11,0)),MATCH(ROW(orderHistory[customer]),ROW(orderHistory[customer])),""),ROWS($A$15:A45)+$B$3)),INDEX(orderHistory[status],SMALL(IF(ISNUMBER(MATCH(orderHistory[customer],$D$9,0)*MATCH(orderHistory[status],$D$11,0)*MATCH(YEAR(orderHistory[status]),$D$15,0)),MATCH(ROW(orderHistory[customer]),ROW(orderHistory[customer])),""),ROWS($A$15:A45)+$B$3))),IF($D$15="",INDEX(orderHistory[status],SMALL(IF(ISNUMBER(MATCH(orderHistory[customer],$D$9,0)*MATCH(orderHistory[status],$D$11,0)*MATCH(orderHistory[order_type],$D$13,0)),MATCH(ROW(orderHistory[customer]),ROW(orderHistory[customer])),""),ROWS($A$15:A45)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W40" s="107"/>
      <c r="AQ40" s="480"/>
      <c r="AR40" s="428"/>
      <c r="AS40" s="428"/>
      <c r="AT40" s="428"/>
      <c r="AU40" s="429"/>
      <c r="AW40" s="482"/>
      <c r="AX40" s="428"/>
      <c r="AY40" s="428"/>
      <c r="AZ40" s="428"/>
      <c r="BA40" s="428"/>
      <c r="BB40" s="428"/>
      <c r="BC40" s="428"/>
      <c r="BD40" s="428"/>
      <c r="BE40" s="428"/>
      <c r="BF40" s="428"/>
      <c r="BG40" s="483"/>
      <c r="BH40" s="428"/>
      <c r="BI40" s="428"/>
      <c r="BJ40" s="429"/>
      <c r="BK40" s="450"/>
      <c r="BL40" s="451"/>
      <c r="BM40" s="452"/>
      <c r="BN40" s="451"/>
      <c r="BO40" s="452"/>
      <c r="BZ40" s="158"/>
      <c r="CA40" s="154" t="str">
        <f>IF(BZ40="","",INDEX(bhpc_data[description],MATCH(BZ40,bhpc_data[sku],0)))</f>
        <v/>
      </c>
      <c r="CB40" s="159"/>
      <c r="CC40" s="357"/>
      <c r="CD40" s="160"/>
      <c r="CE40" s="360"/>
      <c r="CF40" s="161"/>
      <c r="CG40" s="164" t="str">
        <f>IFERROR(ROUNDUP(CB40/INDEX(bhpc_data[units_per_carton],MATCH(BZ40,bhpc_data[sku],0)),0),"")</f>
        <v/>
      </c>
      <c r="CH40" s="165" t="str">
        <f>IFERROR(ROUNDUP(CD40/INDEX(bhpc_data[units_per_carton],MATCH(BZ40,bhpc_data[sku],0)),0),"")</f>
        <v/>
      </c>
      <c r="CI40" s="165" t="str">
        <f>IFERROR(ROUNDUP(CF40/INDEX(bhpc_data[units_per_carton],MATCH(BZ40,bhpc_data[sku])),0),"")</f>
        <v/>
      </c>
      <c r="CJ40" s="165" t="str">
        <f>IFERROR(((CB40+CD40+CF40)/INDEX(bhpc_data[units_per_carton],MATCH(BZ40,bhpc_data[sku],0)))*INDEX(bhpc_data[net_weight],MATCH(BZ40,bhpc_data[sku],0)),"")</f>
        <v/>
      </c>
      <c r="CK40" s="165" t="str">
        <f>IFERROR(((CB40+CD40+CF40)/INDEX(bhpc_data[units_per_carton],MATCH(BZ40,bhpc_data[sku],0)))*INDEX(bhpc_data[gross_weight],MATCH(BZ40,bhpc_data[sku],0)),"")</f>
        <v/>
      </c>
      <c r="CL40" s="180" t="str">
        <f>IFERROR((CB40+CD40+CF40)/INDEX(bhpc_data[units_per_carton],MATCH(BZ40,bhpc_data[sku],0))*INDEX(bhpc_data[lenght],MATCH(BZ40,bhpc_data[sku],0))*INDEX(bhpc_data[width],MATCH(BZ40,bhpc_data[sku],0))*INDEX(bhpc_data[height],MATCH(BZ40,bhpc_data[sku],0))/1000000000,"")</f>
        <v/>
      </c>
      <c r="CM40" s="189" t="str">
        <f>IFERROR(INDEX(bhpc_data[category],MATCH(BZ40,bhpc_data[sku],0)),"")</f>
        <v/>
      </c>
      <c r="CN40" s="189" t="str">
        <f>IFERROR(INDEX(bhpc_data[size1],MATCH(BZ40,bhpc_data[sku],0)),"")</f>
        <v/>
      </c>
      <c r="CO40" s="388" t="str">
        <f>IFERROR(INDEX(bhpc_data[hs_code],MATCH(BZ40,bhpc_data[sku],0)),"")</f>
        <v/>
      </c>
      <c r="CP40" s="377" t="str">
        <f>IFERROR(INDEX(inventory[ESISTENZA],MATCH(BZ40,inventory[ARTICOLO],0)),"")</f>
        <v/>
      </c>
      <c r="CQ40" s="364" t="str">
        <f>IFERROR(IF(BZ40="","",IF($BX$15="SALE",INDEX(inventory[COSTO UNITARIO],MATCH(BZ40,inventory[ARTICOLO],0)),IF($BX$15="SAMPLING",INDEX(inventory[COSTO UNITARIO],MATCH(BZ40,inventory[ARTICOLO],0)),""))),"")</f>
        <v/>
      </c>
      <c r="CR40" s="365" t="str">
        <f t="shared" si="0"/>
        <v/>
      </c>
      <c r="CS40" s="264" t="str">
        <f t="shared" si="1"/>
        <v/>
      </c>
      <c r="DA40" s="432" t="str">
        <f>IFERROR(VLOOKUP(BZ40,bhpc_data[],22,FALSE),"")</f>
        <v/>
      </c>
      <c r="DH40" s="296"/>
      <c r="EE40" s="202" t="str" cm="1">
        <f t="array" ref="EE40">IFERROR(IF($EC$9="",IF($EC$11="",IF($EC$13="",INDEX(bhpc_data[sku],SMALL(MATCH(ROW(bhpc_data[sku]),ROW(bhpc_data[sku])),ROWS($A$15:A45)+$B$3)),INDEX(bhpc_data[sku],SMALL(IF(ISNUMBER(MATCH(bhpc_data[size1],$EC$13,0)),MATCH(ROW(bhpc_data[sku]),ROW(bhpc_data[sku])),""),ROWS($A$15:A45)+$B$3))),IF($EC$13="",INDEX(bhpc_data[sku],SMALL(IF(ISNUMBER(MATCH(bhpc_data[sex],$EC$11,0)),MATCH(ROW(bhpc_data[sku]),ROW(bhpc_data[sku])),""),ROWS($A$15:A45)+$B$3)),INDEX(bhpc_data[sku],SMALL(IF(ISNUMBER(MATCH(bhpc_data[sex],$EC$11,0)*MATCH(bhpc_data[size1],$EC$13,0)),MATCH(ROW(bhpc_data[sku]),ROW(bhpc_data[sku])),""),ROWS($A$15:A45)+$B$3)))),IF($EC$11="",IF($EC$13="",INDEX(bhpc_data[sku],SMALL(IF(ISNUMBER(MATCH(bhpc_data[category],$EC$9,0)),MATCH(ROW(bhpc_data[sku]),ROW(bhpc_data[sku])),""),ROWS($A$15:A45)+$B$3)),INDEX(bhpc_data[sku],SMALL(IF(ISNUMBER(MATCH(bhpc_data[category],$EC$9,0)*MATCH(bhpc_data[size1],$EC$13,0)),MATCH(ROW(bhpc_data[sku]),ROW(bhpc_data[sku])),""),ROWS($A$15:A45)+$B$3))),IF($EC$13="",INDEX(bhpc_data[sku],SMALL(IF(ISNUMBER(MATCH(bhpc_data[category],$EC$9,0)*MATCH(bhpc_data[sex],$EC$11,0)),MATCH(ROW(bhpc_data[sku]),ROW(bhpc_data[sku])),""),ROWS($A$15:A45)+$B$3)),INDEX(bhpc_data[sku],SMALL(IF(ISNUMBER(MATCH(bhpc_data[category],$EC$9,0)*MATCH(bhpc_data[sex],$EC$11,0)*MATCH(bhpc_data[size1],$EC$13,0)),MATCH(ROW(bhpc_data[sku]),ROW(bhpc_data[sku])),""),ROWS($A$15:A45)+$B$3))))),"")</f>
        <v>GSTRO3</v>
      </c>
      <c r="EF40" s="198" t="str" cm="1">
        <f t="array" ref="EF40">IFERROR(IF($EC$9="",IF($EC$11="",IF($EC$13="",INDEX(bhpc_data[description],SMALL(MATCH(ROW(bhpc_data[sku]),ROW(bhpc_data[sku])),ROWS($A$15:A45)+$B$3)),INDEX(bhpc_data[description],SMALL(IF(ISNUMBER(MATCH(bhpc_data[size1],$EC$13,0)),MATCH(ROW(bhpc_data[sku]),ROW(bhpc_data[sku])),""),ROWS($A$15:A45)+$B$3))),IF($EC$13="",INDEX(bhpc_data[description],SMALL(IF(ISNUMBER(MATCH(bhpc_data[sex],$EC$11,0)),MATCH(ROW(bhpc_data[sku]),ROW(bhpc_data[sku])),""),ROWS($A$15:A45)+$B$3)),INDEX(bhpc_data[description],SMALL(IF(ISNUMBER(MATCH(bhpc_data[sex],$EC$11,0)*MATCH(bhpc_data[size1],$EC$13,0)),MATCH(ROW(bhpc_data[sku]),ROW(bhpc_data[sku])),""),ROWS($A$15:A45)+$B$3)))),IF($EC$11="",IF($EC$13="",INDEX(bhpc_data[description],SMALL(IF(ISNUMBER(MATCH(bhpc_data[category],$EC$9,0)),MATCH(ROW(bhpc_data[sku]),ROW(bhpc_data[sku])),""),ROWS($A$15:A45)+$B$3)),INDEX(bhpc_data[description],SMALL(IF(ISNUMBER(MATCH(bhpc_data[category],$EC$9,0)*MATCH(bhpc_data[size1],$EC$13,0)),MATCH(ROW(bhpc_data[sku]),ROW(bhpc_data[sku])),""),ROWS($A$15:A45)+$B$3))),IF($EC$13="",INDEX(bhpc_data[description],SMALL(IF(ISNUMBER(MATCH(bhpc_data[category],$EC$9,0)*MATCH(bhpc_data[sex],$EC$11,0)),MATCH(ROW(bhpc_data[sku]),ROW(bhpc_data[sku])),""),ROWS($A$15:A45)+$B$3)),INDEX(bhpc_data[description],SMALL(IF(ISNUMBER(MATCH(bhpc_data[category],$EC$9,0)*MATCH(bhpc_data[sex],$EC$11,0)*MATCH(bhpc_data[size1],$EC$13,0)),MATCH(ROW(bhpc_data[sku]),ROW(bhpc_data[sku])),""),ROWS($A$15:A45)+$B$3))))),"")</f>
        <v xml:space="preserve">BHPC GIFTSET PRESTIGE TROPHY EDP100ML + DEO 300ML </v>
      </c>
      <c r="EG40" s="263">
        <f>IFERROR(IF(warehouse[[#This Row],[SKU]]="","",INDEX(inventory[ESISTENZA],MATCH(warehouse[[#This Row],[SKU]],inventory[ARTICOLO],0))),"")</f>
        <v>0</v>
      </c>
      <c r="EH40" s="328"/>
      <c r="EI40" s="328"/>
      <c r="EJ40" s="263"/>
      <c r="EK40" s="329"/>
      <c r="FF40" s="413"/>
      <c r="FG40" s="413"/>
      <c r="FH40" s="413"/>
      <c r="FI40" s="413"/>
      <c r="FJ40" s="413"/>
      <c r="FK40" s="413"/>
      <c r="FL40" s="413"/>
      <c r="FM40" s="413"/>
      <c r="FN40" s="413"/>
      <c r="FO40" s="413"/>
      <c r="FP40" s="413"/>
      <c r="FQ40" s="413"/>
      <c r="FR40" s="413"/>
      <c r="FS40" s="413"/>
      <c r="FT40" s="413"/>
      <c r="FU40" s="413"/>
      <c r="FV40" s="413"/>
      <c r="FW40" s="413"/>
      <c r="FX40" s="413"/>
      <c r="FY40" s="413"/>
      <c r="FZ40" s="413"/>
      <c r="GA40" s="413"/>
      <c r="GB40" s="413"/>
      <c r="GC40" s="413"/>
      <c r="GD40" s="413"/>
      <c r="GE40" s="413"/>
      <c r="GF40" s="413"/>
      <c r="GG40" s="413"/>
      <c r="GH40" s="413"/>
      <c r="GI40" s="413"/>
      <c r="GJ40" s="413"/>
      <c r="GK40" s="413"/>
      <c r="GL40" s="413"/>
      <c r="GM40" s="413"/>
      <c r="GN40" s="413"/>
      <c r="GO40" s="413"/>
      <c r="GP40" s="413"/>
      <c r="GQ40" s="413"/>
      <c r="GR40" s="413"/>
      <c r="GS40" s="413"/>
      <c r="GT40" s="413"/>
      <c r="GU40" s="413"/>
      <c r="GV40" s="413"/>
      <c r="GW40" s="413"/>
      <c r="GX40" s="413"/>
      <c r="GY40" s="413"/>
      <c r="GZ40" s="413"/>
      <c r="HA40" s="413"/>
      <c r="HB40" s="413"/>
      <c r="HC40" s="413"/>
      <c r="HD40" s="413"/>
      <c r="HE40" s="413"/>
      <c r="HF40" s="413"/>
      <c r="HG40" s="413"/>
      <c r="HH40" s="413"/>
      <c r="HI40" s="413"/>
      <c r="HJ40" s="413"/>
      <c r="HK40" s="413"/>
      <c r="HL40" s="413"/>
      <c r="HM40" s="413"/>
      <c r="HN40" s="413"/>
      <c r="HO40" s="413"/>
      <c r="HP40" s="413"/>
      <c r="HQ40" s="413"/>
      <c r="HR40" s="413"/>
      <c r="HS40" s="413"/>
      <c r="HT40" s="413"/>
    </row>
    <row r="41" spans="10:228" ht="15" customHeight="1" x14ac:dyDescent="0.35">
      <c r="L41" s="539" t="str">
        <f t="array" ref="L41">IFERROR(IF($D$9="",IF($D$11="",IF($D$13="",IF($D$15="",INDEX(orderHistory[customer],SMALL(MATCH(ROW(orderHistory[customer]),ROW(orderHistory[customer])),ROWS($A$15:A46)+$B$3)),INDEX(orderHistory[customer],SMALL(IF(ISNUMBER(MATCH(YEAR(orderHistory[invoice_date]),$D$15,0)),MATCH(ROW(orderHistory[customer]),ROW(orderHistory[customer])),""),ROWS($A$15:A46)+$B$3))),IF($D$15="",INDEX(orderHistory[customer],SMALL(IF(ISNUMBER(MATCH(orderHistory[order_type],$D$13,0)),MATCH(ROW(orderHistory[customer]),ROW(orderHistory[customer])),""),ROWS($A$15:A46)+$B$3)),INDEX(orderHistory[customer],SMALL(IF(ISNUMBER(MATCH(orderHistory[order_type],$D$13,0)*MATCH(YEAR(orderHistory[invoice_date]),$D$15,0)),MATCH(ROW(orderHistory[customer]),ROW(orderHistory[customer])),""),ROWS($A$15:A46)+$B$3)))),IF($D$13="",IF($D$15="",INDEX(orderHistory[customer],SMALL(IF(ISNUMBER(MATCH(orderHistory[status],$D$11,0)),MATCH(ROW(orderHistory[customer]),ROW(orderHistory[customer])),""),ROWS($A$15:A46)+$B$3)),INDEX(orderHistory[customer],SMALL(IF(ISNUMBER(MATCH(orderHistory[status],$D$11,0)*MATCH(YEAR(orderHistory[invoice_date]),$D$15,0)),MATCH(ROW(orderHistory[customer]),ROW(orderHistory[customer])),""),ROWS($A$15:A46)+$B$3))),IF($D$15="",INDEX(orderHistory[customer],SMALL(IF(ISNUMBER(MATCH(orderHistory[status],$D$11,0)*MATCH(orderHistory[order_type],$D$13,0)),MATCH(ROW(orderHistory[customer]),ROW(orderHistory[customer])),""),ROWS($A$15:A46)+$B$3)),INDEX(orderHistory[customer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customer],SMALL(IF(ISNUMBER(MATCH(orderHistory[customer],$D$9,0)),MATCH(ROW(orderHistory[customer]),ROW(orderHistory[customer])),""),ROWS($A$15:A46)+$B$3)),INDEX(orderHistory[customer],SMALL(IF(ISNUMBER(MATCH(orderHistory[customer],$D$9,0)*MATCH(YEAR(orderHistory[invoice_date]),$D$15,0)),MATCH(ROW(orderHistory[customer]),ROW(orderHistory[customer])),""),ROWS($A$15:A46)+$B$3))),IF($D$15="",INDEX(orderHistory[customer],SMALL(IF(ISNUMBER(MATCH(orderHistory[customer],$D$9,0)*MATCH(orderHistory[order_type],$D$13,0)),MATCH(ROW(orderHistory[customer]),ROW(orderHistory[customer])),""),ROWS($A$15:A46)+$B$3)),INDEX(orderHistory[customer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customer],SMALL(IF(ISNUMBER(MATCH(orderHistory[customer],$D$9,0)*MATCH(orderHistory[status],$D$11,0)),MATCH(ROW(orderHistory[customer]),ROW(orderHistory[customer])),""),ROWS($A$15:A46)+$B$3)),INDEX(orderHistory[customer],SMALL(IF(ISNUMBER(MATCH(orderHistory[customer],$D$9,0)*MATCH(orderHistory[status],$D$11,0)*MATCH(YEAR(orderHistory[invoice_date]),$D$15,0)),MATCH(ROW(orderHistory[customer]),ROW(orderHistory[customer])),""),ROWS($A$15:A46)+$B$3))),IF($D$15="",INDEX(orderHistory[customer],SMALL(IF(ISNUMBER(MATCH(orderHistory[customer],$D$9,0)*MATCH(orderHistory[status],$D$11,0)*MATCH(orderHistory[order_type],$D$13,0)),MATCH(ROW(orderHistory[customer]),ROW(orderHistory[customer])),""),ROWS($A$15:A46)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M41" s="540" t="str">
        <f t="array" ref="M41">IFERROR(IF($D$9="",IF($D$11="",IF($D$13="",IF($D$15="",INDEX(orderHistory[order_no],SMALL(MATCH(ROW(orderHistory[customer]),ROW(orderHistory[customer])),ROWS($A$15:A46)+$B$3)),INDEX(orderHistory[order_no],SMALL(IF(ISNUMBER(MATCH(YEAR(orderHistory[invoice_date]),$D$15,0)),MATCH(ROW(orderHistory[customer]),ROW(orderHistory[customer])),""),ROWS($A$15:A46)+$B$3))),IF($D$15="",INDEX(orderHistory[order_no],SMALL(IF(ISNUMBER(MATCH(orderHistory[order_type],$D$13,0)),MATCH(ROW(orderHistory[customer]),ROW(orderHistory[customer])),""),ROWS($A$15:A46)+$B$3)),INDEX(orderHistory[order_no],SMALL(IF(ISNUMBER(MATCH(orderHistory[order_type],$D$13,0)*MATCH(YEAR(orderHistory[invoice_date]),$D$15,0)),MATCH(ROW(orderHistory[customer]),ROW(orderHistory[customer])),""),ROWS($A$15:A46)+$B$3)))),IF($D$13="",IF($D$15="",INDEX(orderHistory[order_no],SMALL(IF(ISNUMBER(MATCH(orderHistory[status],$D$11,0)),MATCH(ROW(orderHistory[customer]),ROW(orderHistory[customer])),""),ROWS($A$15:A46)+$B$3)),INDEX(orderHistory[order_no],SMALL(IF(ISNUMBER(MATCH(orderHistory[status],$D$11,0)*MATCH(YEAR(orderHistory[invoice_date]),$D$15,0)),MATCH(ROW(orderHistory[customer]),ROW(orderHistory[customer])),""),ROWS($A$15:A46)+$B$3))),IF($D$15="",INDEX(orderHistory[order_no],SMALL(IF(ISNUMBER(MATCH(orderHistory[status],$D$11,0)*MATCH(orderHistory[order_type],$D$13,0)),MATCH(ROW(orderHistory[customer]),ROW(orderHistory[customer])),""),ROWS($A$15:A46)+$B$3)),INDEX(orderHistory[order_no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no],SMALL(IF(ISNUMBER(MATCH(orderHistory[customer],$D$9,0)),MATCH(ROW(orderHistory[customer]),ROW(orderHistory[customer])),""),ROWS($A$15:A46)+$B$3)),INDEX(orderHistory[order_no],SMALL(IF(ISNUMBER(MATCH(orderHistory[customer],$D$9,0)*MATCH(YEAR(orderHistory[invoice_date]),$D$15,0)),MATCH(ROW(orderHistory[customer]),ROW(orderHistory[customer])),""),ROWS($A$15:A46)+$B$3))),IF($D$15="",INDEX(orderHistory[order_no],SMALL(IF(ISNUMBER(MATCH(orderHistory[customer],$D$9,0)*MATCH(orderHistory[order_type],$D$13,0)),MATCH(ROW(orderHistory[customer]),ROW(orderHistory[customer])),""),ROWS($A$15:A46)+$B$3)),INDEX(orderHistory[order_no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no],SMALL(IF(ISNUMBER(MATCH(orderHistory[customer],$D$9,0)*MATCH(orderHistory[status],$D$11,0)),MATCH(ROW(orderHistory[customer]),ROW(orderHistory[customer])),""),ROWS($A$15:A46)+$B$3)),INDEX(orderHistory[order_no],SMALL(IF(ISNUMBER(MATCH(orderHistory[customer],$D$9,0)*MATCH(orderHistory[status],$D$11,0)*MATCH(YEAR(orderHistory[invoice_date]),$D$15,0)),MATCH(ROW(orderHistory[customer]),ROW(orderHistory[customer])),""),ROWS($A$15:A46)+$B$3))),IF($D$15="",INDEX(orderHistory[order_no],SMALL(IF(ISNUMBER(MATCH(orderHistory[customer],$D$9,0)*MATCH(orderHistory[status],$D$11,0)*MATCH(orderHistory[order_type],$D$13,0)),MATCH(ROW(orderHistory[customer]),ROW(orderHistory[customer])),""),ROWS($A$15:A46)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N41" s="541" t="str">
        <f t="array" ref="N41">IFERROR(IF($D$9="",IF($D$11="",IF($D$13="",IF($D$15="",INDEX(orderHistory[order_type],SMALL(MATCH(ROW(orderHistory[customer]),ROW(orderHistory[customer])),ROWS($A$15:A46)+$B$3)),INDEX(orderHistory[order_type],SMALL(IF(ISNUMBER(MATCH(YEAR(orderHistory[invoice_date]),$D$15,0)),MATCH(ROW(orderHistory[customer]),ROW(orderHistory[customer])),""),ROWS($A$15:A46)+$B$3))),IF($D$15="",INDEX(orderHistory[order_type],SMALL(IF(ISNUMBER(MATCH(orderHistory[order_type],$D$13,0)),MATCH(ROW(orderHistory[customer]),ROW(orderHistory[customer])),""),ROWS($A$15:A46)+$B$3)),INDEX(orderHistory[order_type],SMALL(IF(ISNUMBER(MATCH(orderHistory[order_type],$D$13,0)*MATCH(YEAR(orderHistory[invoice_date]),$D$15,0)),MATCH(ROW(orderHistory[customer]),ROW(orderHistory[customer])),""),ROWS($A$15:A46)+$B$3)))),IF($D$13="",IF($D$15="",INDEX(orderHistory[order_type],SMALL(IF(ISNUMBER(MATCH(orderHistory[status],$D$11,0)),MATCH(ROW(orderHistory[customer]),ROW(orderHistory[customer])),""),ROWS($A$15:A46)+$B$3)),INDEX(orderHistory[order_type],SMALL(IF(ISNUMBER(MATCH(orderHistory[status],$D$11,0)*MATCH(YEAR(orderHistory[invoice_date]),$D$15,0)),MATCH(ROW(orderHistory[customer]),ROW(orderHistory[customer])),""),ROWS($A$15:A46)+$B$3))),IF($D$15="",INDEX(orderHistory[order_type],SMALL(IF(ISNUMBER(MATCH(orderHistory[status],$D$11,0)*MATCH(orderHistory[order_type],$D$13,0)),MATCH(ROW(orderHistory[customer]),ROW(orderHistory[customer])),""),ROWS($A$15:A46)+$B$3)),INDEX(orderHistory[order_typ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type],SMALL(IF(ISNUMBER(MATCH(orderHistory[customer],$D$9,0)),MATCH(ROW(orderHistory[customer]),ROW(orderHistory[customer])),""),ROWS($A$15:A46)+$B$3)),INDEX(orderHistory[order_type],SMALL(IF(ISNUMBER(MATCH(orderHistory[customer],$D$9,0)*MATCH(YEAR(orderHistory[invoice_date]),$D$15,0)),MATCH(ROW(orderHistory[customer]),ROW(orderHistory[customer])),""),ROWS($A$15:A46)+$B$3))),IF($D$15="",INDEX(orderHistory[order_type],SMALL(IF(ISNUMBER(MATCH(orderHistory[customer],$D$9,0)*MATCH(orderHistory[order_type],$D$13,0)),MATCH(ROW(orderHistory[customer]),ROW(orderHistory[customer])),""),ROWS($A$15:A46)+$B$3)),INDEX(orderHistory[order_typ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type],SMALL(IF(ISNUMBER(MATCH(orderHistory[customer],$D$9,0)*MATCH(orderHistory[status],$D$11,0)),MATCH(ROW(orderHistory[customer]),ROW(orderHistory[customer])),""),ROWS($A$15:A46)+$B$3)),INDEX(orderHistory[order_type],SMALL(IF(ISNUMBER(MATCH(orderHistory[customer],$D$9,0)*MATCH(orderHistory[status],$D$11,0)*MATCH(YEAR(orderHistory[invoice_date]),$D$15,0)),MATCH(ROW(orderHistory[customer]),ROW(orderHistory[customer])),""),ROWS($A$15:A46)+$B$3))),IF($D$15="",INDEX(orderHistory[order_type],SMALL(IF(ISNUMBER(MATCH(orderHistory[customer],$D$9,0)*MATCH(orderHistory[status],$D$11,0)*MATCH(orderHistory[order_type],$D$13,0)),MATCH(ROW(orderHistory[customer]),ROW(orderHistory[customer])),""),ROWS($A$15:A46)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O41" s="542" t="str">
        <f t="array" ref="O41">IFERROR(IF($D$9="",IF($D$11="",IF($D$13="",IF($D$15="",INDEX(orderHistory[order_date],SMALL(MATCH(ROW(orderHistory[customer]),ROW(orderHistory[customer])),ROWS($A$15:A46)+$B$3)),INDEX(orderHistory[order_date],SMALL(IF(ISNUMBER(MATCH(YEAR(orderHistory[invoice_date]),$D$15,0)),MATCH(ROW(orderHistory[customer]),ROW(orderHistory[customer])),""),ROWS($A$15:A46)+$B$3))),IF($D$15="",INDEX(orderHistory[order_date],SMALL(IF(ISNUMBER(MATCH(orderHistory[order_type],$D$13,0)),MATCH(ROW(orderHistory[customer]),ROW(orderHistory[customer])),""),ROWS($A$15:A46)+$B$3)),INDEX(orderHistory[order_date],SMALL(IF(ISNUMBER(MATCH(orderHistory[order_type],$D$13,0)*MATCH(YEAR(orderHistory[invoice_date]),$D$15,0)),MATCH(ROW(orderHistory[customer]),ROW(orderHistory[customer])),""),ROWS($A$15:A46)+$B$3)))),IF($D$13="",IF($D$15="",INDEX(orderHistory[order_date],SMALL(IF(ISNUMBER(MATCH(orderHistory[status],$D$11,0)),MATCH(ROW(orderHistory[customer]),ROW(orderHistory[customer])),""),ROWS($A$15:A46)+$B$3)),INDEX(orderHistory[order_date],SMALL(IF(ISNUMBER(MATCH(orderHistory[status],$D$11,0)*MATCH(YEAR(orderHistory[invoice_date]),$D$15,0)),MATCH(ROW(orderHistory[customer]),ROW(orderHistory[customer])),""),ROWS($A$15:A46)+$B$3))),IF($D$15="",INDEX(orderHistory[order_date],SMALL(IF(ISNUMBER(MATCH(orderHistory[status],$D$11,0)*MATCH(orderHistory[order_type],$D$13,0)),MATCH(ROW(orderHistory[customer]),ROW(orderHistory[customer])),""),ROWS($A$15:A46)+$B$3)),INDEX(orderHistory[order_dat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date],SMALL(IF(ISNUMBER(MATCH(orderHistory[customer],$D$9,0)),MATCH(ROW(orderHistory[customer]),ROW(orderHistory[customer])),""),ROWS($A$15:A46)+$B$3)),INDEX(orderHistory[order_date],SMALL(IF(ISNUMBER(MATCH(orderHistory[customer],$D$9,0)*MATCH(YEAR(orderHistory[invoice_date]),$D$15,0)),MATCH(ROW(orderHistory[customer]),ROW(orderHistory[customer])),""),ROWS($A$15:A46)+$B$3))),IF($D$15="",INDEX(orderHistory[order_date],SMALL(IF(ISNUMBER(MATCH(orderHistory[customer],$D$9,0)*MATCH(orderHistory[order_type],$D$13,0)),MATCH(ROW(orderHistory[customer]),ROW(orderHistory[customer])),""),ROWS($A$15:A46)+$B$3)),INDEX(orderHistory[order_dat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date],SMALL(IF(ISNUMBER(MATCH(orderHistory[customer],$D$9,0)*MATCH(orderHistory[status],$D$11,0)),MATCH(ROW(orderHistory[customer]),ROW(orderHistory[customer])),""),ROWS($A$15:A46)+$B$3)),INDEX(orderHistory[order_date],SMALL(IF(ISNUMBER(MATCH(orderHistory[customer],$D$9,0)*MATCH(orderHistory[status],$D$11,0)*MATCH(YEAR(orderHistory[invoice_date]),$D$15,0)),MATCH(ROW(orderHistory[customer]),ROW(orderHistory[customer])),""),ROWS($A$15:A46)+$B$3))),IF($D$15="",INDEX(orderHistory[order_date],SMALL(IF(ISNUMBER(MATCH(orderHistory[customer],$D$9,0)*MATCH(orderHistory[status],$D$11,0)*MATCH(orderHistory[order_type],$D$13,0)),MATCH(ROW(orderHistory[customer]),ROW(orderHistory[customer])),""),ROWS($A$15:A46)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P41" s="543" t="str">
        <f t="array" ref="P41">IFERROR(IF($D$9="",IF($D$11="",IF($D$13="",IF($D$15="",INDEX(orderHistory[invoice_no],SMALL(MATCH(ROW(orderHistory[customer]),ROW(orderHistory[customer])),ROWS($A$15:A46)+$B$3)),INDEX(orderHistory[invoice_no],SMALL(IF(ISNUMBER(MATCH(YEAR(orderHistory[invoice_date]),$D$15,0)),MATCH(ROW(orderHistory[customer]),ROW(orderHistory[customer])),""),ROWS($A$15:A46)+$B$3))),IF($D$15="",INDEX(orderHistory[invoice_no],SMALL(IF(ISNUMBER(MATCH(orderHistory[order_type],$D$13,0)),MATCH(ROW(orderHistory[customer]),ROW(orderHistory[customer])),""),ROWS($A$15:A46)+$B$3)),INDEX(orderHistory[invoice_no],SMALL(IF(ISNUMBER(MATCH(orderHistory[order_type],$D$13,0)*MATCH(YEAR(orderHistory[invoice_date]),$D$15,0)),MATCH(ROW(orderHistory[customer]),ROW(orderHistory[customer])),""),ROWS($A$15:A46)+$B$3)))),IF($D$13="",IF($D$15="",INDEX(orderHistory[invoice_no],SMALL(IF(ISNUMBER(MATCH(orderHistory[status],$D$11,0)),MATCH(ROW(orderHistory[customer]),ROW(orderHistory[customer])),""),ROWS($A$15:A46)+$B$3)),INDEX(orderHistory[invoice_no],SMALL(IF(ISNUMBER(MATCH(orderHistory[status],$D$11,0)*MATCH(YEAR(orderHistory[invoice_date]),$D$15,0)),MATCH(ROW(orderHistory[customer]),ROW(orderHistory[customer])),""),ROWS($A$15:A46)+$B$3))),IF($D$15="",INDEX(orderHistory[invoice_no],SMALL(IF(ISNUMBER(MATCH(orderHistory[status],$D$11,0)*MATCH(orderHistory[order_type],$D$13,0)),MATCH(ROW(orderHistory[customer]),ROW(orderHistory[customer])),""),ROWS($A$15:A46)+$B$3)),INDEX(orderHistory[invoice_no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oice_no],SMALL(IF(ISNUMBER(MATCH(orderHistory[customer],$D$9,0)),MATCH(ROW(orderHistory[customer]),ROW(orderHistory[customer])),""),ROWS($A$15:A46)+$B$3)),INDEX(orderHistory[invoice_no],SMALL(IF(ISNUMBER(MATCH(orderHistory[customer],$D$9,0)*MATCH(YEAR(orderHistory[invoice_date]),$D$15,0)),MATCH(ROW(orderHistory[customer]),ROW(orderHistory[customer])),""),ROWS($A$15:A46)+$B$3))),IF($D$15="",INDEX(orderHistory[invoice_no],SMALL(IF(ISNUMBER(MATCH(orderHistory[customer],$D$9,0)*MATCH(orderHistory[order_type],$D$13,0)),MATCH(ROW(orderHistory[customer]),ROW(orderHistory[customer])),""),ROWS($A$15:A46)+$B$3)),INDEX(orderHistory[invoice_no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YEAR(orderHistory[invoice_date]),$D$15,0)),MATCH(ROW(orderHistory[customer]),ROW(orderHistory[customer])),""),ROWS($A$15:A46)+$B$3))),IF($D$15="",INDEX(orderHistory[invoice_no],SMALL(IF(ISNUMBER(MATCH(orderHistory[customer],$D$9,0)*MATCH(orderHistory[status],$D$11,0)*MATCH(orderHistory[order_type],$D$13,0)),MATCH(ROW(orderHistory[customer]),ROW(orderHistory[customer])),""),ROWS($A$15:A46)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Q41" s="544" t="str">
        <f t="array" ref="Q41">IFERROR(IF($D$9="",IF($D$11="",IF($D$13="",IF($D$15="",INDEX(orderHistory[invoice_date],SMALL(MATCH(ROW(orderHistory[customer]),ROW(orderHistory[customer])),ROWS($A$15:A46)+$B$3)),INDEX(orderHistory[invoice_date],SMALL(IF(ISNUMBER(MATCH(YEAR(orderHistory[invoice_date]),$D$15,0)),MATCH(ROW(orderHistory[customer]),ROW(orderHistory[customer])),""),ROWS($A$15:A46)+$B$3))),IF($D$15="",INDEX(orderHistory[invoice_date],SMALL(IF(ISNUMBER(MATCH(orderHistory[order_type],$D$13,0)),MATCH(ROW(orderHistory[customer]),ROW(orderHistory[customer])),""),ROWS($A$15:A46)+$B$3)),INDEX(orderHistory[invoice_date],SMALL(IF(ISNUMBER(MATCH(orderHistory[order_type],$D$13,0)*MATCH(YEAR(orderHistory[invoice_date]),$D$15,0)),MATCH(ROW(orderHistory[customer]),ROW(orderHistory[customer])),""),ROWS($A$15:A46)+$B$3)))),IF($D$13="",IF($D$15="",INDEX(orderHistory[invoice_date],SMALL(IF(ISNUMBER(MATCH(orderHistory[status],$D$11,0)),MATCH(ROW(orderHistory[customer]),ROW(orderHistory[customer])),""),ROWS($A$15:A46)+$B$3)),INDEX(orderHistory[invoice_date],SMALL(IF(ISNUMBER(MATCH(orderHistory[status],$D$11,0)*MATCH(YEAR(orderHistory[invoice_date]),$D$15,0)),MATCH(ROW(orderHistory[customer]),ROW(orderHistory[customer])),""),ROWS($A$15:A46)+$B$3))),IF($D$15="",INDEX(orderHistory[invoice_date],SMALL(IF(ISNUMBER(MATCH(orderHistory[status],$D$11,0)*MATCH(orderHistory[order_type],$D$13,0)),MATCH(ROW(orderHistory[customer]),ROW(orderHistory[customer])),""),ROWS($A$15:A46)+$B$3)),INDEX(orderHistory[invoice_dat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oice_date],SMALL(IF(ISNUMBER(MATCH(orderHistory[customer],$D$9,0)),MATCH(ROW(orderHistory[customer]),ROW(orderHistory[customer])),""),ROWS($A$15:A46)+$B$3)),INDEX(orderHistory[invoice_date],SMALL(IF(ISNUMBER(MATCH(orderHistory[customer],$D$9,0)*MATCH(YEAR(orderHistory[invoice_date]),$D$15,0)),MATCH(ROW(orderHistory[customer]),ROW(orderHistory[customer])),""),ROWS($A$15:A46)+$B$3))),IF($D$15="",INDEX(orderHistory[invoice_date],SMALL(IF(ISNUMBER(MATCH(orderHistory[customer],$D$9,0)*MATCH(orderHistory[order_type],$D$13,0)),MATCH(ROW(orderHistory[customer]),ROW(orderHistory[customer])),""),ROWS($A$15:A46)+$B$3)),INDEX(orderHistory[invoice_dat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YEAR(orderHistory[invoice_date]),$D$15,0)),MATCH(ROW(orderHistory[customer]),ROW(orderHistory[customer])),""),ROWS($A$15:A46)+$B$3))),IF($D$15="",INDEX(orderHistory[invoice_date],SMALL(IF(ISNUMBER(MATCH(orderHistory[customer],$D$9,0)*MATCH(orderHistory[status],$D$11,0)*MATCH(orderHistory[order_type],$D$13,0)),MATCH(ROW(orderHistory[customer]),ROW(orderHistory[customer])),""),ROWS($A$15:A46)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R41" s="545" t="str">
        <f t="array" ref="R41">IFERROR(IF($D$9="",IF($D$11="",IF($D$13="",IF($D$15="",INDEX(orderHistory[inv_amount],SMALL(MATCH(ROW(orderHistory[customer]),ROW(orderHistory[customer])),ROWS($A$15:A46)+$B$3)),INDEX(orderHistory[inv_amount],SMALL(IF(ISNUMBER(MATCH(YEAR(orderHistory[invoice_date]),$D$15,0)),MATCH(ROW(orderHistory[customer]),ROW(orderHistory[customer])),""),ROWS($A$15:A46)+$B$3))),IF($D$15="",INDEX(orderHistory[inv_amount],SMALL(IF(ISNUMBER(MATCH(orderHistory[order_type],$D$13,0)),MATCH(ROW(orderHistory[customer]),ROW(orderHistory[customer])),""),ROWS($A$15:A46)+$B$3)),INDEX(orderHistory[inv_amount],SMALL(IF(ISNUMBER(MATCH(orderHistory[order_type],$D$13,0)*MATCH(YEAR(orderHistory[invoice_date]),$D$15,0)),MATCH(ROW(orderHistory[customer]),ROW(orderHistory[customer])),""),ROWS($A$15:A46)+$B$3)))),IF($D$13="",IF($D$15="",INDEX(orderHistory[inv_amount],SMALL(IF(ISNUMBER(MATCH(orderHistory[status],$D$11,0)),MATCH(ROW(orderHistory[customer]),ROW(orderHistory[customer])),""),ROWS($A$15:A46)+$B$3)),INDEX(orderHistory[inv_amount],SMALL(IF(ISNUMBER(MATCH(orderHistory[status],$D$11,0)*MATCH(YEAR(orderHistory[invoice_date]),$D$15,0)),MATCH(ROW(orderHistory[customer]),ROW(orderHistory[customer])),""),ROWS($A$15:A46)+$B$3))),IF($D$15="",INDEX(orderHistory[inv_amount],SMALL(IF(ISNUMBER(MATCH(orderHistory[status],$D$11,0)*MATCH(orderHistory[order_type],$D$13,0)),MATCH(ROW(orderHistory[customer]),ROW(orderHistory[customer])),""),ROWS($A$15:A46)+$B$3)),INDEX(orderHistory[inv_amount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_amount],SMALL(IF(ISNUMBER(MATCH(orderHistory[customer],$D$9,0)),MATCH(ROW(orderHistory[customer]),ROW(orderHistory[customer])),""),ROWS($A$15:A46)+$B$3)),INDEX(orderHistory[inv_amount],SMALL(IF(ISNUMBER(MATCH(orderHistory[customer],$D$9,0)*MATCH(YEAR(orderHistory[invoice_date]),$D$15,0)),MATCH(ROW(orderHistory[customer]),ROW(orderHistory[customer])),""),ROWS($A$15:A46)+$B$3))),IF($D$15="",INDEX(orderHistory[inv_amount],SMALL(IF(ISNUMBER(MATCH(orderHistory[customer],$D$9,0)*MATCH(orderHistory[order_type],$D$13,0)),MATCH(ROW(orderHistory[customer]),ROW(orderHistory[customer])),""),ROWS($A$15:A46)+$B$3)),INDEX(orderHistory[inv_amount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_amount],SMALL(IF(ISNUMBER(MATCH(orderHistory[customer],$D$9,0)*MATCH(orderHistory[status],$D$11,0)),MATCH(ROW(orderHistory[customer]),ROW(orderHistory[customer])),""),ROWS($A$15:A46)+$B$3)),INDEX(orderHistory[inv_amount],SMALL(IF(ISNUMBER(MATCH(orderHistory[customer],$D$9,0)*MATCH(orderHistory[status],$D$11,0)*MATCH(YEAR(orderHistory[inv_amount]),$D$15,0)),MATCH(ROW(orderHistory[customer]),ROW(orderHistory[customer])),""),ROWS($A$15:A46)+$B$3))),IF($D$15="",INDEX(orderHistory[inv_amount],SMALL(IF(ISNUMBER(MATCH(orderHistory[customer],$D$9,0)*MATCH(orderHistory[status],$D$11,0)*MATCH(orderHistory[order_type],$D$13,0)),MATCH(ROW(orderHistory[customer]),ROW(orderHistory[customer])),""),ROWS($A$15:A46)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S41" s="546" t="str">
        <f t="shared" si="2"/>
        <v/>
      </c>
      <c r="T41" s="547" t="str">
        <f t="array" ref="T41">IFERROR(IF($D$9="",IF($D$11="",IF($D$13="",IF($D$15="",INDEX(orderHistory[payed],SMALL(MATCH(ROW(orderHistory[customer]),ROW(orderHistory[customer])),ROWS($A$15:A46)+$B$3)),INDEX(orderHistory[payed],SMALL(IF(ISNUMBER(MATCH(YEAR(orderHistory[invoice_date]),$D$15,0)),MATCH(ROW(orderHistory[customer]),ROW(orderHistory[customer])),""),ROWS($A$15:A46)+$B$3))),IF($D$15="",INDEX(orderHistory[payed],SMALL(IF(ISNUMBER(MATCH(orderHistory[order_type],$D$13,0)),MATCH(ROW(orderHistory[customer]),ROW(orderHistory[customer])),""),ROWS($A$15:A46)+$B$3)),INDEX(orderHistory[payed],SMALL(IF(ISNUMBER(MATCH(orderHistory[order_type],$D$13,0)*MATCH(YEAR(orderHistory[invoice_date]),$D$15,0)),MATCH(ROW(orderHistory[customer]),ROW(orderHistory[customer])),""),ROWS($A$15:A46)+$B$3)))),IF($D$13="",IF($D$15="",INDEX(orderHistory[payed],SMALL(IF(ISNUMBER(MATCH(orderHistory[status],$D$11,0)),MATCH(ROW(orderHistory[customer]),ROW(orderHistory[customer])),""),ROWS($A$15:A46)+$B$3)),INDEX(orderHistory[payed],SMALL(IF(ISNUMBER(MATCH(orderHistory[status],$D$11,0)*MATCH(YEAR(orderHistory[invoice_date]),$D$15,0)),MATCH(ROW(orderHistory[customer]),ROW(orderHistory[customer])),""),ROWS($A$15:A46)+$B$3))),IF($D$15="",INDEX(orderHistory[payed],SMALL(IF(ISNUMBER(MATCH(orderHistory[status],$D$11,0)*MATCH(orderHistory[order_type],$D$13,0)),MATCH(ROW(orderHistory[customer]),ROW(orderHistory[customer])),""),ROWS($A$15:A46)+$B$3)),INDEX(orderHistory[payed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payed],SMALL(IF(ISNUMBER(MATCH(orderHistory[customer],$D$9,0)),MATCH(ROW(orderHistory[customer]),ROW(orderHistory[customer])),""),ROWS($A$15:A46)+$B$3)),INDEX(orderHistory[payed],SMALL(IF(ISNUMBER(MATCH(orderHistory[customer],$D$9,0)*MATCH(YEAR(orderHistory[invoice_date]),$D$15,0)),MATCH(ROW(orderHistory[customer]),ROW(orderHistory[customer])),""),ROWS($A$15:A46)+$B$3))),IF($D$15="",INDEX(orderHistory[payed],SMALL(IF(ISNUMBER(MATCH(orderHistory[customer],$D$9,0)*MATCH(orderHistory[order_type],$D$13,0)),MATCH(ROW(orderHistory[customer]),ROW(orderHistory[customer])),""),ROWS($A$15:A46)+$B$3)),INDEX(orderHistory[payed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payed],SMALL(IF(ISNUMBER(MATCH(orderHistory[customer],$D$9,0)*MATCH(orderHistory[status],$D$11,0)),MATCH(ROW(orderHistory[customer]),ROW(orderHistory[customer])),""),ROWS($A$15:A46)+$B$3)),INDEX(orderHistory[payed],SMALL(IF(ISNUMBER(MATCH(orderHistory[customer],$D$9,0)*MATCH(orderHistory[status],$D$11,0)*MATCH(YEAR(orderHistory[payed]),$D$15,0)),MATCH(ROW(orderHistory[customer]),ROW(orderHistory[customer])),""),ROWS($A$15:A46)+$B$3))),IF($D$15="",INDEX(orderHistory[payed],SMALL(IF(ISNUMBER(MATCH(orderHistory[customer],$D$9,0)*MATCH(orderHistory[status],$D$11,0)*MATCH(orderHistory[order_type],$D$13,0)),MATCH(ROW(orderHistory[customer]),ROW(orderHistory[customer])),""),ROWS($A$15:A46)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U41" s="541" t="str">
        <f t="array" ref="U41">IFERROR(IF($D$9="",IF($D$11="",IF($D$13="",IF($D$15="",INDEX(orderHistory[shipping_method],SMALL(MATCH(ROW(orderHistory[customer]),ROW(orderHistory[customer])),ROWS($A$15:A46)+$B$3)),INDEX(orderHistory[shipping_method],SMALL(IF(ISNUMBER(MATCH(YEAR(orderHistory[invoice_date]),$D$15,0)),MATCH(ROW(orderHistory[customer]),ROW(orderHistory[customer])),""),ROWS($A$15:A46)+$B$3))),IF($D$15="",INDEX(orderHistory[shipping_method],SMALL(IF(ISNUMBER(MATCH(orderHistory[order_type],$D$13,0)),MATCH(ROW(orderHistory[customer]),ROW(orderHistory[customer])),""),ROWS($A$15:A46)+$B$3)),INDEX(orderHistory[shipping_method],SMALL(IF(ISNUMBER(MATCH(orderHistory[order_type],$D$13,0)*MATCH(YEAR(orderHistory[invoice_date]),$D$15,0)),MATCH(ROW(orderHistory[customer]),ROW(orderHistory[customer])),""),ROWS($A$15:A46)+$B$3)))),IF($D$13="",IF($D$15="",INDEX(orderHistory[shipping_method],SMALL(IF(ISNUMBER(MATCH(orderHistory[status],$D$11,0)),MATCH(ROW(orderHistory[customer]),ROW(orderHistory[customer])),""),ROWS($A$15:A46)+$B$3)),INDEX(orderHistory[shipping_method],SMALL(IF(ISNUMBER(MATCH(orderHistory[status],$D$11,0)*MATCH(YEAR(orderHistory[invoice_date]),$D$15,0)),MATCH(ROW(orderHistory[customer]),ROW(orderHistory[customer])),""),ROWS($A$15:A46)+$B$3))),IF($D$15="",INDEX(orderHistory[shipping_method],SMALL(IF(ISNUMBER(MATCH(orderHistory[status],$D$11,0)*MATCH(orderHistory[order_type],$D$13,0)),MATCH(ROW(orderHistory[customer]),ROW(orderHistory[customer])),""),ROWS($A$15:A46)+$B$3)),INDEX(orderHistory[shipping_method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shipping_method],SMALL(IF(ISNUMBER(MATCH(orderHistory[customer],$D$9,0)),MATCH(ROW(orderHistory[customer]),ROW(orderHistory[customer])),""),ROWS($A$15:A46)+$B$3)),INDEX(orderHistory[shipping_method],SMALL(IF(ISNUMBER(MATCH(orderHistory[customer],$D$9,0)*MATCH(YEAR(orderHistory[invoice_date]),$D$15,0)),MATCH(ROW(orderHistory[customer]),ROW(orderHistory[customer])),""),ROWS($A$15:A46)+$B$3))),IF($D$15="",INDEX(orderHistory[shipping_method],SMALL(IF(ISNUMBER(MATCH(orderHistory[customer],$D$9,0)*MATCH(orderHistory[order_type],$D$13,0)),MATCH(ROW(orderHistory[customer]),ROW(orderHistory[customer])),""),ROWS($A$15:A46)+$B$3)),INDEX(orderHistory[shipping_method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shipping_method],SMALL(IF(ISNUMBER(MATCH(orderHistory[customer],$D$9,0)*MATCH(orderHistory[status],$D$11,0)),MATCH(ROW(orderHistory[customer]),ROW(orderHistory[customer])),""),ROWS($A$15:A46)+$B$3)),INDEX(orderHistory[shipping_method],SMALL(IF(ISNUMBER(MATCH(orderHistory[customer],$D$9,0)*MATCH(orderHistory[status],$D$11,0)*MATCH(YEAR(orderHistory[shipping_method]),$D$15,0)),MATCH(ROW(orderHistory[customer]),ROW(orderHistory[customer])),""),ROWS($A$15:A46)+$B$3))),IF($D$15="",INDEX(orderHistory[shipping_method],SMALL(IF(ISNUMBER(MATCH(orderHistory[customer],$D$9,0)*MATCH(orderHistory[status],$D$11,0)*MATCH(orderHistory[order_type],$D$13,0)),MATCH(ROW(orderHistory[customer]),ROW(orderHistory[customer])),""),ROWS($A$15:A46)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V41" s="548" t="str">
        <f t="array" ref="V41">IFERROR(IF($D$9="",IF($D$11="",IF($D$13="",IF($D$15="",INDEX(orderHistory[status],SMALL(MATCH(ROW(orderHistory[customer]),ROW(orderHistory[customer])),ROWS($A$15:A46)+$B$3)),INDEX(orderHistory[status],SMALL(IF(ISNUMBER(MATCH(YEAR(orderHistory[invoice_date]),$D$15,0)),MATCH(ROW(orderHistory[customer]),ROW(orderHistory[customer])),""),ROWS($A$15:A46)+$B$3))),IF($D$15="",INDEX(orderHistory[status],SMALL(IF(ISNUMBER(MATCH(orderHistory[order_type],$D$13,0)),MATCH(ROW(orderHistory[customer]),ROW(orderHistory[customer])),""),ROWS($A$15:A46)+$B$3)),INDEX(orderHistory[status],SMALL(IF(ISNUMBER(MATCH(orderHistory[order_type],$D$13,0)*MATCH(YEAR(orderHistory[invoice_date]),$D$15,0)),MATCH(ROW(orderHistory[customer]),ROW(orderHistory[customer])),""),ROWS($A$15:A46)+$B$3)))),IF($D$13="",IF($D$15="",INDEX(orderHistory[status],SMALL(IF(ISNUMBER(MATCH(orderHistory[status],$D$11,0)),MATCH(ROW(orderHistory[customer]),ROW(orderHistory[customer])),""),ROWS($A$15:A46)+$B$3)),INDEX(orderHistory[status],SMALL(IF(ISNUMBER(MATCH(orderHistory[status],$D$11,0)*MATCH(YEAR(orderHistory[invoice_date]),$D$15,0)),MATCH(ROW(orderHistory[customer]),ROW(orderHistory[customer])),""),ROWS($A$15:A46)+$B$3))),IF($D$15="",INDEX(orderHistory[status],SMALL(IF(ISNUMBER(MATCH(orderHistory[status],$D$11,0)*MATCH(orderHistory[order_type],$D$13,0)),MATCH(ROW(orderHistory[customer]),ROW(orderHistory[customer])),""),ROWS($A$15:A46)+$B$3)),INDEX(orderHistory[status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status],SMALL(IF(ISNUMBER(MATCH(orderHistory[customer],$D$9,0)),MATCH(ROW(orderHistory[customer]),ROW(orderHistory[customer])),""),ROWS($A$15:A46)+$B$3)),INDEX(orderHistory[status],SMALL(IF(ISNUMBER(MATCH(orderHistory[customer],$D$9,0)*MATCH(YEAR(orderHistory[invoice_date]),$D$15,0)),MATCH(ROW(orderHistory[customer]),ROW(orderHistory[customer])),""),ROWS($A$15:A46)+$B$3))),IF($D$15="",INDEX(orderHistory[status],SMALL(IF(ISNUMBER(MATCH(orderHistory[customer],$D$9,0)*MATCH(orderHistory[order_type],$D$13,0)),MATCH(ROW(orderHistory[customer]),ROW(orderHistory[customer])),""),ROWS($A$15:A46)+$B$3)),INDEX(orderHistory[status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status],SMALL(IF(ISNUMBER(MATCH(orderHistory[customer],$D$9,0)*MATCH(orderHistory[status],$D$11,0)),MATCH(ROW(orderHistory[customer]),ROW(orderHistory[customer])),""),ROWS($A$15:A46)+$B$3)),INDEX(orderHistory[status],SMALL(IF(ISNUMBER(MATCH(orderHistory[customer],$D$9,0)*MATCH(orderHistory[status],$D$11,0)*MATCH(YEAR(orderHistory[status]),$D$15,0)),MATCH(ROW(orderHistory[customer]),ROW(orderHistory[customer])),""),ROWS($A$15:A46)+$B$3))),IF($D$15="",INDEX(orderHistory[status],SMALL(IF(ISNUMBER(MATCH(orderHistory[customer],$D$9,0)*MATCH(orderHistory[status],$D$11,0)*MATCH(orderHistory[order_type],$D$13,0)),MATCH(ROW(orderHistory[customer]),ROW(orderHistory[customer])),""),ROWS($A$15:A46)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W41" s="107"/>
      <c r="BK41" s="450"/>
      <c r="BL41" s="451"/>
      <c r="BM41" s="452"/>
      <c r="BN41" s="451"/>
      <c r="BO41" s="452"/>
      <c r="BZ41" s="158"/>
      <c r="CA41" s="154" t="str">
        <f>IF(BZ41="","",INDEX(bhpc_data[description],MATCH(BZ41,bhpc_data[sku],0)))</f>
        <v/>
      </c>
      <c r="CB41" s="159"/>
      <c r="CC41" s="357"/>
      <c r="CD41" s="160"/>
      <c r="CE41" s="360"/>
      <c r="CF41" s="161"/>
      <c r="CG41" s="164" t="str">
        <f>IFERROR(ROUNDUP(CB41/INDEX(bhpc_data[units_per_carton],MATCH(BZ41,bhpc_data[sku],0)),0),"")</f>
        <v/>
      </c>
      <c r="CH41" s="165" t="str">
        <f>IFERROR(ROUNDUP(CD41/INDEX(bhpc_data[units_per_carton],MATCH(BZ41,bhpc_data[sku],0)),0),"")</f>
        <v/>
      </c>
      <c r="CI41" s="165" t="str">
        <f>IFERROR(ROUNDUP(CF41/INDEX(bhpc_data[units_per_carton],MATCH(BZ41,bhpc_data[sku])),0),"")</f>
        <v/>
      </c>
      <c r="CJ41" s="165" t="str">
        <f>IFERROR(((CB41+CD41+CF41)/INDEX(bhpc_data[units_per_carton],MATCH(BZ41,bhpc_data[sku],0)))*INDEX(bhpc_data[net_weight],MATCH(BZ41,bhpc_data[sku],0)),"")</f>
        <v/>
      </c>
      <c r="CK41" s="165" t="str">
        <f>IFERROR(((CB41+CD41+CF41)/INDEX(bhpc_data[units_per_carton],MATCH(BZ41,bhpc_data[sku],0)))*INDEX(bhpc_data[gross_weight],MATCH(BZ41,bhpc_data[sku],0)),"")</f>
        <v/>
      </c>
      <c r="CL41" s="180" t="str">
        <f>IFERROR((CB41+CD41+CF41)/INDEX(bhpc_data[units_per_carton],MATCH(BZ41,bhpc_data[sku],0))*INDEX(bhpc_data[lenght],MATCH(BZ41,bhpc_data[sku],0))*INDEX(bhpc_data[width],MATCH(BZ41,bhpc_data[sku],0))*INDEX(bhpc_data[height],MATCH(BZ41,bhpc_data[sku],0))/1000000000,"")</f>
        <v/>
      </c>
      <c r="CM41" s="189" t="str">
        <f>IFERROR(INDEX(bhpc_data[category],MATCH(BZ41,bhpc_data[sku],0)),"")</f>
        <v/>
      </c>
      <c r="CN41" s="189" t="str">
        <f>IFERROR(INDEX(bhpc_data[size1],MATCH(BZ41,bhpc_data[sku],0)),"")</f>
        <v/>
      </c>
      <c r="CO41" s="388" t="str">
        <f>IFERROR(INDEX(bhpc_data[hs_code],MATCH(BZ41,bhpc_data[sku],0)),"")</f>
        <v/>
      </c>
      <c r="CP41" s="377" t="str">
        <f>IFERROR(INDEX(inventory[ESISTENZA],MATCH(BZ41,inventory[ARTICOLO],0)),"")</f>
        <v/>
      </c>
      <c r="CQ41" s="364" t="str">
        <f>IFERROR(IF(BZ41="","",IF($BX$15="SALE",INDEX(inventory[COSTO UNITARIO],MATCH(BZ41,inventory[ARTICOLO],0)),IF($BX$15="SAMPLING",INDEX(inventory[COSTO UNITARIO],MATCH(BZ41,inventory[ARTICOLO],0)),""))),"")</f>
        <v/>
      </c>
      <c r="CR41" s="365" t="str">
        <f t="shared" si="0"/>
        <v/>
      </c>
      <c r="CS41" s="264" t="str">
        <f t="shared" si="1"/>
        <v/>
      </c>
      <c r="CU41" s="432"/>
      <c r="CV41" s="515"/>
      <c r="CW41" s="432"/>
      <c r="CX41" s="432"/>
      <c r="CY41" s="432"/>
      <c r="CZ41" s="432"/>
      <c r="DH41" s="296"/>
      <c r="EE41" s="202" t="str" cm="1">
        <f t="array" ref="EE41">IFERROR(IF($EC$9="",IF($EC$11="",IF($EC$13="",INDEX(bhpc_data[sku],SMALL(MATCH(ROW(bhpc_data[sku]),ROW(bhpc_data[sku])),ROWS($A$15:A46)+$B$3)),INDEX(bhpc_data[sku],SMALL(IF(ISNUMBER(MATCH(bhpc_data[size1],$EC$13,0)),MATCH(ROW(bhpc_data[sku]),ROW(bhpc_data[sku])),""),ROWS($A$15:A46)+$B$3))),IF($EC$13="",INDEX(bhpc_data[sku],SMALL(IF(ISNUMBER(MATCH(bhpc_data[sex],$EC$11,0)),MATCH(ROW(bhpc_data[sku]),ROW(bhpc_data[sku])),""),ROWS($A$15:A46)+$B$3)),INDEX(bhpc_data[sku],SMALL(IF(ISNUMBER(MATCH(bhpc_data[sex],$EC$11,0)*MATCH(bhpc_data[size1],$EC$13,0)),MATCH(ROW(bhpc_data[sku]),ROW(bhpc_data[sku])),""),ROWS($A$15:A46)+$B$3)))),IF($EC$11="",IF($EC$13="",INDEX(bhpc_data[sku],SMALL(IF(ISNUMBER(MATCH(bhpc_data[category],$EC$9,0)),MATCH(ROW(bhpc_data[sku]),ROW(bhpc_data[sku])),""),ROWS($A$15:A46)+$B$3)),INDEX(bhpc_data[sku],SMALL(IF(ISNUMBER(MATCH(bhpc_data[category],$EC$9,0)*MATCH(bhpc_data[size1],$EC$13,0)),MATCH(ROW(bhpc_data[sku]),ROW(bhpc_data[sku])),""),ROWS($A$15:A46)+$B$3))),IF($EC$13="",INDEX(bhpc_data[sku],SMALL(IF(ISNUMBER(MATCH(bhpc_data[category],$EC$9,0)*MATCH(bhpc_data[sex],$EC$11,0)),MATCH(ROW(bhpc_data[sku]),ROW(bhpc_data[sku])),""),ROWS($A$15:A46)+$B$3)),INDEX(bhpc_data[sku],SMALL(IF(ISNUMBER(MATCH(bhpc_data[category],$EC$9,0)*MATCH(bhpc_data[sex],$EC$11,0)*MATCH(bhpc_data[size1],$EC$13,0)),MATCH(ROW(bhpc_data[sku]),ROW(bhpc_data[sku])),""),ROWS($A$15:A46)+$B$3))))),"")</f>
        <v>GSTW18</v>
      </c>
      <c r="EF41" s="198" t="str" cm="1">
        <f t="array" ref="EF41">IFERROR(IF($EC$9="",IF($EC$11="",IF($EC$13="",INDEX(bhpc_data[description],SMALL(MATCH(ROW(bhpc_data[sku]),ROW(bhpc_data[sku])),ROWS($A$15:A46)+$B$3)),INDEX(bhpc_data[description],SMALL(IF(ISNUMBER(MATCH(bhpc_data[size1],$EC$13,0)),MATCH(ROW(bhpc_data[sku]),ROW(bhpc_data[sku])),""),ROWS($A$15:A46)+$B$3))),IF($EC$13="",INDEX(bhpc_data[description],SMALL(IF(ISNUMBER(MATCH(bhpc_data[sex],$EC$11,0)),MATCH(ROW(bhpc_data[sku]),ROW(bhpc_data[sku])),""),ROWS($A$15:A46)+$B$3)),INDEX(bhpc_data[description],SMALL(IF(ISNUMBER(MATCH(bhpc_data[sex],$EC$11,0)*MATCH(bhpc_data[size1],$EC$13,0)),MATCH(ROW(bhpc_data[sku]),ROW(bhpc_data[sku])),""),ROWS($A$15:A46)+$B$3)))),IF($EC$11="",IF($EC$13="",INDEX(bhpc_data[description],SMALL(IF(ISNUMBER(MATCH(bhpc_data[category],$EC$9,0)),MATCH(ROW(bhpc_data[sku]),ROW(bhpc_data[sku])),""),ROWS($A$15:A46)+$B$3)),INDEX(bhpc_data[description],SMALL(IF(ISNUMBER(MATCH(bhpc_data[category],$EC$9,0)*MATCH(bhpc_data[size1],$EC$13,0)),MATCH(ROW(bhpc_data[sku]),ROW(bhpc_data[sku])),""),ROWS($A$15:A46)+$B$3))),IF($EC$13="",INDEX(bhpc_data[description],SMALL(IF(ISNUMBER(MATCH(bhpc_data[category],$EC$9,0)*MATCH(bhpc_data[sex],$EC$11,0)),MATCH(ROW(bhpc_data[sku]),ROW(bhpc_data[sku])),""),ROWS($A$15:A46)+$B$3)),INDEX(bhpc_data[description],SMALL(IF(ISNUMBER(MATCH(bhpc_data[category],$EC$9,0)*MATCH(bhpc_data[sex],$EC$11,0)*MATCH(bhpc_data[size1],$EC$13,0)),MATCH(ROW(bhpc_data[sku]),ROW(bhpc_data[sku])),""),ROWS($A$15:A46)+$B$3))))),"")</f>
        <v>BHPC TWINPACK DEO WOMEN #1 #8 150ML</v>
      </c>
      <c r="EG41" s="263">
        <f>IFERROR(IF(warehouse[[#This Row],[SKU]]="","",INDEX(inventory[ESISTENZA],MATCH(warehouse[[#This Row],[SKU]],inventory[ARTICOLO],0))),"")</f>
        <v>0</v>
      </c>
      <c r="EH41" s="328"/>
      <c r="EI41" s="328"/>
      <c r="EJ41" s="263"/>
      <c r="EK41" s="329"/>
      <c r="EO41" s="296" t="str">
        <f t="array" ref="EO41">IFERROR(INDEX(orderHistory[order_no],SMALL(IF(ISNUMBER(MATCH(orderHistory[status],$EO$9,0)),MATCH(ROW(orderHistory[order_no]),ROW(orderHistory[order_no])),""),ROWS($A$15:A46))),"")</f>
        <v/>
      </c>
    </row>
    <row r="42" spans="10:228" ht="15" customHeight="1" x14ac:dyDescent="0.35">
      <c r="L42" s="539" t="str">
        <f t="array" ref="L42">IFERROR(IF($D$9="",IF($D$11="",IF($D$13="",IF($D$15="",INDEX(orderHistory[customer],SMALL(MATCH(ROW(orderHistory[customer]),ROW(orderHistory[customer])),ROWS($A$15:A47)+$B$3)),INDEX(orderHistory[customer],SMALL(IF(ISNUMBER(MATCH(YEAR(orderHistory[invoice_date]),$D$15,0)),MATCH(ROW(orderHistory[customer]),ROW(orderHistory[customer])),""),ROWS($A$15:A47)+$B$3))),IF($D$15="",INDEX(orderHistory[customer],SMALL(IF(ISNUMBER(MATCH(orderHistory[order_type],$D$13,0)),MATCH(ROW(orderHistory[customer]),ROW(orderHistory[customer])),""),ROWS($A$15:A47)+$B$3)),INDEX(orderHistory[customer],SMALL(IF(ISNUMBER(MATCH(orderHistory[order_type],$D$13,0)*MATCH(YEAR(orderHistory[invoice_date]),$D$15,0)),MATCH(ROW(orderHistory[customer]),ROW(orderHistory[customer])),""),ROWS($A$15:A47)+$B$3)))),IF($D$13="",IF($D$15="",INDEX(orderHistory[customer],SMALL(IF(ISNUMBER(MATCH(orderHistory[status],$D$11,0)),MATCH(ROW(orderHistory[customer]),ROW(orderHistory[customer])),""),ROWS($A$15:A47)+$B$3)),INDEX(orderHistory[customer],SMALL(IF(ISNUMBER(MATCH(orderHistory[status],$D$11,0)*MATCH(YEAR(orderHistory[invoice_date]),$D$15,0)),MATCH(ROW(orderHistory[customer]),ROW(orderHistory[customer])),""),ROWS($A$15:A47)+$B$3))),IF($D$15="",INDEX(orderHistory[customer],SMALL(IF(ISNUMBER(MATCH(orderHistory[status],$D$11,0)*MATCH(orderHistory[order_type],$D$13,0)),MATCH(ROW(orderHistory[customer]),ROW(orderHistory[customer])),""),ROWS($A$15:A47)+$B$3)),INDEX(orderHistory[customer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customer],SMALL(IF(ISNUMBER(MATCH(orderHistory[customer],$D$9,0)),MATCH(ROW(orderHistory[customer]),ROW(orderHistory[customer])),""),ROWS($A$15:A47)+$B$3)),INDEX(orderHistory[customer],SMALL(IF(ISNUMBER(MATCH(orderHistory[customer],$D$9,0)*MATCH(YEAR(orderHistory[invoice_date]),$D$15,0)),MATCH(ROW(orderHistory[customer]),ROW(orderHistory[customer])),""),ROWS($A$15:A47)+$B$3))),IF($D$15="",INDEX(orderHistory[customer],SMALL(IF(ISNUMBER(MATCH(orderHistory[customer],$D$9,0)*MATCH(orderHistory[order_type],$D$13,0)),MATCH(ROW(orderHistory[customer]),ROW(orderHistory[customer])),""),ROWS($A$15:A47)+$B$3)),INDEX(orderHistory[customer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customer],SMALL(IF(ISNUMBER(MATCH(orderHistory[customer],$D$9,0)*MATCH(orderHistory[status],$D$11,0)),MATCH(ROW(orderHistory[customer]),ROW(orderHistory[customer])),""),ROWS($A$15:A47)+$B$3)),INDEX(orderHistory[customer],SMALL(IF(ISNUMBER(MATCH(orderHistory[customer],$D$9,0)*MATCH(orderHistory[status],$D$11,0)*MATCH(YEAR(orderHistory[invoice_date]),$D$15,0)),MATCH(ROW(orderHistory[customer]),ROW(orderHistory[customer])),""),ROWS($A$15:A47)+$B$3))),IF($D$15="",INDEX(orderHistory[customer],SMALL(IF(ISNUMBER(MATCH(orderHistory[customer],$D$9,0)*MATCH(orderHistory[status],$D$11,0)*MATCH(orderHistory[order_type],$D$13,0)),MATCH(ROW(orderHistory[customer]),ROW(orderHistory[customer])),""),ROWS($A$15:A47)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M42" s="540" t="str">
        <f t="array" ref="M42">IFERROR(IF($D$9="",IF($D$11="",IF($D$13="",IF($D$15="",INDEX(orderHistory[order_no],SMALL(MATCH(ROW(orderHistory[customer]),ROW(orderHistory[customer])),ROWS($A$15:A47)+$B$3)),INDEX(orderHistory[order_no],SMALL(IF(ISNUMBER(MATCH(YEAR(orderHistory[invoice_date]),$D$15,0)),MATCH(ROW(orderHistory[customer]),ROW(orderHistory[customer])),""),ROWS($A$15:A47)+$B$3))),IF($D$15="",INDEX(orderHistory[order_no],SMALL(IF(ISNUMBER(MATCH(orderHistory[order_type],$D$13,0)),MATCH(ROW(orderHistory[customer]),ROW(orderHistory[customer])),""),ROWS($A$15:A47)+$B$3)),INDEX(orderHistory[order_no],SMALL(IF(ISNUMBER(MATCH(orderHistory[order_type],$D$13,0)*MATCH(YEAR(orderHistory[invoice_date]),$D$15,0)),MATCH(ROW(orderHistory[customer]),ROW(orderHistory[customer])),""),ROWS($A$15:A47)+$B$3)))),IF($D$13="",IF($D$15="",INDEX(orderHistory[order_no],SMALL(IF(ISNUMBER(MATCH(orderHistory[status],$D$11,0)),MATCH(ROW(orderHistory[customer]),ROW(orderHistory[customer])),""),ROWS($A$15:A47)+$B$3)),INDEX(orderHistory[order_no],SMALL(IF(ISNUMBER(MATCH(orderHistory[status],$D$11,0)*MATCH(YEAR(orderHistory[invoice_date]),$D$15,0)),MATCH(ROW(orderHistory[customer]),ROW(orderHistory[customer])),""),ROWS($A$15:A47)+$B$3))),IF($D$15="",INDEX(orderHistory[order_no],SMALL(IF(ISNUMBER(MATCH(orderHistory[status],$D$11,0)*MATCH(orderHistory[order_type],$D$13,0)),MATCH(ROW(orderHistory[customer]),ROW(orderHistory[customer])),""),ROWS($A$15:A47)+$B$3)),INDEX(orderHistory[order_no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no],SMALL(IF(ISNUMBER(MATCH(orderHistory[customer],$D$9,0)),MATCH(ROW(orderHistory[customer]),ROW(orderHistory[customer])),""),ROWS($A$15:A47)+$B$3)),INDEX(orderHistory[order_no],SMALL(IF(ISNUMBER(MATCH(orderHistory[customer],$D$9,0)*MATCH(YEAR(orderHistory[invoice_date]),$D$15,0)),MATCH(ROW(orderHistory[customer]),ROW(orderHistory[customer])),""),ROWS($A$15:A47)+$B$3))),IF($D$15="",INDEX(orderHistory[order_no],SMALL(IF(ISNUMBER(MATCH(orderHistory[customer],$D$9,0)*MATCH(orderHistory[order_type],$D$13,0)),MATCH(ROW(orderHistory[customer]),ROW(orderHistory[customer])),""),ROWS($A$15:A47)+$B$3)),INDEX(orderHistory[order_no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no],SMALL(IF(ISNUMBER(MATCH(orderHistory[customer],$D$9,0)*MATCH(orderHistory[status],$D$11,0)),MATCH(ROW(orderHistory[customer]),ROW(orderHistory[customer])),""),ROWS($A$15:A47)+$B$3)),INDEX(orderHistory[order_no],SMALL(IF(ISNUMBER(MATCH(orderHistory[customer],$D$9,0)*MATCH(orderHistory[status],$D$11,0)*MATCH(YEAR(orderHistory[invoice_date]),$D$15,0)),MATCH(ROW(orderHistory[customer]),ROW(orderHistory[customer])),""),ROWS($A$15:A47)+$B$3))),IF($D$15="",INDEX(orderHistory[order_no],SMALL(IF(ISNUMBER(MATCH(orderHistory[customer],$D$9,0)*MATCH(orderHistory[status],$D$11,0)*MATCH(orderHistory[order_type],$D$13,0)),MATCH(ROW(orderHistory[customer]),ROW(orderHistory[customer])),""),ROWS($A$15:A47)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N42" s="541" t="str">
        <f t="array" ref="N42">IFERROR(IF($D$9="",IF($D$11="",IF($D$13="",IF($D$15="",INDEX(orderHistory[order_type],SMALL(MATCH(ROW(orderHistory[customer]),ROW(orderHistory[customer])),ROWS($A$15:A47)+$B$3)),INDEX(orderHistory[order_type],SMALL(IF(ISNUMBER(MATCH(YEAR(orderHistory[invoice_date]),$D$15,0)),MATCH(ROW(orderHistory[customer]),ROW(orderHistory[customer])),""),ROWS($A$15:A47)+$B$3))),IF($D$15="",INDEX(orderHistory[order_type],SMALL(IF(ISNUMBER(MATCH(orderHistory[order_type],$D$13,0)),MATCH(ROW(orderHistory[customer]),ROW(orderHistory[customer])),""),ROWS($A$15:A47)+$B$3)),INDEX(orderHistory[order_type],SMALL(IF(ISNUMBER(MATCH(orderHistory[order_type],$D$13,0)*MATCH(YEAR(orderHistory[invoice_date]),$D$15,0)),MATCH(ROW(orderHistory[customer]),ROW(orderHistory[customer])),""),ROWS($A$15:A47)+$B$3)))),IF($D$13="",IF($D$15="",INDEX(orderHistory[order_type],SMALL(IF(ISNUMBER(MATCH(orderHistory[status],$D$11,0)),MATCH(ROW(orderHistory[customer]),ROW(orderHistory[customer])),""),ROWS($A$15:A47)+$B$3)),INDEX(orderHistory[order_type],SMALL(IF(ISNUMBER(MATCH(orderHistory[status],$D$11,0)*MATCH(YEAR(orderHistory[invoice_date]),$D$15,0)),MATCH(ROW(orderHistory[customer]),ROW(orderHistory[customer])),""),ROWS($A$15:A47)+$B$3))),IF($D$15="",INDEX(orderHistory[order_type],SMALL(IF(ISNUMBER(MATCH(orderHistory[status],$D$11,0)*MATCH(orderHistory[order_type],$D$13,0)),MATCH(ROW(orderHistory[customer]),ROW(orderHistory[customer])),""),ROWS($A$15:A47)+$B$3)),INDEX(orderHistory[order_typ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type],SMALL(IF(ISNUMBER(MATCH(orderHistory[customer],$D$9,0)),MATCH(ROW(orderHistory[customer]),ROW(orderHistory[customer])),""),ROWS($A$15:A47)+$B$3)),INDEX(orderHistory[order_type],SMALL(IF(ISNUMBER(MATCH(orderHistory[customer],$D$9,0)*MATCH(YEAR(orderHistory[invoice_date]),$D$15,0)),MATCH(ROW(orderHistory[customer]),ROW(orderHistory[customer])),""),ROWS($A$15:A47)+$B$3))),IF($D$15="",INDEX(orderHistory[order_type],SMALL(IF(ISNUMBER(MATCH(orderHistory[customer],$D$9,0)*MATCH(orderHistory[order_type],$D$13,0)),MATCH(ROW(orderHistory[customer]),ROW(orderHistory[customer])),""),ROWS($A$15:A47)+$B$3)),INDEX(orderHistory[order_typ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type],SMALL(IF(ISNUMBER(MATCH(orderHistory[customer],$D$9,0)*MATCH(orderHistory[status],$D$11,0)),MATCH(ROW(orderHistory[customer]),ROW(orderHistory[customer])),""),ROWS($A$15:A47)+$B$3)),INDEX(orderHistory[order_type],SMALL(IF(ISNUMBER(MATCH(orderHistory[customer],$D$9,0)*MATCH(orderHistory[status],$D$11,0)*MATCH(YEAR(orderHistory[invoice_date]),$D$15,0)),MATCH(ROW(orderHistory[customer]),ROW(orderHistory[customer])),""),ROWS($A$15:A47)+$B$3))),IF($D$15="",INDEX(orderHistory[order_type],SMALL(IF(ISNUMBER(MATCH(orderHistory[customer],$D$9,0)*MATCH(orderHistory[status],$D$11,0)*MATCH(orderHistory[order_type],$D$13,0)),MATCH(ROW(orderHistory[customer]),ROW(orderHistory[customer])),""),ROWS($A$15:A47)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O42" s="542" t="str">
        <f t="array" ref="O42">IFERROR(IF($D$9="",IF($D$11="",IF($D$13="",IF($D$15="",INDEX(orderHistory[order_date],SMALL(MATCH(ROW(orderHistory[customer]),ROW(orderHistory[customer])),ROWS($A$15:A47)+$B$3)),INDEX(orderHistory[order_date],SMALL(IF(ISNUMBER(MATCH(YEAR(orderHistory[invoice_date]),$D$15,0)),MATCH(ROW(orderHistory[customer]),ROW(orderHistory[customer])),""),ROWS($A$15:A47)+$B$3))),IF($D$15="",INDEX(orderHistory[order_date],SMALL(IF(ISNUMBER(MATCH(orderHistory[order_type],$D$13,0)),MATCH(ROW(orderHistory[customer]),ROW(orderHistory[customer])),""),ROWS($A$15:A47)+$B$3)),INDEX(orderHistory[order_date],SMALL(IF(ISNUMBER(MATCH(orderHistory[order_type],$D$13,0)*MATCH(YEAR(orderHistory[invoice_date]),$D$15,0)),MATCH(ROW(orderHistory[customer]),ROW(orderHistory[customer])),""),ROWS($A$15:A47)+$B$3)))),IF($D$13="",IF($D$15="",INDEX(orderHistory[order_date],SMALL(IF(ISNUMBER(MATCH(orderHistory[status],$D$11,0)),MATCH(ROW(orderHistory[customer]),ROW(orderHistory[customer])),""),ROWS($A$15:A47)+$B$3)),INDEX(orderHistory[order_date],SMALL(IF(ISNUMBER(MATCH(orderHistory[status],$D$11,0)*MATCH(YEAR(orderHistory[invoice_date]),$D$15,0)),MATCH(ROW(orderHistory[customer]),ROW(orderHistory[customer])),""),ROWS($A$15:A47)+$B$3))),IF($D$15="",INDEX(orderHistory[order_date],SMALL(IF(ISNUMBER(MATCH(orderHistory[status],$D$11,0)*MATCH(orderHistory[order_type],$D$13,0)),MATCH(ROW(orderHistory[customer]),ROW(orderHistory[customer])),""),ROWS($A$15:A47)+$B$3)),INDEX(orderHistory[order_dat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date],SMALL(IF(ISNUMBER(MATCH(orderHistory[customer],$D$9,0)),MATCH(ROW(orderHistory[customer]),ROW(orderHistory[customer])),""),ROWS($A$15:A47)+$B$3)),INDEX(orderHistory[order_date],SMALL(IF(ISNUMBER(MATCH(orderHistory[customer],$D$9,0)*MATCH(YEAR(orderHistory[invoice_date]),$D$15,0)),MATCH(ROW(orderHistory[customer]),ROW(orderHistory[customer])),""),ROWS($A$15:A47)+$B$3))),IF($D$15="",INDEX(orderHistory[order_date],SMALL(IF(ISNUMBER(MATCH(orderHistory[customer],$D$9,0)*MATCH(orderHistory[order_type],$D$13,0)),MATCH(ROW(orderHistory[customer]),ROW(orderHistory[customer])),""),ROWS($A$15:A47)+$B$3)),INDEX(orderHistory[order_dat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date],SMALL(IF(ISNUMBER(MATCH(orderHistory[customer],$D$9,0)*MATCH(orderHistory[status],$D$11,0)),MATCH(ROW(orderHistory[customer]),ROW(orderHistory[customer])),""),ROWS($A$15:A47)+$B$3)),INDEX(orderHistory[order_date],SMALL(IF(ISNUMBER(MATCH(orderHistory[customer],$D$9,0)*MATCH(orderHistory[status],$D$11,0)*MATCH(YEAR(orderHistory[invoice_date]),$D$15,0)),MATCH(ROW(orderHistory[customer]),ROW(orderHistory[customer])),""),ROWS($A$15:A47)+$B$3))),IF($D$15="",INDEX(orderHistory[order_date],SMALL(IF(ISNUMBER(MATCH(orderHistory[customer],$D$9,0)*MATCH(orderHistory[status],$D$11,0)*MATCH(orderHistory[order_type],$D$13,0)),MATCH(ROW(orderHistory[customer]),ROW(orderHistory[customer])),""),ROWS($A$15:A47)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P42" s="543" t="str">
        <f t="array" ref="P42">IFERROR(IF($D$9="",IF($D$11="",IF($D$13="",IF($D$15="",INDEX(orderHistory[invoice_no],SMALL(MATCH(ROW(orderHistory[customer]),ROW(orderHistory[customer])),ROWS($A$15:A47)+$B$3)),INDEX(orderHistory[invoice_no],SMALL(IF(ISNUMBER(MATCH(YEAR(orderHistory[invoice_date]),$D$15,0)),MATCH(ROW(orderHistory[customer]),ROW(orderHistory[customer])),""),ROWS($A$15:A47)+$B$3))),IF($D$15="",INDEX(orderHistory[invoice_no],SMALL(IF(ISNUMBER(MATCH(orderHistory[order_type],$D$13,0)),MATCH(ROW(orderHistory[customer]),ROW(orderHistory[customer])),""),ROWS($A$15:A47)+$B$3)),INDEX(orderHistory[invoice_no],SMALL(IF(ISNUMBER(MATCH(orderHistory[order_type],$D$13,0)*MATCH(YEAR(orderHistory[invoice_date]),$D$15,0)),MATCH(ROW(orderHistory[customer]),ROW(orderHistory[customer])),""),ROWS($A$15:A47)+$B$3)))),IF($D$13="",IF($D$15="",INDEX(orderHistory[invoice_no],SMALL(IF(ISNUMBER(MATCH(orderHistory[status],$D$11,0)),MATCH(ROW(orderHistory[customer]),ROW(orderHistory[customer])),""),ROWS($A$15:A47)+$B$3)),INDEX(orderHistory[invoice_no],SMALL(IF(ISNUMBER(MATCH(orderHistory[status],$D$11,0)*MATCH(YEAR(orderHistory[invoice_date]),$D$15,0)),MATCH(ROW(orderHistory[customer]),ROW(orderHistory[customer])),""),ROWS($A$15:A47)+$B$3))),IF($D$15="",INDEX(orderHistory[invoice_no],SMALL(IF(ISNUMBER(MATCH(orderHistory[status],$D$11,0)*MATCH(orderHistory[order_type],$D$13,0)),MATCH(ROW(orderHistory[customer]),ROW(orderHistory[customer])),""),ROWS($A$15:A47)+$B$3)),INDEX(orderHistory[invoice_no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oice_no],SMALL(IF(ISNUMBER(MATCH(orderHistory[customer],$D$9,0)),MATCH(ROW(orderHistory[customer]),ROW(orderHistory[customer])),""),ROWS($A$15:A47)+$B$3)),INDEX(orderHistory[invoice_no],SMALL(IF(ISNUMBER(MATCH(orderHistory[customer],$D$9,0)*MATCH(YEAR(orderHistory[invoice_date]),$D$15,0)),MATCH(ROW(orderHistory[customer]),ROW(orderHistory[customer])),""),ROWS($A$15:A47)+$B$3))),IF($D$15="",INDEX(orderHistory[invoice_no],SMALL(IF(ISNUMBER(MATCH(orderHistory[customer],$D$9,0)*MATCH(orderHistory[order_type],$D$13,0)),MATCH(ROW(orderHistory[customer]),ROW(orderHistory[customer])),""),ROWS($A$15:A47)+$B$3)),INDEX(orderHistory[invoice_no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YEAR(orderHistory[invoice_date]),$D$15,0)),MATCH(ROW(orderHistory[customer]),ROW(orderHistory[customer])),""),ROWS($A$15:A47)+$B$3))),IF($D$15="",INDEX(orderHistory[invoice_no],SMALL(IF(ISNUMBER(MATCH(orderHistory[customer],$D$9,0)*MATCH(orderHistory[status],$D$11,0)*MATCH(orderHistory[order_type],$D$13,0)),MATCH(ROW(orderHistory[customer]),ROW(orderHistory[customer])),""),ROWS($A$15:A47)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Q42" s="544" t="str">
        <f t="array" ref="Q42">IFERROR(IF($D$9="",IF($D$11="",IF($D$13="",IF($D$15="",INDEX(orderHistory[invoice_date],SMALL(MATCH(ROW(orderHistory[customer]),ROW(orderHistory[customer])),ROWS($A$15:A47)+$B$3)),INDEX(orderHistory[invoice_date],SMALL(IF(ISNUMBER(MATCH(YEAR(orderHistory[invoice_date]),$D$15,0)),MATCH(ROW(orderHistory[customer]),ROW(orderHistory[customer])),""),ROWS($A$15:A47)+$B$3))),IF($D$15="",INDEX(orderHistory[invoice_date],SMALL(IF(ISNUMBER(MATCH(orderHistory[order_type],$D$13,0)),MATCH(ROW(orderHistory[customer]),ROW(orderHistory[customer])),""),ROWS($A$15:A47)+$B$3)),INDEX(orderHistory[invoice_date],SMALL(IF(ISNUMBER(MATCH(orderHistory[order_type],$D$13,0)*MATCH(YEAR(orderHistory[invoice_date]),$D$15,0)),MATCH(ROW(orderHistory[customer]),ROW(orderHistory[customer])),""),ROWS($A$15:A47)+$B$3)))),IF($D$13="",IF($D$15="",INDEX(orderHistory[invoice_date],SMALL(IF(ISNUMBER(MATCH(orderHistory[status],$D$11,0)),MATCH(ROW(orderHistory[customer]),ROW(orderHistory[customer])),""),ROWS($A$15:A47)+$B$3)),INDEX(orderHistory[invoice_date],SMALL(IF(ISNUMBER(MATCH(orderHistory[status],$D$11,0)*MATCH(YEAR(orderHistory[invoice_date]),$D$15,0)),MATCH(ROW(orderHistory[customer]),ROW(orderHistory[customer])),""),ROWS($A$15:A47)+$B$3))),IF($D$15="",INDEX(orderHistory[invoice_date],SMALL(IF(ISNUMBER(MATCH(orderHistory[status],$D$11,0)*MATCH(orderHistory[order_type],$D$13,0)),MATCH(ROW(orderHistory[customer]),ROW(orderHistory[customer])),""),ROWS($A$15:A47)+$B$3)),INDEX(orderHistory[invoice_dat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oice_date],SMALL(IF(ISNUMBER(MATCH(orderHistory[customer],$D$9,0)),MATCH(ROW(orderHistory[customer]),ROW(orderHistory[customer])),""),ROWS($A$15:A47)+$B$3)),INDEX(orderHistory[invoice_date],SMALL(IF(ISNUMBER(MATCH(orderHistory[customer],$D$9,0)*MATCH(YEAR(orderHistory[invoice_date]),$D$15,0)),MATCH(ROW(orderHistory[customer]),ROW(orderHistory[customer])),""),ROWS($A$15:A47)+$B$3))),IF($D$15="",INDEX(orderHistory[invoice_date],SMALL(IF(ISNUMBER(MATCH(orderHistory[customer],$D$9,0)*MATCH(orderHistory[order_type],$D$13,0)),MATCH(ROW(orderHistory[customer]),ROW(orderHistory[customer])),""),ROWS($A$15:A47)+$B$3)),INDEX(orderHistory[invoice_dat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YEAR(orderHistory[invoice_date]),$D$15,0)),MATCH(ROW(orderHistory[customer]),ROW(orderHistory[customer])),""),ROWS($A$15:A47)+$B$3))),IF($D$15="",INDEX(orderHistory[invoice_date],SMALL(IF(ISNUMBER(MATCH(orderHistory[customer],$D$9,0)*MATCH(orderHistory[status],$D$11,0)*MATCH(orderHistory[order_type],$D$13,0)),MATCH(ROW(orderHistory[customer]),ROW(orderHistory[customer])),""),ROWS($A$15:A47)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R42" s="545" t="str">
        <f t="array" ref="R42">IFERROR(IF($D$9="",IF($D$11="",IF($D$13="",IF($D$15="",INDEX(orderHistory[inv_amount],SMALL(MATCH(ROW(orderHistory[customer]),ROW(orderHistory[customer])),ROWS($A$15:A47)+$B$3)),INDEX(orderHistory[inv_amount],SMALL(IF(ISNUMBER(MATCH(YEAR(orderHistory[invoice_date]),$D$15,0)),MATCH(ROW(orderHistory[customer]),ROW(orderHistory[customer])),""),ROWS($A$15:A47)+$B$3))),IF($D$15="",INDEX(orderHistory[inv_amount],SMALL(IF(ISNUMBER(MATCH(orderHistory[order_type],$D$13,0)),MATCH(ROW(orderHistory[customer]),ROW(orderHistory[customer])),""),ROWS($A$15:A47)+$B$3)),INDEX(orderHistory[inv_amount],SMALL(IF(ISNUMBER(MATCH(orderHistory[order_type],$D$13,0)*MATCH(YEAR(orderHistory[invoice_date]),$D$15,0)),MATCH(ROW(orderHistory[customer]),ROW(orderHistory[customer])),""),ROWS($A$15:A47)+$B$3)))),IF($D$13="",IF($D$15="",INDEX(orderHistory[inv_amount],SMALL(IF(ISNUMBER(MATCH(orderHistory[status],$D$11,0)),MATCH(ROW(orderHistory[customer]),ROW(orderHistory[customer])),""),ROWS($A$15:A47)+$B$3)),INDEX(orderHistory[inv_amount],SMALL(IF(ISNUMBER(MATCH(orderHistory[status],$D$11,0)*MATCH(YEAR(orderHistory[invoice_date]),$D$15,0)),MATCH(ROW(orderHistory[customer]),ROW(orderHistory[customer])),""),ROWS($A$15:A47)+$B$3))),IF($D$15="",INDEX(orderHistory[inv_amount],SMALL(IF(ISNUMBER(MATCH(orderHistory[status],$D$11,0)*MATCH(orderHistory[order_type],$D$13,0)),MATCH(ROW(orderHistory[customer]),ROW(orderHistory[customer])),""),ROWS($A$15:A47)+$B$3)),INDEX(orderHistory[inv_amount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_amount],SMALL(IF(ISNUMBER(MATCH(orderHistory[customer],$D$9,0)),MATCH(ROW(orderHistory[customer]),ROW(orderHistory[customer])),""),ROWS($A$15:A47)+$B$3)),INDEX(orderHistory[inv_amount],SMALL(IF(ISNUMBER(MATCH(orderHistory[customer],$D$9,0)*MATCH(YEAR(orderHistory[invoice_date]),$D$15,0)),MATCH(ROW(orderHistory[customer]),ROW(orderHistory[customer])),""),ROWS($A$15:A47)+$B$3))),IF($D$15="",INDEX(orderHistory[inv_amount],SMALL(IF(ISNUMBER(MATCH(orderHistory[customer],$D$9,0)*MATCH(orderHistory[order_type],$D$13,0)),MATCH(ROW(orderHistory[customer]),ROW(orderHistory[customer])),""),ROWS($A$15:A47)+$B$3)),INDEX(orderHistory[inv_amount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_amount],SMALL(IF(ISNUMBER(MATCH(orderHistory[customer],$D$9,0)*MATCH(orderHistory[status],$D$11,0)),MATCH(ROW(orderHistory[customer]),ROW(orderHistory[customer])),""),ROWS($A$15:A47)+$B$3)),INDEX(orderHistory[inv_amount],SMALL(IF(ISNUMBER(MATCH(orderHistory[customer],$D$9,0)*MATCH(orderHistory[status],$D$11,0)*MATCH(YEAR(orderHistory[inv_amount]),$D$15,0)),MATCH(ROW(orderHistory[customer]),ROW(orderHistory[customer])),""),ROWS($A$15:A47)+$B$3))),IF($D$15="",INDEX(orderHistory[inv_amount],SMALL(IF(ISNUMBER(MATCH(orderHistory[customer],$D$9,0)*MATCH(orderHistory[status],$D$11,0)*MATCH(orderHistory[order_type],$D$13,0)),MATCH(ROW(orderHistory[customer]),ROW(orderHistory[customer])),""),ROWS($A$15:A47)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S42" s="546" t="str">
        <f t="shared" si="2"/>
        <v/>
      </c>
      <c r="T42" s="547" t="str">
        <f t="array" ref="T42">IFERROR(IF($D$9="",IF($D$11="",IF($D$13="",IF($D$15="",INDEX(orderHistory[payed],SMALL(MATCH(ROW(orderHistory[customer]),ROW(orderHistory[customer])),ROWS($A$15:A47)+$B$3)),INDEX(orderHistory[payed],SMALL(IF(ISNUMBER(MATCH(YEAR(orderHistory[invoice_date]),$D$15,0)),MATCH(ROW(orderHistory[customer]),ROW(orderHistory[customer])),""),ROWS($A$15:A47)+$B$3))),IF($D$15="",INDEX(orderHistory[payed],SMALL(IF(ISNUMBER(MATCH(orderHistory[order_type],$D$13,0)),MATCH(ROW(orderHistory[customer]),ROW(orderHistory[customer])),""),ROWS($A$15:A47)+$B$3)),INDEX(orderHistory[payed],SMALL(IF(ISNUMBER(MATCH(orderHistory[order_type],$D$13,0)*MATCH(YEAR(orderHistory[invoice_date]),$D$15,0)),MATCH(ROW(orderHistory[customer]),ROW(orderHistory[customer])),""),ROWS($A$15:A47)+$B$3)))),IF($D$13="",IF($D$15="",INDEX(orderHistory[payed],SMALL(IF(ISNUMBER(MATCH(orderHistory[status],$D$11,0)),MATCH(ROW(orderHistory[customer]),ROW(orderHistory[customer])),""),ROWS($A$15:A47)+$B$3)),INDEX(orderHistory[payed],SMALL(IF(ISNUMBER(MATCH(orderHistory[status],$D$11,0)*MATCH(YEAR(orderHistory[invoice_date]),$D$15,0)),MATCH(ROW(orderHistory[customer]),ROW(orderHistory[customer])),""),ROWS($A$15:A47)+$B$3))),IF($D$15="",INDEX(orderHistory[payed],SMALL(IF(ISNUMBER(MATCH(orderHistory[status],$D$11,0)*MATCH(orderHistory[order_type],$D$13,0)),MATCH(ROW(orderHistory[customer]),ROW(orderHistory[customer])),""),ROWS($A$15:A47)+$B$3)),INDEX(orderHistory[payed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payed],SMALL(IF(ISNUMBER(MATCH(orderHistory[customer],$D$9,0)),MATCH(ROW(orderHistory[customer]),ROW(orderHistory[customer])),""),ROWS($A$15:A47)+$B$3)),INDEX(orderHistory[payed],SMALL(IF(ISNUMBER(MATCH(orderHistory[customer],$D$9,0)*MATCH(YEAR(orderHistory[invoice_date]),$D$15,0)),MATCH(ROW(orderHistory[customer]),ROW(orderHistory[customer])),""),ROWS($A$15:A47)+$B$3))),IF($D$15="",INDEX(orderHistory[payed],SMALL(IF(ISNUMBER(MATCH(orderHistory[customer],$D$9,0)*MATCH(orderHistory[order_type],$D$13,0)),MATCH(ROW(orderHistory[customer]),ROW(orderHistory[customer])),""),ROWS($A$15:A47)+$B$3)),INDEX(orderHistory[payed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payed],SMALL(IF(ISNUMBER(MATCH(orderHistory[customer],$D$9,0)*MATCH(orderHistory[status],$D$11,0)),MATCH(ROW(orderHistory[customer]),ROW(orderHistory[customer])),""),ROWS($A$15:A47)+$B$3)),INDEX(orderHistory[payed],SMALL(IF(ISNUMBER(MATCH(orderHistory[customer],$D$9,0)*MATCH(orderHistory[status],$D$11,0)*MATCH(YEAR(orderHistory[payed]),$D$15,0)),MATCH(ROW(orderHistory[customer]),ROW(orderHistory[customer])),""),ROWS($A$15:A47)+$B$3))),IF($D$15="",INDEX(orderHistory[payed],SMALL(IF(ISNUMBER(MATCH(orderHistory[customer],$D$9,0)*MATCH(orderHistory[status],$D$11,0)*MATCH(orderHistory[order_type],$D$13,0)),MATCH(ROW(orderHistory[customer]),ROW(orderHistory[customer])),""),ROWS($A$15:A47)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U42" s="541" t="str">
        <f t="array" ref="U42">IFERROR(IF($D$9="",IF($D$11="",IF($D$13="",IF($D$15="",INDEX(orderHistory[shipping_method],SMALL(MATCH(ROW(orderHistory[customer]),ROW(orderHistory[customer])),ROWS($A$15:A47)+$B$3)),INDEX(orderHistory[shipping_method],SMALL(IF(ISNUMBER(MATCH(YEAR(orderHistory[invoice_date]),$D$15,0)),MATCH(ROW(orderHistory[customer]),ROW(orderHistory[customer])),""),ROWS($A$15:A47)+$B$3))),IF($D$15="",INDEX(orderHistory[shipping_method],SMALL(IF(ISNUMBER(MATCH(orderHistory[order_type],$D$13,0)),MATCH(ROW(orderHistory[customer]),ROW(orderHistory[customer])),""),ROWS($A$15:A47)+$B$3)),INDEX(orderHistory[shipping_method],SMALL(IF(ISNUMBER(MATCH(orderHistory[order_type],$D$13,0)*MATCH(YEAR(orderHistory[invoice_date]),$D$15,0)),MATCH(ROW(orderHistory[customer]),ROW(orderHistory[customer])),""),ROWS($A$15:A47)+$B$3)))),IF($D$13="",IF($D$15="",INDEX(orderHistory[shipping_method],SMALL(IF(ISNUMBER(MATCH(orderHistory[status],$D$11,0)),MATCH(ROW(orderHistory[customer]),ROW(orderHistory[customer])),""),ROWS($A$15:A47)+$B$3)),INDEX(orderHistory[shipping_method],SMALL(IF(ISNUMBER(MATCH(orderHistory[status],$D$11,0)*MATCH(YEAR(orderHistory[invoice_date]),$D$15,0)),MATCH(ROW(orderHistory[customer]),ROW(orderHistory[customer])),""),ROWS($A$15:A47)+$B$3))),IF($D$15="",INDEX(orderHistory[shipping_method],SMALL(IF(ISNUMBER(MATCH(orderHistory[status],$D$11,0)*MATCH(orderHistory[order_type],$D$13,0)),MATCH(ROW(orderHistory[customer]),ROW(orderHistory[customer])),""),ROWS($A$15:A47)+$B$3)),INDEX(orderHistory[shipping_method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shipping_method],SMALL(IF(ISNUMBER(MATCH(orderHistory[customer],$D$9,0)),MATCH(ROW(orderHistory[customer]),ROW(orderHistory[customer])),""),ROWS($A$15:A47)+$B$3)),INDEX(orderHistory[shipping_method],SMALL(IF(ISNUMBER(MATCH(orderHistory[customer],$D$9,0)*MATCH(YEAR(orderHistory[invoice_date]),$D$15,0)),MATCH(ROW(orderHistory[customer]),ROW(orderHistory[customer])),""),ROWS($A$15:A47)+$B$3))),IF($D$15="",INDEX(orderHistory[shipping_method],SMALL(IF(ISNUMBER(MATCH(orderHistory[customer],$D$9,0)*MATCH(orderHistory[order_type],$D$13,0)),MATCH(ROW(orderHistory[customer]),ROW(orderHistory[customer])),""),ROWS($A$15:A47)+$B$3)),INDEX(orderHistory[shipping_method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shipping_method],SMALL(IF(ISNUMBER(MATCH(orderHistory[customer],$D$9,0)*MATCH(orderHistory[status],$D$11,0)),MATCH(ROW(orderHistory[customer]),ROW(orderHistory[customer])),""),ROWS($A$15:A47)+$B$3)),INDEX(orderHistory[shipping_method],SMALL(IF(ISNUMBER(MATCH(orderHistory[customer],$D$9,0)*MATCH(orderHistory[status],$D$11,0)*MATCH(YEAR(orderHistory[shipping_method]),$D$15,0)),MATCH(ROW(orderHistory[customer]),ROW(orderHistory[customer])),""),ROWS($A$15:A47)+$B$3))),IF($D$15="",INDEX(orderHistory[shipping_method],SMALL(IF(ISNUMBER(MATCH(orderHistory[customer],$D$9,0)*MATCH(orderHistory[status],$D$11,0)*MATCH(orderHistory[order_type],$D$13,0)),MATCH(ROW(orderHistory[customer]),ROW(orderHistory[customer])),""),ROWS($A$15:A47)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V42" s="548" t="str">
        <f t="array" ref="V42">IFERROR(IF($D$9="",IF($D$11="",IF($D$13="",IF($D$15="",INDEX(orderHistory[status],SMALL(MATCH(ROW(orderHistory[customer]),ROW(orderHistory[customer])),ROWS($A$15:A47)+$B$3)),INDEX(orderHistory[status],SMALL(IF(ISNUMBER(MATCH(YEAR(orderHistory[invoice_date]),$D$15,0)),MATCH(ROW(orderHistory[customer]),ROW(orderHistory[customer])),""),ROWS($A$15:A47)+$B$3))),IF($D$15="",INDEX(orderHistory[status],SMALL(IF(ISNUMBER(MATCH(orderHistory[order_type],$D$13,0)),MATCH(ROW(orderHistory[customer]),ROW(orderHistory[customer])),""),ROWS($A$15:A47)+$B$3)),INDEX(orderHistory[status],SMALL(IF(ISNUMBER(MATCH(orderHistory[order_type],$D$13,0)*MATCH(YEAR(orderHistory[invoice_date]),$D$15,0)),MATCH(ROW(orderHistory[customer]),ROW(orderHistory[customer])),""),ROWS($A$15:A47)+$B$3)))),IF($D$13="",IF($D$15="",INDEX(orderHistory[status],SMALL(IF(ISNUMBER(MATCH(orderHistory[status],$D$11,0)),MATCH(ROW(orderHistory[customer]),ROW(orderHistory[customer])),""),ROWS($A$15:A47)+$B$3)),INDEX(orderHistory[status],SMALL(IF(ISNUMBER(MATCH(orderHistory[status],$D$11,0)*MATCH(YEAR(orderHistory[invoice_date]),$D$15,0)),MATCH(ROW(orderHistory[customer]),ROW(orderHistory[customer])),""),ROWS($A$15:A47)+$B$3))),IF($D$15="",INDEX(orderHistory[status],SMALL(IF(ISNUMBER(MATCH(orderHistory[status],$D$11,0)*MATCH(orderHistory[order_type],$D$13,0)),MATCH(ROW(orderHistory[customer]),ROW(orderHistory[customer])),""),ROWS($A$15:A47)+$B$3)),INDEX(orderHistory[status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status],SMALL(IF(ISNUMBER(MATCH(orderHistory[customer],$D$9,0)),MATCH(ROW(orderHistory[customer]),ROW(orderHistory[customer])),""),ROWS($A$15:A47)+$B$3)),INDEX(orderHistory[status],SMALL(IF(ISNUMBER(MATCH(orderHistory[customer],$D$9,0)*MATCH(YEAR(orderHistory[invoice_date]),$D$15,0)),MATCH(ROW(orderHistory[customer]),ROW(orderHistory[customer])),""),ROWS($A$15:A47)+$B$3))),IF($D$15="",INDEX(orderHistory[status],SMALL(IF(ISNUMBER(MATCH(orderHistory[customer],$D$9,0)*MATCH(orderHistory[order_type],$D$13,0)),MATCH(ROW(orderHistory[customer]),ROW(orderHistory[customer])),""),ROWS($A$15:A47)+$B$3)),INDEX(orderHistory[status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status],SMALL(IF(ISNUMBER(MATCH(orderHistory[customer],$D$9,0)*MATCH(orderHistory[status],$D$11,0)),MATCH(ROW(orderHistory[customer]),ROW(orderHistory[customer])),""),ROWS($A$15:A47)+$B$3)),INDEX(orderHistory[status],SMALL(IF(ISNUMBER(MATCH(orderHistory[customer],$D$9,0)*MATCH(orderHistory[status],$D$11,0)*MATCH(YEAR(orderHistory[status]),$D$15,0)),MATCH(ROW(orderHistory[customer]),ROW(orderHistory[customer])),""),ROWS($A$15:A47)+$B$3))),IF($D$15="",INDEX(orderHistory[status],SMALL(IF(ISNUMBER(MATCH(orderHistory[customer],$D$9,0)*MATCH(orderHistory[status],$D$11,0)*MATCH(orderHistory[order_type],$D$13,0)),MATCH(ROW(orderHistory[customer]),ROW(orderHistory[customer])),""),ROWS($A$15:A47)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W42" s="107"/>
      <c r="BG42" s="439"/>
      <c r="BK42" s="450"/>
      <c r="BL42" s="451"/>
      <c r="BM42" s="452"/>
      <c r="BN42" s="451"/>
      <c r="BO42" s="452"/>
      <c r="BZ42" s="158"/>
      <c r="CA42" s="154" t="str">
        <f>IF(BZ42="","",INDEX(bhpc_data[description],MATCH(BZ42,bhpc_data[sku],0)))</f>
        <v/>
      </c>
      <c r="CB42" s="159"/>
      <c r="CC42" s="357"/>
      <c r="CD42" s="160"/>
      <c r="CE42" s="360"/>
      <c r="CF42" s="161"/>
      <c r="CG42" s="164" t="str">
        <f>IFERROR(ROUNDUP(CB42/INDEX(bhpc_data[units_per_carton],MATCH(BZ42,bhpc_data[sku],0)),0),"")</f>
        <v/>
      </c>
      <c r="CH42" s="165" t="str">
        <f>IFERROR(ROUNDUP(CD42/INDEX(bhpc_data[units_per_carton],MATCH(BZ42,bhpc_data[sku],0)),0),"")</f>
        <v/>
      </c>
      <c r="CI42" s="165" t="str">
        <f>IFERROR(ROUNDUP(CF42/INDEX(bhpc_data[units_per_carton],MATCH(BZ42,bhpc_data[sku])),0),"")</f>
        <v/>
      </c>
      <c r="CJ42" s="165" t="str">
        <f>IFERROR(((CB42+CD42+CF42)/INDEX(bhpc_data[units_per_carton],MATCH(BZ42,bhpc_data[sku],0)))*INDEX(bhpc_data[net_weight],MATCH(BZ42,bhpc_data[sku],0)),"")</f>
        <v/>
      </c>
      <c r="CK42" s="165" t="str">
        <f>IFERROR(((CB42+CD42+CF42)/INDEX(bhpc_data[units_per_carton],MATCH(BZ42,bhpc_data[sku],0)))*INDEX(bhpc_data[gross_weight],MATCH(BZ42,bhpc_data[sku],0)),"")</f>
        <v/>
      </c>
      <c r="CL42" s="180" t="str">
        <f>IFERROR((CB42+CD42+CF42)/INDEX(bhpc_data[units_per_carton],MATCH(BZ42,bhpc_data[sku],0))*INDEX(bhpc_data[lenght],MATCH(BZ42,bhpc_data[sku],0))*INDEX(bhpc_data[width],MATCH(BZ42,bhpc_data[sku],0))*INDEX(bhpc_data[height],MATCH(BZ42,bhpc_data[sku],0))/1000000000,"")</f>
        <v/>
      </c>
      <c r="CM42" s="189" t="str">
        <f>IFERROR(INDEX(bhpc_data[category],MATCH(BZ42,bhpc_data[sku],0)),"")</f>
        <v/>
      </c>
      <c r="CN42" s="189" t="str">
        <f>IFERROR(INDEX(bhpc_data[size1],MATCH(BZ42,bhpc_data[sku],0)),"")</f>
        <v/>
      </c>
      <c r="CO42" s="388" t="str">
        <f>IFERROR(INDEX(bhpc_data[hs_code],MATCH(BZ42,bhpc_data[sku],0)),"")</f>
        <v/>
      </c>
      <c r="CP42" s="377" t="str">
        <f>IFERROR(INDEX(inventory[ESISTENZA],MATCH(BZ42,inventory[ARTICOLO],0)),"")</f>
        <v/>
      </c>
      <c r="CQ42" s="364" t="str">
        <f>IFERROR(IF(BZ42="","",IF($BX$15="SALE",INDEX(inventory[COSTO UNITARIO],MATCH(BZ42,inventory[ARTICOLO],0)),IF($BX$15="SAMPLING",INDEX(inventory[COSTO UNITARIO],MATCH(BZ42,inventory[ARTICOLO],0)),""))),"")</f>
        <v/>
      </c>
      <c r="CR42" s="365" t="str">
        <f t="shared" ref="CR42:CR73" si="3">IFERROR(IF(BZ42="","",(CB42+CD42+CF42)*CQ42),"")</f>
        <v/>
      </c>
      <c r="CS42" s="264" t="str">
        <f t="shared" ref="CS42:CS73" si="4">IF(BZ42="","",CB42*CC42+CD42*CE42)</f>
        <v/>
      </c>
      <c r="CU42" s="432"/>
      <c r="CV42" s="432"/>
      <c r="CW42" s="432"/>
      <c r="CX42" s="432"/>
      <c r="CY42" s="432"/>
      <c r="CZ42" s="432"/>
      <c r="DA42" s="432" t="str">
        <f>IFERROR(VLOOKUP(BZ42,bhpc_data[],22,FALSE),"")</f>
        <v/>
      </c>
      <c r="DH42" s="296"/>
      <c r="EE42" s="202" t="str" cm="1">
        <f t="array" ref="EE42">IFERROR(IF($EC$9="",IF($EC$11="",IF($EC$13="",INDEX(bhpc_data[sku],SMALL(MATCH(ROW(bhpc_data[sku]),ROW(bhpc_data[sku])),ROWS($A$15:A47)+$B$3)),INDEX(bhpc_data[sku],SMALL(IF(ISNUMBER(MATCH(bhpc_data[size1],$EC$13,0)),MATCH(ROW(bhpc_data[sku]),ROW(bhpc_data[sku])),""),ROWS($A$15:A47)+$B$3))),IF($EC$13="",INDEX(bhpc_data[sku],SMALL(IF(ISNUMBER(MATCH(bhpc_data[sex],$EC$11,0)),MATCH(ROW(bhpc_data[sku]),ROW(bhpc_data[sku])),""),ROWS($A$15:A47)+$B$3)),INDEX(bhpc_data[sku],SMALL(IF(ISNUMBER(MATCH(bhpc_data[sex],$EC$11,0)*MATCH(bhpc_data[size1],$EC$13,0)),MATCH(ROW(bhpc_data[sku]),ROW(bhpc_data[sku])),""),ROWS($A$15:A47)+$B$3)))),IF($EC$11="",IF($EC$13="",INDEX(bhpc_data[sku],SMALL(IF(ISNUMBER(MATCH(bhpc_data[category],$EC$9,0)),MATCH(ROW(bhpc_data[sku]),ROW(bhpc_data[sku])),""),ROWS($A$15:A47)+$B$3)),INDEX(bhpc_data[sku],SMALL(IF(ISNUMBER(MATCH(bhpc_data[category],$EC$9,0)*MATCH(bhpc_data[size1],$EC$13,0)),MATCH(ROW(bhpc_data[sku]),ROW(bhpc_data[sku])),""),ROWS($A$15:A47)+$B$3))),IF($EC$13="",INDEX(bhpc_data[sku],SMALL(IF(ISNUMBER(MATCH(bhpc_data[category],$EC$9,0)*MATCH(bhpc_data[sex],$EC$11,0)),MATCH(ROW(bhpc_data[sku]),ROW(bhpc_data[sku])),""),ROWS($A$15:A47)+$B$3)),INDEX(bhpc_data[sku],SMALL(IF(ISNUMBER(MATCH(bhpc_data[category],$EC$9,0)*MATCH(bhpc_data[sex],$EC$11,0)*MATCH(bhpc_data[size1],$EC$13,0)),MATCH(ROW(bhpc_data[sku]),ROW(bhpc_data[sku])),""),ROWS($A$15:A47)+$B$3))))),"")</f>
        <v>GSTW19</v>
      </c>
      <c r="EF42" s="198" t="str" cm="1">
        <f t="array" ref="EF42">IFERROR(IF($EC$9="",IF($EC$11="",IF($EC$13="",INDEX(bhpc_data[description],SMALL(MATCH(ROW(bhpc_data[sku]),ROW(bhpc_data[sku])),ROWS($A$15:A47)+$B$3)),INDEX(bhpc_data[description],SMALL(IF(ISNUMBER(MATCH(bhpc_data[size1],$EC$13,0)),MATCH(ROW(bhpc_data[sku]),ROW(bhpc_data[sku])),""),ROWS($A$15:A47)+$B$3))),IF($EC$13="",INDEX(bhpc_data[description],SMALL(IF(ISNUMBER(MATCH(bhpc_data[sex],$EC$11,0)),MATCH(ROW(bhpc_data[sku]),ROW(bhpc_data[sku])),""),ROWS($A$15:A47)+$B$3)),INDEX(bhpc_data[description],SMALL(IF(ISNUMBER(MATCH(bhpc_data[sex],$EC$11,0)*MATCH(bhpc_data[size1],$EC$13,0)),MATCH(ROW(bhpc_data[sku]),ROW(bhpc_data[sku])),""),ROWS($A$15:A47)+$B$3)))),IF($EC$11="",IF($EC$13="",INDEX(bhpc_data[description],SMALL(IF(ISNUMBER(MATCH(bhpc_data[category],$EC$9,0)),MATCH(ROW(bhpc_data[sku]),ROW(bhpc_data[sku])),""),ROWS($A$15:A47)+$B$3)),INDEX(bhpc_data[description],SMALL(IF(ISNUMBER(MATCH(bhpc_data[category],$EC$9,0)*MATCH(bhpc_data[size1],$EC$13,0)),MATCH(ROW(bhpc_data[sku]),ROW(bhpc_data[sku])),""),ROWS($A$15:A47)+$B$3))),IF($EC$13="",INDEX(bhpc_data[description],SMALL(IF(ISNUMBER(MATCH(bhpc_data[category],$EC$9,0)*MATCH(bhpc_data[sex],$EC$11,0)),MATCH(ROW(bhpc_data[sku]),ROW(bhpc_data[sku])),""),ROWS($A$15:A47)+$B$3)),INDEX(bhpc_data[description],SMALL(IF(ISNUMBER(MATCH(bhpc_data[category],$EC$9,0)*MATCH(bhpc_data[sex],$EC$11,0)*MATCH(bhpc_data[size1],$EC$13,0)),MATCH(ROW(bhpc_data[sku]),ROW(bhpc_data[sku])),""),ROWS($A$15:A47)+$B$3))))),"")</f>
        <v>BHPC TWINPACK DEO WOMEN #1 #9 150ML</v>
      </c>
      <c r="EG42" s="263">
        <f>IFERROR(IF(warehouse[[#This Row],[SKU]]="","",INDEX(inventory[ESISTENZA],MATCH(warehouse[[#This Row],[SKU]],inventory[ARTICOLO],0))),"")</f>
        <v>0</v>
      </c>
      <c r="EH42" s="328"/>
      <c r="EI42" s="328"/>
      <c r="EJ42" s="263"/>
      <c r="EK42" s="329"/>
      <c r="EO42" s="296" t="str">
        <f t="array" ref="EO42">IFERROR(INDEX(orderHistory[order_no],SMALL(IF(ISNUMBER(MATCH(orderHistory[status],$EO$7,0)),MATCH(ROW(orderHistory[order_no]),ROW(orderHistory[order_no])),""),ROWS($A$15:A47))),"")</f>
        <v/>
      </c>
    </row>
    <row r="43" spans="10:228" ht="15" customHeight="1" x14ac:dyDescent="0.35">
      <c r="L43" s="539" t="str">
        <f t="array" ref="L43">IFERROR(IF($D$9="",IF($D$11="",IF($D$13="",IF($D$15="",INDEX(orderHistory[customer],SMALL(MATCH(ROW(orderHistory[customer]),ROW(orderHistory[customer])),ROWS($A$15:A48)+$B$3)),INDEX(orderHistory[customer],SMALL(IF(ISNUMBER(MATCH(YEAR(orderHistory[invoice_date]),$D$15,0)),MATCH(ROW(orderHistory[customer]),ROW(orderHistory[customer])),""),ROWS($A$15:A48)+$B$3))),IF($D$15="",INDEX(orderHistory[customer],SMALL(IF(ISNUMBER(MATCH(orderHistory[order_type],$D$13,0)),MATCH(ROW(orderHistory[customer]),ROW(orderHistory[customer])),""),ROWS($A$15:A48)+$B$3)),INDEX(orderHistory[customer],SMALL(IF(ISNUMBER(MATCH(orderHistory[order_type],$D$13,0)*MATCH(YEAR(orderHistory[invoice_date]),$D$15,0)),MATCH(ROW(orderHistory[customer]),ROW(orderHistory[customer])),""),ROWS($A$15:A48)+$B$3)))),IF($D$13="",IF($D$15="",INDEX(orderHistory[customer],SMALL(IF(ISNUMBER(MATCH(orderHistory[status],$D$11,0)),MATCH(ROW(orderHistory[customer]),ROW(orderHistory[customer])),""),ROWS($A$15:A48)+$B$3)),INDEX(orderHistory[customer],SMALL(IF(ISNUMBER(MATCH(orderHistory[status],$D$11,0)*MATCH(YEAR(orderHistory[invoice_date]),$D$15,0)),MATCH(ROW(orderHistory[customer]),ROW(orderHistory[customer])),""),ROWS($A$15:A48)+$B$3))),IF($D$15="",INDEX(orderHistory[customer],SMALL(IF(ISNUMBER(MATCH(orderHistory[status],$D$11,0)*MATCH(orderHistory[order_type],$D$13,0)),MATCH(ROW(orderHistory[customer]),ROW(orderHistory[customer])),""),ROWS($A$15:A48)+$B$3)),INDEX(orderHistory[customer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customer],SMALL(IF(ISNUMBER(MATCH(orderHistory[customer],$D$9,0)),MATCH(ROW(orderHistory[customer]),ROW(orderHistory[customer])),""),ROWS($A$15:A48)+$B$3)),INDEX(orderHistory[customer],SMALL(IF(ISNUMBER(MATCH(orderHistory[customer],$D$9,0)*MATCH(YEAR(orderHistory[invoice_date]),$D$15,0)),MATCH(ROW(orderHistory[customer]),ROW(orderHistory[customer])),""),ROWS($A$15:A48)+$B$3))),IF($D$15="",INDEX(orderHistory[customer],SMALL(IF(ISNUMBER(MATCH(orderHistory[customer],$D$9,0)*MATCH(orderHistory[order_type],$D$13,0)),MATCH(ROW(orderHistory[customer]),ROW(orderHistory[customer])),""),ROWS($A$15:A48)+$B$3)),INDEX(orderHistory[customer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customer],SMALL(IF(ISNUMBER(MATCH(orderHistory[customer],$D$9,0)*MATCH(orderHistory[status],$D$11,0)),MATCH(ROW(orderHistory[customer]),ROW(orderHistory[customer])),""),ROWS($A$15:A48)+$B$3)),INDEX(orderHistory[customer],SMALL(IF(ISNUMBER(MATCH(orderHistory[customer],$D$9,0)*MATCH(orderHistory[status],$D$11,0)*MATCH(YEAR(orderHistory[invoice_date]),$D$15,0)),MATCH(ROW(orderHistory[customer]),ROW(orderHistory[customer])),""),ROWS($A$15:A48)+$B$3))),IF($D$15="",INDEX(orderHistory[customer],SMALL(IF(ISNUMBER(MATCH(orderHistory[customer],$D$9,0)*MATCH(orderHistory[status],$D$11,0)*MATCH(orderHistory[order_type],$D$13,0)),MATCH(ROW(orderHistory[customer]),ROW(orderHistory[customer])),""),ROWS($A$15:A48)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M43" s="540" t="str">
        <f t="array" ref="M43">IFERROR(IF($D$9="",IF($D$11="",IF($D$13="",IF($D$15="",INDEX(orderHistory[order_no],SMALL(MATCH(ROW(orderHistory[customer]),ROW(orderHistory[customer])),ROWS($A$15:A48)+$B$3)),INDEX(orderHistory[order_no],SMALL(IF(ISNUMBER(MATCH(YEAR(orderHistory[invoice_date]),$D$15,0)),MATCH(ROW(orderHistory[customer]),ROW(orderHistory[customer])),""),ROWS($A$15:A48)+$B$3))),IF($D$15="",INDEX(orderHistory[order_no],SMALL(IF(ISNUMBER(MATCH(orderHistory[order_type],$D$13,0)),MATCH(ROW(orderHistory[customer]),ROW(orderHistory[customer])),""),ROWS($A$15:A48)+$B$3)),INDEX(orderHistory[order_no],SMALL(IF(ISNUMBER(MATCH(orderHistory[order_type],$D$13,0)*MATCH(YEAR(orderHistory[invoice_date]),$D$15,0)),MATCH(ROW(orderHistory[customer]),ROW(orderHistory[customer])),""),ROWS($A$15:A48)+$B$3)))),IF($D$13="",IF($D$15="",INDEX(orderHistory[order_no],SMALL(IF(ISNUMBER(MATCH(orderHistory[status],$D$11,0)),MATCH(ROW(orderHistory[customer]),ROW(orderHistory[customer])),""),ROWS($A$15:A48)+$B$3)),INDEX(orderHistory[order_no],SMALL(IF(ISNUMBER(MATCH(orderHistory[status],$D$11,0)*MATCH(YEAR(orderHistory[invoice_date]),$D$15,0)),MATCH(ROW(orderHistory[customer]),ROW(orderHistory[customer])),""),ROWS($A$15:A48)+$B$3))),IF($D$15="",INDEX(orderHistory[order_no],SMALL(IF(ISNUMBER(MATCH(orderHistory[status],$D$11,0)*MATCH(orderHistory[order_type],$D$13,0)),MATCH(ROW(orderHistory[customer]),ROW(orderHistory[customer])),""),ROWS($A$15:A48)+$B$3)),INDEX(orderHistory[order_no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no],SMALL(IF(ISNUMBER(MATCH(orderHistory[customer],$D$9,0)),MATCH(ROW(orderHistory[customer]),ROW(orderHistory[customer])),""),ROWS($A$15:A48)+$B$3)),INDEX(orderHistory[order_no],SMALL(IF(ISNUMBER(MATCH(orderHistory[customer],$D$9,0)*MATCH(YEAR(orderHistory[invoice_date]),$D$15,0)),MATCH(ROW(orderHistory[customer]),ROW(orderHistory[customer])),""),ROWS($A$15:A48)+$B$3))),IF($D$15="",INDEX(orderHistory[order_no],SMALL(IF(ISNUMBER(MATCH(orderHistory[customer],$D$9,0)*MATCH(orderHistory[order_type],$D$13,0)),MATCH(ROW(orderHistory[customer]),ROW(orderHistory[customer])),""),ROWS($A$15:A48)+$B$3)),INDEX(orderHistory[order_no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no],SMALL(IF(ISNUMBER(MATCH(orderHistory[customer],$D$9,0)*MATCH(orderHistory[status],$D$11,0)),MATCH(ROW(orderHistory[customer]),ROW(orderHistory[customer])),""),ROWS($A$15:A48)+$B$3)),INDEX(orderHistory[order_no],SMALL(IF(ISNUMBER(MATCH(orderHistory[customer],$D$9,0)*MATCH(orderHistory[status],$D$11,0)*MATCH(YEAR(orderHistory[invoice_date]),$D$15,0)),MATCH(ROW(orderHistory[customer]),ROW(orderHistory[customer])),""),ROWS($A$15:A48)+$B$3))),IF($D$15="",INDEX(orderHistory[order_no],SMALL(IF(ISNUMBER(MATCH(orderHistory[customer],$D$9,0)*MATCH(orderHistory[status],$D$11,0)*MATCH(orderHistory[order_type],$D$13,0)),MATCH(ROW(orderHistory[customer]),ROW(orderHistory[customer])),""),ROWS($A$15:A48)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N43" s="541" t="str">
        <f t="array" ref="N43">IFERROR(IF($D$9="",IF($D$11="",IF($D$13="",IF($D$15="",INDEX(orderHistory[order_type],SMALL(MATCH(ROW(orderHistory[customer]),ROW(orderHistory[customer])),ROWS($A$15:A48)+$B$3)),INDEX(orderHistory[order_type],SMALL(IF(ISNUMBER(MATCH(YEAR(orderHistory[invoice_date]),$D$15,0)),MATCH(ROW(orderHistory[customer]),ROW(orderHistory[customer])),""),ROWS($A$15:A48)+$B$3))),IF($D$15="",INDEX(orderHistory[order_type],SMALL(IF(ISNUMBER(MATCH(orderHistory[order_type],$D$13,0)),MATCH(ROW(orderHistory[customer]),ROW(orderHistory[customer])),""),ROWS($A$15:A48)+$B$3)),INDEX(orderHistory[order_type],SMALL(IF(ISNUMBER(MATCH(orderHistory[order_type],$D$13,0)*MATCH(YEAR(orderHistory[invoice_date]),$D$15,0)),MATCH(ROW(orderHistory[customer]),ROW(orderHistory[customer])),""),ROWS($A$15:A48)+$B$3)))),IF($D$13="",IF($D$15="",INDEX(orderHistory[order_type],SMALL(IF(ISNUMBER(MATCH(orderHistory[status],$D$11,0)),MATCH(ROW(orderHistory[customer]),ROW(orderHistory[customer])),""),ROWS($A$15:A48)+$B$3)),INDEX(orderHistory[order_type],SMALL(IF(ISNUMBER(MATCH(orderHistory[status],$D$11,0)*MATCH(YEAR(orderHistory[invoice_date]),$D$15,0)),MATCH(ROW(orderHistory[customer]),ROW(orderHistory[customer])),""),ROWS($A$15:A48)+$B$3))),IF($D$15="",INDEX(orderHistory[order_type],SMALL(IF(ISNUMBER(MATCH(orderHistory[status],$D$11,0)*MATCH(orderHistory[order_type],$D$13,0)),MATCH(ROW(orderHistory[customer]),ROW(orderHistory[customer])),""),ROWS($A$15:A48)+$B$3)),INDEX(orderHistory[order_typ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type],SMALL(IF(ISNUMBER(MATCH(orderHistory[customer],$D$9,0)),MATCH(ROW(orderHistory[customer]),ROW(orderHistory[customer])),""),ROWS($A$15:A48)+$B$3)),INDEX(orderHistory[order_type],SMALL(IF(ISNUMBER(MATCH(orderHistory[customer],$D$9,0)*MATCH(YEAR(orderHistory[invoice_date]),$D$15,0)),MATCH(ROW(orderHistory[customer]),ROW(orderHistory[customer])),""),ROWS($A$15:A48)+$B$3))),IF($D$15="",INDEX(orderHistory[order_type],SMALL(IF(ISNUMBER(MATCH(orderHistory[customer],$D$9,0)*MATCH(orderHistory[order_type],$D$13,0)),MATCH(ROW(orderHistory[customer]),ROW(orderHistory[customer])),""),ROWS($A$15:A48)+$B$3)),INDEX(orderHistory[order_typ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type],SMALL(IF(ISNUMBER(MATCH(orderHistory[customer],$D$9,0)*MATCH(orderHistory[status],$D$11,0)),MATCH(ROW(orderHistory[customer]),ROW(orderHistory[customer])),""),ROWS($A$15:A48)+$B$3)),INDEX(orderHistory[order_type],SMALL(IF(ISNUMBER(MATCH(orderHistory[customer],$D$9,0)*MATCH(orderHistory[status],$D$11,0)*MATCH(YEAR(orderHistory[invoice_date]),$D$15,0)),MATCH(ROW(orderHistory[customer]),ROW(orderHistory[customer])),""),ROWS($A$15:A48)+$B$3))),IF($D$15="",INDEX(orderHistory[order_type],SMALL(IF(ISNUMBER(MATCH(orderHistory[customer],$D$9,0)*MATCH(orderHistory[status],$D$11,0)*MATCH(orderHistory[order_type],$D$13,0)),MATCH(ROW(orderHistory[customer]),ROW(orderHistory[customer])),""),ROWS($A$15:A48)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O43" s="542" t="str">
        <f t="array" ref="O43">IFERROR(IF($D$9="",IF($D$11="",IF($D$13="",IF($D$15="",INDEX(orderHistory[order_date],SMALL(MATCH(ROW(orderHistory[customer]),ROW(orderHistory[customer])),ROWS($A$15:A48)+$B$3)),INDEX(orderHistory[order_date],SMALL(IF(ISNUMBER(MATCH(YEAR(orderHistory[invoice_date]),$D$15,0)),MATCH(ROW(orderHistory[customer]),ROW(orderHistory[customer])),""),ROWS($A$15:A48)+$B$3))),IF($D$15="",INDEX(orderHistory[order_date],SMALL(IF(ISNUMBER(MATCH(orderHistory[order_type],$D$13,0)),MATCH(ROW(orderHistory[customer]),ROW(orderHistory[customer])),""),ROWS($A$15:A48)+$B$3)),INDEX(orderHistory[order_date],SMALL(IF(ISNUMBER(MATCH(orderHistory[order_type],$D$13,0)*MATCH(YEAR(orderHistory[invoice_date]),$D$15,0)),MATCH(ROW(orderHistory[customer]),ROW(orderHistory[customer])),""),ROWS($A$15:A48)+$B$3)))),IF($D$13="",IF($D$15="",INDEX(orderHistory[order_date],SMALL(IF(ISNUMBER(MATCH(orderHistory[status],$D$11,0)),MATCH(ROW(orderHistory[customer]),ROW(orderHistory[customer])),""),ROWS($A$15:A48)+$B$3)),INDEX(orderHistory[order_date],SMALL(IF(ISNUMBER(MATCH(orderHistory[status],$D$11,0)*MATCH(YEAR(orderHistory[invoice_date]),$D$15,0)),MATCH(ROW(orderHistory[customer]),ROW(orderHistory[customer])),""),ROWS($A$15:A48)+$B$3))),IF($D$15="",INDEX(orderHistory[order_date],SMALL(IF(ISNUMBER(MATCH(orderHistory[status],$D$11,0)*MATCH(orderHistory[order_type],$D$13,0)),MATCH(ROW(orderHistory[customer]),ROW(orderHistory[customer])),""),ROWS($A$15:A48)+$B$3)),INDEX(orderHistory[order_dat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date],SMALL(IF(ISNUMBER(MATCH(orderHistory[customer],$D$9,0)),MATCH(ROW(orderHistory[customer]),ROW(orderHistory[customer])),""),ROWS($A$15:A48)+$B$3)),INDEX(orderHistory[order_date],SMALL(IF(ISNUMBER(MATCH(orderHistory[customer],$D$9,0)*MATCH(YEAR(orderHistory[invoice_date]),$D$15,0)),MATCH(ROW(orderHistory[customer]),ROW(orderHistory[customer])),""),ROWS($A$15:A48)+$B$3))),IF($D$15="",INDEX(orderHistory[order_date],SMALL(IF(ISNUMBER(MATCH(orderHistory[customer],$D$9,0)*MATCH(orderHistory[order_type],$D$13,0)),MATCH(ROW(orderHistory[customer]),ROW(orderHistory[customer])),""),ROWS($A$15:A48)+$B$3)),INDEX(orderHistory[order_dat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date],SMALL(IF(ISNUMBER(MATCH(orderHistory[customer],$D$9,0)*MATCH(orderHistory[status],$D$11,0)),MATCH(ROW(orderHistory[customer]),ROW(orderHistory[customer])),""),ROWS($A$15:A48)+$B$3)),INDEX(orderHistory[order_date],SMALL(IF(ISNUMBER(MATCH(orderHistory[customer],$D$9,0)*MATCH(orderHistory[status],$D$11,0)*MATCH(YEAR(orderHistory[invoice_date]),$D$15,0)),MATCH(ROW(orderHistory[customer]),ROW(orderHistory[customer])),""),ROWS($A$15:A48)+$B$3))),IF($D$15="",INDEX(orderHistory[order_date],SMALL(IF(ISNUMBER(MATCH(orderHistory[customer],$D$9,0)*MATCH(orderHistory[status],$D$11,0)*MATCH(orderHistory[order_type],$D$13,0)),MATCH(ROW(orderHistory[customer]),ROW(orderHistory[customer])),""),ROWS($A$15:A48)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P43" s="543" t="str">
        <f t="array" ref="P43">IFERROR(IF($D$9="",IF($D$11="",IF($D$13="",IF($D$15="",INDEX(orderHistory[invoice_no],SMALL(MATCH(ROW(orderHistory[customer]),ROW(orderHistory[customer])),ROWS($A$15:A48)+$B$3)),INDEX(orderHistory[invoice_no],SMALL(IF(ISNUMBER(MATCH(YEAR(orderHistory[invoice_date]),$D$15,0)),MATCH(ROW(orderHistory[customer]),ROW(orderHistory[customer])),""),ROWS($A$15:A48)+$B$3))),IF($D$15="",INDEX(orderHistory[invoice_no],SMALL(IF(ISNUMBER(MATCH(orderHistory[order_type],$D$13,0)),MATCH(ROW(orderHistory[customer]),ROW(orderHistory[customer])),""),ROWS($A$15:A48)+$B$3)),INDEX(orderHistory[invoice_no],SMALL(IF(ISNUMBER(MATCH(orderHistory[order_type],$D$13,0)*MATCH(YEAR(orderHistory[invoice_date]),$D$15,0)),MATCH(ROW(orderHistory[customer]),ROW(orderHistory[customer])),""),ROWS($A$15:A48)+$B$3)))),IF($D$13="",IF($D$15="",INDEX(orderHistory[invoice_no],SMALL(IF(ISNUMBER(MATCH(orderHistory[status],$D$11,0)),MATCH(ROW(orderHistory[customer]),ROW(orderHistory[customer])),""),ROWS($A$15:A48)+$B$3)),INDEX(orderHistory[invoice_no],SMALL(IF(ISNUMBER(MATCH(orderHistory[status],$D$11,0)*MATCH(YEAR(orderHistory[invoice_date]),$D$15,0)),MATCH(ROW(orderHistory[customer]),ROW(orderHistory[customer])),""),ROWS($A$15:A48)+$B$3))),IF($D$15="",INDEX(orderHistory[invoice_no],SMALL(IF(ISNUMBER(MATCH(orderHistory[status],$D$11,0)*MATCH(orderHistory[order_type],$D$13,0)),MATCH(ROW(orderHistory[customer]),ROW(orderHistory[customer])),""),ROWS($A$15:A48)+$B$3)),INDEX(orderHistory[invoice_no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oice_no],SMALL(IF(ISNUMBER(MATCH(orderHistory[customer],$D$9,0)),MATCH(ROW(orderHistory[customer]),ROW(orderHistory[customer])),""),ROWS($A$15:A48)+$B$3)),INDEX(orderHistory[invoice_no],SMALL(IF(ISNUMBER(MATCH(orderHistory[customer],$D$9,0)*MATCH(YEAR(orderHistory[invoice_date]),$D$15,0)),MATCH(ROW(orderHistory[customer]),ROW(orderHistory[customer])),""),ROWS($A$15:A48)+$B$3))),IF($D$15="",INDEX(orderHistory[invoice_no],SMALL(IF(ISNUMBER(MATCH(orderHistory[customer],$D$9,0)*MATCH(orderHistory[order_type],$D$13,0)),MATCH(ROW(orderHistory[customer]),ROW(orderHistory[customer])),""),ROWS($A$15:A48)+$B$3)),INDEX(orderHistory[invoice_no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oice_no],SMALL(IF(ISNUMBER(MATCH(orderHistory[customer],$D$9,0)*MATCH(orderHistory[status],$D$11,0)),MATCH(ROW(orderHistory[customer]),ROW(orderHistory[customer])),""),ROWS($A$15:A48)+$B$3)),INDEX(orderHistory[invoice_no],SMALL(IF(ISNUMBER(MATCH(orderHistory[customer],$D$9,0)*MATCH(orderHistory[status],$D$11,0)*MATCH(YEAR(orderHistory[invoice_date]),$D$15,0)),MATCH(ROW(orderHistory[customer]),ROW(orderHistory[customer])),""),ROWS($A$15:A48)+$B$3))),IF($D$15="",INDEX(orderHistory[invoice_no],SMALL(IF(ISNUMBER(MATCH(orderHistory[customer],$D$9,0)*MATCH(orderHistory[status],$D$11,0)*MATCH(orderHistory[order_type],$D$13,0)),MATCH(ROW(orderHistory[customer]),ROW(orderHistory[customer])),""),ROWS($A$15:A48)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Q43" s="544" t="str">
        <f t="array" ref="Q43">IFERROR(IF($D$9="",IF($D$11="",IF($D$13="",IF($D$15="",INDEX(orderHistory[invoice_date],SMALL(MATCH(ROW(orderHistory[customer]),ROW(orderHistory[customer])),ROWS($A$15:A48)+$B$3)),INDEX(orderHistory[invoice_date],SMALL(IF(ISNUMBER(MATCH(YEAR(orderHistory[invoice_date]),$D$15,0)),MATCH(ROW(orderHistory[customer]),ROW(orderHistory[customer])),""),ROWS($A$15:A48)+$B$3))),IF($D$15="",INDEX(orderHistory[invoice_date],SMALL(IF(ISNUMBER(MATCH(orderHistory[order_type],$D$13,0)),MATCH(ROW(orderHistory[customer]),ROW(orderHistory[customer])),""),ROWS($A$15:A48)+$B$3)),INDEX(orderHistory[invoice_date],SMALL(IF(ISNUMBER(MATCH(orderHistory[order_type],$D$13,0)*MATCH(YEAR(orderHistory[invoice_date]),$D$15,0)),MATCH(ROW(orderHistory[customer]),ROW(orderHistory[customer])),""),ROWS($A$15:A48)+$B$3)))),IF($D$13="",IF($D$15="",INDEX(orderHistory[invoice_date],SMALL(IF(ISNUMBER(MATCH(orderHistory[status],$D$11,0)),MATCH(ROW(orderHistory[customer]),ROW(orderHistory[customer])),""),ROWS($A$15:A48)+$B$3)),INDEX(orderHistory[invoice_date],SMALL(IF(ISNUMBER(MATCH(orderHistory[status],$D$11,0)*MATCH(YEAR(orderHistory[invoice_date]),$D$15,0)),MATCH(ROW(orderHistory[customer]),ROW(orderHistory[customer])),""),ROWS($A$15:A48)+$B$3))),IF($D$15="",INDEX(orderHistory[invoice_date],SMALL(IF(ISNUMBER(MATCH(orderHistory[status],$D$11,0)*MATCH(orderHistory[order_type],$D$13,0)),MATCH(ROW(orderHistory[customer]),ROW(orderHistory[customer])),""),ROWS($A$15:A48)+$B$3)),INDEX(orderHistory[invoice_dat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oice_date],SMALL(IF(ISNUMBER(MATCH(orderHistory[customer],$D$9,0)),MATCH(ROW(orderHistory[customer]),ROW(orderHistory[customer])),""),ROWS($A$15:A48)+$B$3)),INDEX(orderHistory[invoice_date],SMALL(IF(ISNUMBER(MATCH(orderHistory[customer],$D$9,0)*MATCH(YEAR(orderHistory[invoice_date]),$D$15,0)),MATCH(ROW(orderHistory[customer]),ROW(orderHistory[customer])),""),ROWS($A$15:A48)+$B$3))),IF($D$15="",INDEX(orderHistory[invoice_date],SMALL(IF(ISNUMBER(MATCH(orderHistory[customer],$D$9,0)*MATCH(orderHistory[order_type],$D$13,0)),MATCH(ROW(orderHistory[customer]),ROW(orderHistory[customer])),""),ROWS($A$15:A48)+$B$3)),INDEX(orderHistory[invoice_dat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oice_date],SMALL(IF(ISNUMBER(MATCH(orderHistory[customer],$D$9,0)*MATCH(orderHistory[status],$D$11,0)),MATCH(ROW(orderHistory[customer]),ROW(orderHistory[customer])),""),ROWS($A$15:A48)+$B$3)),INDEX(orderHistory[invoice_date],SMALL(IF(ISNUMBER(MATCH(orderHistory[customer],$D$9,0)*MATCH(orderHistory[status],$D$11,0)*MATCH(YEAR(orderHistory[invoice_date]),$D$15,0)),MATCH(ROW(orderHistory[customer]),ROW(orderHistory[customer])),""),ROWS($A$15:A48)+$B$3))),IF($D$15="",INDEX(orderHistory[invoice_date],SMALL(IF(ISNUMBER(MATCH(orderHistory[customer],$D$9,0)*MATCH(orderHistory[status],$D$11,0)*MATCH(orderHistory[order_type],$D$13,0)),MATCH(ROW(orderHistory[customer]),ROW(orderHistory[customer])),""),ROWS($A$15:A48)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R43" s="545" t="str">
        <f t="array" ref="R43">IFERROR(IF($D$9="",IF($D$11="",IF($D$13="",IF($D$15="",INDEX(orderHistory[inv_amount],SMALL(MATCH(ROW(orderHistory[customer]),ROW(orderHistory[customer])),ROWS($A$15:A48)+$B$3)),INDEX(orderHistory[inv_amount],SMALL(IF(ISNUMBER(MATCH(YEAR(orderHistory[invoice_date]),$D$15,0)),MATCH(ROW(orderHistory[customer]),ROW(orderHistory[customer])),""),ROWS($A$15:A48)+$B$3))),IF($D$15="",INDEX(orderHistory[inv_amount],SMALL(IF(ISNUMBER(MATCH(orderHistory[order_type],$D$13,0)),MATCH(ROW(orderHistory[customer]),ROW(orderHistory[customer])),""),ROWS($A$15:A48)+$B$3)),INDEX(orderHistory[inv_amount],SMALL(IF(ISNUMBER(MATCH(orderHistory[order_type],$D$13,0)*MATCH(YEAR(orderHistory[invoice_date]),$D$15,0)),MATCH(ROW(orderHistory[customer]),ROW(orderHistory[customer])),""),ROWS($A$15:A48)+$B$3)))),IF($D$13="",IF($D$15="",INDEX(orderHistory[inv_amount],SMALL(IF(ISNUMBER(MATCH(orderHistory[status],$D$11,0)),MATCH(ROW(orderHistory[customer]),ROW(orderHistory[customer])),""),ROWS($A$15:A48)+$B$3)),INDEX(orderHistory[inv_amount],SMALL(IF(ISNUMBER(MATCH(orderHistory[status],$D$11,0)*MATCH(YEAR(orderHistory[invoice_date]),$D$15,0)),MATCH(ROW(orderHistory[customer]),ROW(orderHistory[customer])),""),ROWS($A$15:A48)+$B$3))),IF($D$15="",INDEX(orderHistory[inv_amount],SMALL(IF(ISNUMBER(MATCH(orderHistory[status],$D$11,0)*MATCH(orderHistory[order_type],$D$13,0)),MATCH(ROW(orderHistory[customer]),ROW(orderHistory[customer])),""),ROWS($A$15:A48)+$B$3)),INDEX(orderHistory[inv_amount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_amount],SMALL(IF(ISNUMBER(MATCH(orderHistory[customer],$D$9,0)),MATCH(ROW(orderHistory[customer]),ROW(orderHistory[customer])),""),ROWS($A$15:A48)+$B$3)),INDEX(orderHistory[inv_amount],SMALL(IF(ISNUMBER(MATCH(orderHistory[customer],$D$9,0)*MATCH(YEAR(orderHistory[invoice_date]),$D$15,0)),MATCH(ROW(orderHistory[customer]),ROW(orderHistory[customer])),""),ROWS($A$15:A48)+$B$3))),IF($D$15="",INDEX(orderHistory[inv_amount],SMALL(IF(ISNUMBER(MATCH(orderHistory[customer],$D$9,0)*MATCH(orderHistory[order_type],$D$13,0)),MATCH(ROW(orderHistory[customer]),ROW(orderHistory[customer])),""),ROWS($A$15:A48)+$B$3)),INDEX(orderHistory[inv_amount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_amount],SMALL(IF(ISNUMBER(MATCH(orderHistory[customer],$D$9,0)*MATCH(orderHistory[status],$D$11,0)),MATCH(ROW(orderHistory[customer]),ROW(orderHistory[customer])),""),ROWS($A$15:A48)+$B$3)),INDEX(orderHistory[inv_amount],SMALL(IF(ISNUMBER(MATCH(orderHistory[customer],$D$9,0)*MATCH(orderHistory[status],$D$11,0)*MATCH(YEAR(orderHistory[inv_amount]),$D$15,0)),MATCH(ROW(orderHistory[customer]),ROW(orderHistory[customer])),""),ROWS($A$15:A48)+$B$3))),IF($D$15="",INDEX(orderHistory[inv_amount],SMALL(IF(ISNUMBER(MATCH(orderHistory[customer],$D$9,0)*MATCH(orderHistory[status],$D$11,0)*MATCH(orderHistory[order_type],$D$13,0)),MATCH(ROW(orderHistory[customer]),ROW(orderHistory[customer])),""),ROWS($A$15:A48)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S43" s="546" t="str">
        <f t="shared" si="2"/>
        <v/>
      </c>
      <c r="T43" s="547" t="str">
        <f t="array" ref="T43">IFERROR(IF($D$9="",IF($D$11="",IF($D$13="",IF($D$15="",INDEX(orderHistory[payed],SMALL(MATCH(ROW(orderHistory[customer]),ROW(orderHistory[customer])),ROWS($A$15:A48)+$B$3)),INDEX(orderHistory[payed],SMALL(IF(ISNUMBER(MATCH(YEAR(orderHistory[invoice_date]),$D$15,0)),MATCH(ROW(orderHistory[customer]),ROW(orderHistory[customer])),""),ROWS($A$15:A48)+$B$3))),IF($D$15="",INDEX(orderHistory[payed],SMALL(IF(ISNUMBER(MATCH(orderHistory[order_type],$D$13,0)),MATCH(ROW(orderHistory[customer]),ROW(orderHistory[customer])),""),ROWS($A$15:A48)+$B$3)),INDEX(orderHistory[payed],SMALL(IF(ISNUMBER(MATCH(orderHistory[order_type],$D$13,0)*MATCH(YEAR(orderHistory[invoice_date]),$D$15,0)),MATCH(ROW(orderHistory[customer]),ROW(orderHistory[customer])),""),ROWS($A$15:A48)+$B$3)))),IF($D$13="",IF($D$15="",INDEX(orderHistory[payed],SMALL(IF(ISNUMBER(MATCH(orderHistory[status],$D$11,0)),MATCH(ROW(orderHistory[customer]),ROW(orderHistory[customer])),""),ROWS($A$15:A48)+$B$3)),INDEX(orderHistory[payed],SMALL(IF(ISNUMBER(MATCH(orderHistory[status],$D$11,0)*MATCH(YEAR(orderHistory[invoice_date]),$D$15,0)),MATCH(ROW(orderHistory[customer]),ROW(orderHistory[customer])),""),ROWS($A$15:A48)+$B$3))),IF($D$15="",INDEX(orderHistory[payed],SMALL(IF(ISNUMBER(MATCH(orderHistory[status],$D$11,0)*MATCH(orderHistory[order_type],$D$13,0)),MATCH(ROW(orderHistory[customer]),ROW(orderHistory[customer])),""),ROWS($A$15:A48)+$B$3)),INDEX(orderHistory[payed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payed],SMALL(IF(ISNUMBER(MATCH(orderHistory[customer],$D$9,0)),MATCH(ROW(orderHistory[customer]),ROW(orderHistory[customer])),""),ROWS($A$15:A48)+$B$3)),INDEX(orderHistory[payed],SMALL(IF(ISNUMBER(MATCH(orderHistory[customer],$D$9,0)*MATCH(YEAR(orderHistory[invoice_date]),$D$15,0)),MATCH(ROW(orderHistory[customer]),ROW(orderHistory[customer])),""),ROWS($A$15:A48)+$B$3))),IF($D$15="",INDEX(orderHistory[payed],SMALL(IF(ISNUMBER(MATCH(orderHistory[customer],$D$9,0)*MATCH(orderHistory[order_type],$D$13,0)),MATCH(ROW(orderHistory[customer]),ROW(orderHistory[customer])),""),ROWS($A$15:A48)+$B$3)),INDEX(orderHistory[payed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payed],SMALL(IF(ISNUMBER(MATCH(orderHistory[customer],$D$9,0)*MATCH(orderHistory[status],$D$11,0)),MATCH(ROW(orderHistory[customer]),ROW(orderHistory[customer])),""),ROWS($A$15:A48)+$B$3)),INDEX(orderHistory[payed],SMALL(IF(ISNUMBER(MATCH(orderHistory[customer],$D$9,0)*MATCH(orderHistory[status],$D$11,0)*MATCH(YEAR(orderHistory[payed]),$D$15,0)),MATCH(ROW(orderHistory[customer]),ROW(orderHistory[customer])),""),ROWS($A$15:A48)+$B$3))),IF($D$15="",INDEX(orderHistory[payed],SMALL(IF(ISNUMBER(MATCH(orderHistory[customer],$D$9,0)*MATCH(orderHistory[status],$D$11,0)*MATCH(orderHistory[order_type],$D$13,0)),MATCH(ROW(orderHistory[customer]),ROW(orderHistory[customer])),""),ROWS($A$15:A48)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U43" s="541" t="str">
        <f t="array" ref="U43">IFERROR(IF($D$9="",IF($D$11="",IF($D$13="",IF($D$15="",INDEX(orderHistory[shipping_method],SMALL(MATCH(ROW(orderHistory[customer]),ROW(orderHistory[customer])),ROWS($A$15:A48)+$B$3)),INDEX(orderHistory[shipping_method],SMALL(IF(ISNUMBER(MATCH(YEAR(orderHistory[invoice_date]),$D$15,0)),MATCH(ROW(orderHistory[customer]),ROW(orderHistory[customer])),""),ROWS($A$15:A48)+$B$3))),IF($D$15="",INDEX(orderHistory[shipping_method],SMALL(IF(ISNUMBER(MATCH(orderHistory[order_type],$D$13,0)),MATCH(ROW(orderHistory[customer]),ROW(orderHistory[customer])),""),ROWS($A$15:A48)+$B$3)),INDEX(orderHistory[shipping_method],SMALL(IF(ISNUMBER(MATCH(orderHistory[order_type],$D$13,0)*MATCH(YEAR(orderHistory[invoice_date]),$D$15,0)),MATCH(ROW(orderHistory[customer]),ROW(orderHistory[customer])),""),ROWS($A$15:A48)+$B$3)))),IF($D$13="",IF($D$15="",INDEX(orderHistory[shipping_method],SMALL(IF(ISNUMBER(MATCH(orderHistory[status],$D$11,0)),MATCH(ROW(orderHistory[customer]),ROW(orderHistory[customer])),""),ROWS($A$15:A48)+$B$3)),INDEX(orderHistory[shipping_method],SMALL(IF(ISNUMBER(MATCH(orderHistory[status],$D$11,0)*MATCH(YEAR(orderHistory[invoice_date]),$D$15,0)),MATCH(ROW(orderHistory[customer]),ROW(orderHistory[customer])),""),ROWS($A$15:A48)+$B$3))),IF($D$15="",INDEX(orderHistory[shipping_method],SMALL(IF(ISNUMBER(MATCH(orderHistory[status],$D$11,0)*MATCH(orderHistory[order_type],$D$13,0)),MATCH(ROW(orderHistory[customer]),ROW(orderHistory[customer])),""),ROWS($A$15:A48)+$B$3)),INDEX(orderHistory[shipping_method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shipping_method],SMALL(IF(ISNUMBER(MATCH(orderHistory[customer],$D$9,0)),MATCH(ROW(orderHistory[customer]),ROW(orderHistory[customer])),""),ROWS($A$15:A48)+$B$3)),INDEX(orderHistory[shipping_method],SMALL(IF(ISNUMBER(MATCH(orderHistory[customer],$D$9,0)*MATCH(YEAR(orderHistory[invoice_date]),$D$15,0)),MATCH(ROW(orderHistory[customer]),ROW(orderHistory[customer])),""),ROWS($A$15:A48)+$B$3))),IF($D$15="",INDEX(orderHistory[shipping_method],SMALL(IF(ISNUMBER(MATCH(orderHistory[customer],$D$9,0)*MATCH(orderHistory[order_type],$D$13,0)),MATCH(ROW(orderHistory[customer]),ROW(orderHistory[customer])),""),ROWS($A$15:A48)+$B$3)),INDEX(orderHistory[shipping_method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shipping_method],SMALL(IF(ISNUMBER(MATCH(orderHistory[customer],$D$9,0)*MATCH(orderHistory[status],$D$11,0)),MATCH(ROW(orderHistory[customer]),ROW(orderHistory[customer])),""),ROWS($A$15:A48)+$B$3)),INDEX(orderHistory[shipping_method],SMALL(IF(ISNUMBER(MATCH(orderHistory[customer],$D$9,0)*MATCH(orderHistory[status],$D$11,0)*MATCH(YEAR(orderHistory[shipping_method]),$D$15,0)),MATCH(ROW(orderHistory[customer]),ROW(orderHistory[customer])),""),ROWS($A$15:A48)+$B$3))),IF($D$15="",INDEX(orderHistory[shipping_method],SMALL(IF(ISNUMBER(MATCH(orderHistory[customer],$D$9,0)*MATCH(orderHistory[status],$D$11,0)*MATCH(orderHistory[order_type],$D$13,0)),MATCH(ROW(orderHistory[customer]),ROW(orderHistory[customer])),""),ROWS($A$15:A48)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V43" s="548" t="str">
        <f t="array" ref="V43">IFERROR(IF($D$9="",IF($D$11="",IF($D$13="",IF($D$15="",INDEX(orderHistory[status],SMALL(MATCH(ROW(orderHistory[customer]),ROW(orderHistory[customer])),ROWS($A$15:A48)+$B$3)),INDEX(orderHistory[status],SMALL(IF(ISNUMBER(MATCH(YEAR(orderHistory[invoice_date]),$D$15,0)),MATCH(ROW(orderHistory[customer]),ROW(orderHistory[customer])),""),ROWS($A$15:A48)+$B$3))),IF($D$15="",INDEX(orderHistory[status],SMALL(IF(ISNUMBER(MATCH(orderHistory[order_type],$D$13,0)),MATCH(ROW(orderHistory[customer]),ROW(orderHistory[customer])),""),ROWS($A$15:A48)+$B$3)),INDEX(orderHistory[status],SMALL(IF(ISNUMBER(MATCH(orderHistory[order_type],$D$13,0)*MATCH(YEAR(orderHistory[invoice_date]),$D$15,0)),MATCH(ROW(orderHistory[customer]),ROW(orderHistory[customer])),""),ROWS($A$15:A48)+$B$3)))),IF($D$13="",IF($D$15="",INDEX(orderHistory[status],SMALL(IF(ISNUMBER(MATCH(orderHistory[status],$D$11,0)),MATCH(ROW(orderHistory[customer]),ROW(orderHistory[customer])),""),ROWS($A$15:A48)+$B$3)),INDEX(orderHistory[status],SMALL(IF(ISNUMBER(MATCH(orderHistory[status],$D$11,0)*MATCH(YEAR(orderHistory[invoice_date]),$D$15,0)),MATCH(ROW(orderHistory[customer]),ROW(orderHistory[customer])),""),ROWS($A$15:A48)+$B$3))),IF($D$15="",INDEX(orderHistory[status],SMALL(IF(ISNUMBER(MATCH(orderHistory[status],$D$11,0)*MATCH(orderHistory[order_type],$D$13,0)),MATCH(ROW(orderHistory[customer]),ROW(orderHistory[customer])),""),ROWS($A$15:A48)+$B$3)),INDEX(orderHistory[status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status],SMALL(IF(ISNUMBER(MATCH(orderHistory[customer],$D$9,0)),MATCH(ROW(orderHistory[customer]),ROW(orderHistory[customer])),""),ROWS($A$15:A48)+$B$3)),INDEX(orderHistory[status],SMALL(IF(ISNUMBER(MATCH(orderHistory[customer],$D$9,0)*MATCH(YEAR(orderHistory[invoice_date]),$D$15,0)),MATCH(ROW(orderHistory[customer]),ROW(orderHistory[customer])),""),ROWS($A$15:A48)+$B$3))),IF($D$15="",INDEX(orderHistory[status],SMALL(IF(ISNUMBER(MATCH(orderHistory[customer],$D$9,0)*MATCH(orderHistory[order_type],$D$13,0)),MATCH(ROW(orderHistory[customer]),ROW(orderHistory[customer])),""),ROWS($A$15:A48)+$B$3)),INDEX(orderHistory[status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status],SMALL(IF(ISNUMBER(MATCH(orderHistory[customer],$D$9,0)*MATCH(orderHistory[status],$D$11,0)),MATCH(ROW(orderHistory[customer]),ROW(orderHistory[customer])),""),ROWS($A$15:A48)+$B$3)),INDEX(orderHistory[status],SMALL(IF(ISNUMBER(MATCH(orderHistory[customer],$D$9,0)*MATCH(orderHistory[status],$D$11,0)*MATCH(YEAR(orderHistory[status]),$D$15,0)),MATCH(ROW(orderHistory[customer]),ROW(orderHistory[customer])),""),ROWS($A$15:A48)+$B$3))),IF($D$15="",INDEX(orderHistory[status],SMALL(IF(ISNUMBER(MATCH(orderHistory[customer],$D$9,0)*MATCH(orderHistory[status],$D$11,0)*MATCH(orderHistory[order_type],$D$13,0)),MATCH(ROW(orderHistory[customer]),ROW(orderHistory[customer])),""),ROWS($A$15:A48)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W43" s="107"/>
      <c r="BG43" s="296"/>
      <c r="BK43" s="450"/>
      <c r="BL43" s="451"/>
      <c r="BM43" s="452"/>
      <c r="BN43" s="451"/>
      <c r="BO43" s="452"/>
      <c r="BZ43" s="158"/>
      <c r="CA43" s="154" t="str">
        <f>IF(BZ43="","",INDEX(bhpc_data[description],MATCH(BZ43,bhpc_data[sku],0)))</f>
        <v/>
      </c>
      <c r="CB43" s="159"/>
      <c r="CC43" s="357"/>
      <c r="CD43" s="160"/>
      <c r="CE43" s="360"/>
      <c r="CF43" s="161"/>
      <c r="CG43" s="164" t="str">
        <f>IFERROR(ROUNDUP(CB43/INDEX(bhpc_data[units_per_carton],MATCH(BZ43,bhpc_data[sku],0)),0),"")</f>
        <v/>
      </c>
      <c r="CH43" s="165" t="str">
        <f>IFERROR(ROUNDUP(CD43/INDEX(bhpc_data[units_per_carton],MATCH(BZ43,bhpc_data[sku],0)),0),"")</f>
        <v/>
      </c>
      <c r="CI43" s="165" t="str">
        <f>IFERROR(ROUNDUP(CF43/INDEX(bhpc_data[units_per_carton],MATCH(BZ43,bhpc_data[sku])),0),"")</f>
        <v/>
      </c>
      <c r="CJ43" s="165" t="str">
        <f>IFERROR(((CB43+CD43+CF43)/INDEX(bhpc_data[units_per_carton],MATCH(BZ43,bhpc_data[sku],0)))*INDEX(bhpc_data[net_weight],MATCH(BZ43,bhpc_data[sku],0)),"")</f>
        <v/>
      </c>
      <c r="CK43" s="165" t="str">
        <f>IFERROR(((CB43+CD43+CF43)/INDEX(bhpc_data[units_per_carton],MATCH(BZ43,bhpc_data[sku],0)))*INDEX(bhpc_data[gross_weight],MATCH(BZ43,bhpc_data[sku],0)),"")</f>
        <v/>
      </c>
      <c r="CL43" s="180" t="str">
        <f>IFERROR((CB43+CD43+CF43)/INDEX(bhpc_data[units_per_carton],MATCH(BZ43,bhpc_data[sku],0))*INDEX(bhpc_data[lenght],MATCH(BZ43,bhpc_data[sku],0))*INDEX(bhpc_data[width],MATCH(BZ43,bhpc_data[sku],0))*INDEX(bhpc_data[height],MATCH(BZ43,bhpc_data[sku],0))/1000000000,"")</f>
        <v/>
      </c>
      <c r="CM43" s="189" t="str">
        <f>IFERROR(INDEX(bhpc_data[category],MATCH(BZ43,bhpc_data[sku],0)),"")</f>
        <v/>
      </c>
      <c r="CN43" s="189" t="str">
        <f>IFERROR(INDEX(bhpc_data[size1],MATCH(BZ43,bhpc_data[sku],0)),"")</f>
        <v/>
      </c>
      <c r="CO43" s="388" t="str">
        <f>IFERROR(INDEX(bhpc_data[hs_code],MATCH(BZ43,bhpc_data[sku],0)),"")</f>
        <v/>
      </c>
      <c r="CP43" s="377" t="str">
        <f>IFERROR(INDEX(inventory[ESISTENZA],MATCH(BZ43,inventory[ARTICOLO],0)),"")</f>
        <v/>
      </c>
      <c r="CQ43" s="364" t="str">
        <f>IFERROR(IF(BZ43="","",IF($BX$15="SALE",INDEX(inventory[COSTO UNITARIO],MATCH(BZ43,inventory[ARTICOLO],0)),IF($BX$15="SAMPLING",INDEX(inventory[COSTO UNITARIO],MATCH(BZ43,inventory[ARTICOLO],0)),""))),"")</f>
        <v/>
      </c>
      <c r="CR43" s="365" t="str">
        <f t="shared" si="3"/>
        <v/>
      </c>
      <c r="CS43" s="264" t="str">
        <f t="shared" si="4"/>
        <v/>
      </c>
      <c r="CU43" s="432"/>
      <c r="CV43" s="432"/>
      <c r="CW43" s="432"/>
      <c r="CX43" s="432"/>
      <c r="CY43" s="432"/>
      <c r="CZ43" s="432"/>
      <c r="DA43" s="432" t="str">
        <f>IFERROR(VLOOKUP(BZ43,bhpc_data[],22,FALSE),"")</f>
        <v/>
      </c>
      <c r="DH43" s="296"/>
      <c r="EE43" s="202" t="str" cm="1">
        <f t="array" ref="EE43">IFERROR(IF($EC$9="",IF($EC$11="",IF($EC$13="",INDEX(bhpc_data[sku],SMALL(MATCH(ROW(bhpc_data[sku]),ROW(bhpc_data[sku])),ROWS($A$15:A48)+$B$3)),INDEX(bhpc_data[sku],SMALL(IF(ISNUMBER(MATCH(bhpc_data[size1],$EC$13,0)),MATCH(ROW(bhpc_data[sku]),ROW(bhpc_data[sku])),""),ROWS($A$15:A48)+$B$3))),IF($EC$13="",INDEX(bhpc_data[sku],SMALL(IF(ISNUMBER(MATCH(bhpc_data[sex],$EC$11,0)),MATCH(ROW(bhpc_data[sku]),ROW(bhpc_data[sku])),""),ROWS($A$15:A48)+$B$3)),INDEX(bhpc_data[sku],SMALL(IF(ISNUMBER(MATCH(bhpc_data[sex],$EC$11,0)*MATCH(bhpc_data[size1],$EC$13,0)),MATCH(ROW(bhpc_data[sku]),ROW(bhpc_data[sku])),""),ROWS($A$15:A48)+$B$3)))),IF($EC$11="",IF($EC$13="",INDEX(bhpc_data[sku],SMALL(IF(ISNUMBER(MATCH(bhpc_data[category],$EC$9,0)),MATCH(ROW(bhpc_data[sku]),ROW(bhpc_data[sku])),""),ROWS($A$15:A48)+$B$3)),INDEX(bhpc_data[sku],SMALL(IF(ISNUMBER(MATCH(bhpc_data[category],$EC$9,0)*MATCH(bhpc_data[size1],$EC$13,0)),MATCH(ROW(bhpc_data[sku]),ROW(bhpc_data[sku])),""),ROWS($A$15:A48)+$B$3))),IF($EC$13="",INDEX(bhpc_data[sku],SMALL(IF(ISNUMBER(MATCH(bhpc_data[category],$EC$9,0)*MATCH(bhpc_data[sex],$EC$11,0)),MATCH(ROW(bhpc_data[sku]),ROW(bhpc_data[sku])),""),ROWS($A$15:A48)+$B$3)),INDEX(bhpc_data[sku],SMALL(IF(ISNUMBER(MATCH(bhpc_data[category],$EC$9,0)*MATCH(bhpc_data[sex],$EC$11,0)*MATCH(bhpc_data[size1],$EC$13,0)),MATCH(ROW(bhpc_data[sku]),ROW(bhpc_data[sku])),""),ROWS($A$15:A48)+$B$3))))),"")</f>
        <v>GSTW89</v>
      </c>
      <c r="EF43" s="198" t="str" cm="1">
        <f t="array" ref="EF43">IFERROR(IF($EC$9="",IF($EC$11="",IF($EC$13="",INDEX(bhpc_data[description],SMALL(MATCH(ROW(bhpc_data[sku]),ROW(bhpc_data[sku])),ROWS($A$15:A48)+$B$3)),INDEX(bhpc_data[description],SMALL(IF(ISNUMBER(MATCH(bhpc_data[size1],$EC$13,0)),MATCH(ROW(bhpc_data[sku]),ROW(bhpc_data[sku])),""),ROWS($A$15:A48)+$B$3))),IF($EC$13="",INDEX(bhpc_data[description],SMALL(IF(ISNUMBER(MATCH(bhpc_data[sex],$EC$11,0)),MATCH(ROW(bhpc_data[sku]),ROW(bhpc_data[sku])),""),ROWS($A$15:A48)+$B$3)),INDEX(bhpc_data[description],SMALL(IF(ISNUMBER(MATCH(bhpc_data[sex],$EC$11,0)*MATCH(bhpc_data[size1],$EC$13,0)),MATCH(ROW(bhpc_data[sku]),ROW(bhpc_data[sku])),""),ROWS($A$15:A48)+$B$3)))),IF($EC$11="",IF($EC$13="",INDEX(bhpc_data[description],SMALL(IF(ISNUMBER(MATCH(bhpc_data[category],$EC$9,0)),MATCH(ROW(bhpc_data[sku]),ROW(bhpc_data[sku])),""),ROWS($A$15:A48)+$B$3)),INDEX(bhpc_data[description],SMALL(IF(ISNUMBER(MATCH(bhpc_data[category],$EC$9,0)*MATCH(bhpc_data[size1],$EC$13,0)),MATCH(ROW(bhpc_data[sku]),ROW(bhpc_data[sku])),""),ROWS($A$15:A48)+$B$3))),IF($EC$13="",INDEX(bhpc_data[description],SMALL(IF(ISNUMBER(MATCH(bhpc_data[category],$EC$9,0)*MATCH(bhpc_data[sex],$EC$11,0)),MATCH(ROW(bhpc_data[sku]),ROW(bhpc_data[sku])),""),ROWS($A$15:A48)+$B$3)),INDEX(bhpc_data[description],SMALL(IF(ISNUMBER(MATCH(bhpc_data[category],$EC$9,0)*MATCH(bhpc_data[sex],$EC$11,0)*MATCH(bhpc_data[size1],$EC$13,0)),MATCH(ROW(bhpc_data[sku]),ROW(bhpc_data[sku])),""),ROWS($A$15:A48)+$B$3))))),"")</f>
        <v>BHPC TWINPACK DEO WOMEN #8 #9 150ML</v>
      </c>
      <c r="EG43" s="263">
        <f>IFERROR(IF(warehouse[[#This Row],[SKU]]="","",INDEX(inventory[ESISTENZA],MATCH(warehouse[[#This Row],[SKU]],inventory[ARTICOLO],0))),"")</f>
        <v>0</v>
      </c>
      <c r="EH43" s="328"/>
      <c r="EI43" s="328"/>
      <c r="EJ43" s="263"/>
      <c r="EK43" s="329"/>
      <c r="EO43" s="296" t="str">
        <f t="array" ref="EO43">IFERROR(INDEX(orderHistory[order_no],SMALL(IF(ISNUMBER(MATCH(orderHistory[status],$EO$7,0)),MATCH(ROW(orderHistory[order_no]),ROW(orderHistory[order_no])),""),ROWS($A$15:A48))),"")</f>
        <v/>
      </c>
    </row>
    <row r="44" spans="10:228" ht="15" customHeight="1" x14ac:dyDescent="0.35">
      <c r="L44" s="539" t="str">
        <f t="array" ref="L44">IFERROR(IF($D$9="",IF($D$11="",IF($D$13="",IF($D$15="",INDEX(orderHistory[customer],SMALL(MATCH(ROW(orderHistory[customer]),ROW(orderHistory[customer])),ROWS($A$15:A49)+$B$3)),INDEX(orderHistory[customer],SMALL(IF(ISNUMBER(MATCH(YEAR(orderHistory[invoice_date]),$D$15,0)),MATCH(ROW(orderHistory[customer]),ROW(orderHistory[customer])),""),ROWS($A$15:A49)+$B$3))),IF($D$15="",INDEX(orderHistory[customer],SMALL(IF(ISNUMBER(MATCH(orderHistory[order_type],$D$13,0)),MATCH(ROW(orderHistory[customer]),ROW(orderHistory[customer])),""),ROWS($A$15:A49)+$B$3)),INDEX(orderHistory[customer],SMALL(IF(ISNUMBER(MATCH(orderHistory[order_type],$D$13,0)*MATCH(YEAR(orderHistory[invoice_date]),$D$15,0)),MATCH(ROW(orderHistory[customer]),ROW(orderHistory[customer])),""),ROWS($A$15:A49)+$B$3)))),IF($D$13="",IF($D$15="",INDEX(orderHistory[customer],SMALL(IF(ISNUMBER(MATCH(orderHistory[status],$D$11,0)),MATCH(ROW(orderHistory[customer]),ROW(orderHistory[customer])),""),ROWS($A$15:A49)+$B$3)),INDEX(orderHistory[customer],SMALL(IF(ISNUMBER(MATCH(orderHistory[status],$D$11,0)*MATCH(YEAR(orderHistory[invoice_date]),$D$15,0)),MATCH(ROW(orderHistory[customer]),ROW(orderHistory[customer])),""),ROWS($A$15:A49)+$B$3))),IF($D$15="",INDEX(orderHistory[customer],SMALL(IF(ISNUMBER(MATCH(orderHistory[status],$D$11,0)*MATCH(orderHistory[order_type],$D$13,0)),MATCH(ROW(orderHistory[customer]),ROW(orderHistory[customer])),""),ROWS($A$15:A49)+$B$3)),INDEX(orderHistory[customer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customer],SMALL(IF(ISNUMBER(MATCH(orderHistory[customer],$D$9,0)),MATCH(ROW(orderHistory[customer]),ROW(orderHistory[customer])),""),ROWS($A$15:A49)+$B$3)),INDEX(orderHistory[customer],SMALL(IF(ISNUMBER(MATCH(orderHistory[customer],$D$9,0)*MATCH(YEAR(orderHistory[invoice_date]),$D$15,0)),MATCH(ROW(orderHistory[customer]),ROW(orderHistory[customer])),""),ROWS($A$15:A49)+$B$3))),IF($D$15="",INDEX(orderHistory[customer],SMALL(IF(ISNUMBER(MATCH(orderHistory[customer],$D$9,0)*MATCH(orderHistory[order_type],$D$13,0)),MATCH(ROW(orderHistory[customer]),ROW(orderHistory[customer])),""),ROWS($A$15:A49)+$B$3)),INDEX(orderHistory[customer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customer],SMALL(IF(ISNUMBER(MATCH(orderHistory[customer],$D$9,0)*MATCH(orderHistory[status],$D$11,0)),MATCH(ROW(orderHistory[customer]),ROW(orderHistory[customer])),""),ROWS($A$15:A49)+$B$3)),INDEX(orderHistory[customer],SMALL(IF(ISNUMBER(MATCH(orderHistory[customer],$D$9,0)*MATCH(orderHistory[status],$D$11,0)*MATCH(YEAR(orderHistory[invoice_date]),$D$15,0)),MATCH(ROW(orderHistory[customer]),ROW(orderHistory[customer])),""),ROWS($A$15:A49)+$B$3))),IF($D$15="",INDEX(orderHistory[customer],SMALL(IF(ISNUMBER(MATCH(orderHistory[customer],$D$9,0)*MATCH(orderHistory[status],$D$11,0)*MATCH(orderHistory[order_type],$D$13,0)),MATCH(ROW(orderHistory[customer]),ROW(orderHistory[customer])),""),ROWS($A$15:A49)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M44" s="540" t="str">
        <f t="array" ref="M44">IFERROR(IF($D$9="",IF($D$11="",IF($D$13="",IF($D$15="",INDEX(orderHistory[order_no],SMALL(MATCH(ROW(orderHistory[customer]),ROW(orderHistory[customer])),ROWS($A$15:A49)+$B$3)),INDEX(orderHistory[order_no],SMALL(IF(ISNUMBER(MATCH(YEAR(orderHistory[invoice_date]),$D$15,0)),MATCH(ROW(orderHistory[customer]),ROW(orderHistory[customer])),""),ROWS($A$15:A49)+$B$3))),IF($D$15="",INDEX(orderHistory[order_no],SMALL(IF(ISNUMBER(MATCH(orderHistory[order_type],$D$13,0)),MATCH(ROW(orderHistory[customer]),ROW(orderHistory[customer])),""),ROWS($A$15:A49)+$B$3)),INDEX(orderHistory[order_no],SMALL(IF(ISNUMBER(MATCH(orderHistory[order_type],$D$13,0)*MATCH(YEAR(orderHistory[invoice_date]),$D$15,0)),MATCH(ROW(orderHistory[customer]),ROW(orderHistory[customer])),""),ROWS($A$15:A49)+$B$3)))),IF($D$13="",IF($D$15="",INDEX(orderHistory[order_no],SMALL(IF(ISNUMBER(MATCH(orderHistory[status],$D$11,0)),MATCH(ROW(orderHistory[customer]),ROW(orderHistory[customer])),""),ROWS($A$15:A49)+$B$3)),INDEX(orderHistory[order_no],SMALL(IF(ISNUMBER(MATCH(orderHistory[status],$D$11,0)*MATCH(YEAR(orderHistory[invoice_date]),$D$15,0)),MATCH(ROW(orderHistory[customer]),ROW(orderHistory[customer])),""),ROWS($A$15:A49)+$B$3))),IF($D$15="",INDEX(orderHistory[order_no],SMALL(IF(ISNUMBER(MATCH(orderHistory[status],$D$11,0)*MATCH(orderHistory[order_type],$D$13,0)),MATCH(ROW(orderHistory[customer]),ROW(orderHistory[customer])),""),ROWS($A$15:A49)+$B$3)),INDEX(orderHistory[order_no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no],SMALL(IF(ISNUMBER(MATCH(orderHistory[customer],$D$9,0)),MATCH(ROW(orderHistory[customer]),ROW(orderHistory[customer])),""),ROWS($A$15:A49)+$B$3)),INDEX(orderHistory[order_no],SMALL(IF(ISNUMBER(MATCH(orderHistory[customer],$D$9,0)*MATCH(YEAR(orderHistory[invoice_date]),$D$15,0)),MATCH(ROW(orderHistory[customer]),ROW(orderHistory[customer])),""),ROWS($A$15:A49)+$B$3))),IF($D$15="",INDEX(orderHistory[order_no],SMALL(IF(ISNUMBER(MATCH(orderHistory[customer],$D$9,0)*MATCH(orderHistory[order_type],$D$13,0)),MATCH(ROW(orderHistory[customer]),ROW(orderHistory[customer])),""),ROWS($A$15:A49)+$B$3)),INDEX(orderHistory[order_no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no],SMALL(IF(ISNUMBER(MATCH(orderHistory[customer],$D$9,0)*MATCH(orderHistory[status],$D$11,0)),MATCH(ROW(orderHistory[customer]),ROW(orderHistory[customer])),""),ROWS($A$15:A49)+$B$3)),INDEX(orderHistory[order_no],SMALL(IF(ISNUMBER(MATCH(orderHistory[customer],$D$9,0)*MATCH(orderHistory[status],$D$11,0)*MATCH(YEAR(orderHistory[invoice_date]),$D$15,0)),MATCH(ROW(orderHistory[customer]),ROW(orderHistory[customer])),""),ROWS($A$15:A49)+$B$3))),IF($D$15="",INDEX(orderHistory[order_no],SMALL(IF(ISNUMBER(MATCH(orderHistory[customer],$D$9,0)*MATCH(orderHistory[status],$D$11,0)*MATCH(orderHistory[order_type],$D$13,0)),MATCH(ROW(orderHistory[customer]),ROW(orderHistory[customer])),""),ROWS($A$15:A49)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N44" s="541" t="str">
        <f t="array" ref="N44">IFERROR(IF($D$9="",IF($D$11="",IF($D$13="",IF($D$15="",INDEX(orderHistory[order_type],SMALL(MATCH(ROW(orderHistory[customer]),ROW(orderHistory[customer])),ROWS($A$15:A49)+$B$3)),INDEX(orderHistory[order_type],SMALL(IF(ISNUMBER(MATCH(YEAR(orderHistory[invoice_date]),$D$15,0)),MATCH(ROW(orderHistory[customer]),ROW(orderHistory[customer])),""),ROWS($A$15:A49)+$B$3))),IF($D$15="",INDEX(orderHistory[order_type],SMALL(IF(ISNUMBER(MATCH(orderHistory[order_type],$D$13,0)),MATCH(ROW(orderHistory[customer]),ROW(orderHistory[customer])),""),ROWS($A$15:A49)+$B$3)),INDEX(orderHistory[order_type],SMALL(IF(ISNUMBER(MATCH(orderHistory[order_type],$D$13,0)*MATCH(YEAR(orderHistory[invoice_date]),$D$15,0)),MATCH(ROW(orderHistory[customer]),ROW(orderHistory[customer])),""),ROWS($A$15:A49)+$B$3)))),IF($D$13="",IF($D$15="",INDEX(orderHistory[order_type],SMALL(IF(ISNUMBER(MATCH(orderHistory[status],$D$11,0)),MATCH(ROW(orderHistory[customer]),ROW(orderHistory[customer])),""),ROWS($A$15:A49)+$B$3)),INDEX(orderHistory[order_type],SMALL(IF(ISNUMBER(MATCH(orderHistory[status],$D$11,0)*MATCH(YEAR(orderHistory[invoice_date]),$D$15,0)),MATCH(ROW(orderHistory[customer]),ROW(orderHistory[customer])),""),ROWS($A$15:A49)+$B$3))),IF($D$15="",INDEX(orderHistory[order_type],SMALL(IF(ISNUMBER(MATCH(orderHistory[status],$D$11,0)*MATCH(orderHistory[order_type],$D$13,0)),MATCH(ROW(orderHistory[customer]),ROW(orderHistory[customer])),""),ROWS($A$15:A49)+$B$3)),INDEX(orderHistory[order_typ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type],SMALL(IF(ISNUMBER(MATCH(orderHistory[customer],$D$9,0)),MATCH(ROW(orderHistory[customer]),ROW(orderHistory[customer])),""),ROWS($A$15:A49)+$B$3)),INDEX(orderHistory[order_type],SMALL(IF(ISNUMBER(MATCH(orderHistory[customer],$D$9,0)*MATCH(YEAR(orderHistory[invoice_date]),$D$15,0)),MATCH(ROW(orderHistory[customer]),ROW(orderHistory[customer])),""),ROWS($A$15:A49)+$B$3))),IF($D$15="",INDEX(orderHistory[order_type],SMALL(IF(ISNUMBER(MATCH(orderHistory[customer],$D$9,0)*MATCH(orderHistory[order_type],$D$13,0)),MATCH(ROW(orderHistory[customer]),ROW(orderHistory[customer])),""),ROWS($A$15:A49)+$B$3)),INDEX(orderHistory[order_typ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type],SMALL(IF(ISNUMBER(MATCH(orderHistory[customer],$D$9,0)*MATCH(orderHistory[status],$D$11,0)),MATCH(ROW(orderHistory[customer]),ROW(orderHistory[customer])),""),ROWS($A$15:A49)+$B$3)),INDEX(orderHistory[order_type],SMALL(IF(ISNUMBER(MATCH(orderHistory[customer],$D$9,0)*MATCH(orderHistory[status],$D$11,0)*MATCH(YEAR(orderHistory[invoice_date]),$D$15,0)),MATCH(ROW(orderHistory[customer]),ROW(orderHistory[customer])),""),ROWS($A$15:A49)+$B$3))),IF($D$15="",INDEX(orderHistory[order_type],SMALL(IF(ISNUMBER(MATCH(orderHistory[customer],$D$9,0)*MATCH(orderHistory[status],$D$11,0)*MATCH(orderHistory[order_type],$D$13,0)),MATCH(ROW(orderHistory[customer]),ROW(orderHistory[customer])),""),ROWS($A$15:A49)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O44" s="542" t="str">
        <f t="array" ref="O44">IFERROR(IF($D$9="",IF($D$11="",IF($D$13="",IF($D$15="",INDEX(orderHistory[order_date],SMALL(MATCH(ROW(orderHistory[customer]),ROW(orderHistory[customer])),ROWS($A$15:A49)+$B$3)),INDEX(orderHistory[order_date],SMALL(IF(ISNUMBER(MATCH(YEAR(orderHistory[invoice_date]),$D$15,0)),MATCH(ROW(orderHistory[customer]),ROW(orderHistory[customer])),""),ROWS($A$15:A49)+$B$3))),IF($D$15="",INDEX(orderHistory[order_date],SMALL(IF(ISNUMBER(MATCH(orderHistory[order_type],$D$13,0)),MATCH(ROW(orderHistory[customer]),ROW(orderHistory[customer])),""),ROWS($A$15:A49)+$B$3)),INDEX(orderHistory[order_date],SMALL(IF(ISNUMBER(MATCH(orderHistory[order_type],$D$13,0)*MATCH(YEAR(orderHistory[invoice_date]),$D$15,0)),MATCH(ROW(orderHistory[customer]),ROW(orderHistory[customer])),""),ROWS($A$15:A49)+$B$3)))),IF($D$13="",IF($D$15="",INDEX(orderHistory[order_date],SMALL(IF(ISNUMBER(MATCH(orderHistory[status],$D$11,0)),MATCH(ROW(orderHistory[customer]),ROW(orderHistory[customer])),""),ROWS($A$15:A49)+$B$3)),INDEX(orderHistory[order_date],SMALL(IF(ISNUMBER(MATCH(orderHistory[status],$D$11,0)*MATCH(YEAR(orderHistory[invoice_date]),$D$15,0)),MATCH(ROW(orderHistory[customer]),ROW(orderHistory[customer])),""),ROWS($A$15:A49)+$B$3))),IF($D$15="",INDEX(orderHistory[order_date],SMALL(IF(ISNUMBER(MATCH(orderHistory[status],$D$11,0)*MATCH(orderHistory[order_type],$D$13,0)),MATCH(ROW(orderHistory[customer]),ROW(orderHistory[customer])),""),ROWS($A$15:A49)+$B$3)),INDEX(orderHistory[order_dat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date],SMALL(IF(ISNUMBER(MATCH(orderHistory[customer],$D$9,0)),MATCH(ROW(orderHistory[customer]),ROW(orderHistory[customer])),""),ROWS($A$15:A49)+$B$3)),INDEX(orderHistory[order_date],SMALL(IF(ISNUMBER(MATCH(orderHistory[customer],$D$9,0)*MATCH(YEAR(orderHistory[invoice_date]),$D$15,0)),MATCH(ROW(orderHistory[customer]),ROW(orderHistory[customer])),""),ROWS($A$15:A49)+$B$3))),IF($D$15="",INDEX(orderHistory[order_date],SMALL(IF(ISNUMBER(MATCH(orderHistory[customer],$D$9,0)*MATCH(orderHistory[order_type],$D$13,0)),MATCH(ROW(orderHistory[customer]),ROW(orderHistory[customer])),""),ROWS($A$15:A49)+$B$3)),INDEX(orderHistory[order_dat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date],SMALL(IF(ISNUMBER(MATCH(orderHistory[customer],$D$9,0)*MATCH(orderHistory[status],$D$11,0)),MATCH(ROW(orderHistory[customer]),ROW(orderHistory[customer])),""),ROWS($A$15:A49)+$B$3)),INDEX(orderHistory[order_date],SMALL(IF(ISNUMBER(MATCH(orderHistory[customer],$D$9,0)*MATCH(orderHistory[status],$D$11,0)*MATCH(YEAR(orderHistory[invoice_date]),$D$15,0)),MATCH(ROW(orderHistory[customer]),ROW(orderHistory[customer])),""),ROWS($A$15:A49)+$B$3))),IF($D$15="",INDEX(orderHistory[order_date],SMALL(IF(ISNUMBER(MATCH(orderHistory[customer],$D$9,0)*MATCH(orderHistory[status],$D$11,0)*MATCH(orderHistory[order_type],$D$13,0)),MATCH(ROW(orderHistory[customer]),ROW(orderHistory[customer])),""),ROWS($A$15:A49)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P44" s="543" t="str">
        <f t="array" ref="P44">IFERROR(IF($D$9="",IF($D$11="",IF($D$13="",IF($D$15="",INDEX(orderHistory[invoice_no],SMALL(MATCH(ROW(orderHistory[customer]),ROW(orderHistory[customer])),ROWS($A$15:A49)+$B$3)),INDEX(orderHistory[invoice_no],SMALL(IF(ISNUMBER(MATCH(YEAR(orderHistory[invoice_date]),$D$15,0)),MATCH(ROW(orderHistory[customer]),ROW(orderHistory[customer])),""),ROWS($A$15:A49)+$B$3))),IF($D$15="",INDEX(orderHistory[invoice_no],SMALL(IF(ISNUMBER(MATCH(orderHistory[order_type],$D$13,0)),MATCH(ROW(orderHistory[customer]),ROW(orderHistory[customer])),""),ROWS($A$15:A49)+$B$3)),INDEX(orderHistory[invoice_no],SMALL(IF(ISNUMBER(MATCH(orderHistory[order_type],$D$13,0)*MATCH(YEAR(orderHistory[invoice_date]),$D$15,0)),MATCH(ROW(orderHistory[customer]),ROW(orderHistory[customer])),""),ROWS($A$15:A49)+$B$3)))),IF($D$13="",IF($D$15="",INDEX(orderHistory[invoice_no],SMALL(IF(ISNUMBER(MATCH(orderHistory[status],$D$11,0)),MATCH(ROW(orderHistory[customer]),ROW(orderHistory[customer])),""),ROWS($A$15:A49)+$B$3)),INDEX(orderHistory[invoice_no],SMALL(IF(ISNUMBER(MATCH(orderHistory[status],$D$11,0)*MATCH(YEAR(orderHistory[invoice_date]),$D$15,0)),MATCH(ROW(orderHistory[customer]),ROW(orderHistory[customer])),""),ROWS($A$15:A49)+$B$3))),IF($D$15="",INDEX(orderHistory[invoice_no],SMALL(IF(ISNUMBER(MATCH(orderHistory[status],$D$11,0)*MATCH(orderHistory[order_type],$D$13,0)),MATCH(ROW(orderHistory[customer]),ROW(orderHistory[customer])),""),ROWS($A$15:A49)+$B$3)),INDEX(orderHistory[invoice_no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oice_no],SMALL(IF(ISNUMBER(MATCH(orderHistory[customer],$D$9,0)),MATCH(ROW(orderHistory[customer]),ROW(orderHistory[customer])),""),ROWS($A$15:A49)+$B$3)),INDEX(orderHistory[invoice_no],SMALL(IF(ISNUMBER(MATCH(orderHistory[customer],$D$9,0)*MATCH(YEAR(orderHistory[invoice_date]),$D$15,0)),MATCH(ROW(orderHistory[customer]),ROW(orderHistory[customer])),""),ROWS($A$15:A49)+$B$3))),IF($D$15="",INDEX(orderHistory[invoice_no],SMALL(IF(ISNUMBER(MATCH(orderHistory[customer],$D$9,0)*MATCH(orderHistory[order_type],$D$13,0)),MATCH(ROW(orderHistory[customer]),ROW(orderHistory[customer])),""),ROWS($A$15:A49)+$B$3)),INDEX(orderHistory[invoice_no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oice_no],SMALL(IF(ISNUMBER(MATCH(orderHistory[customer],$D$9,0)*MATCH(orderHistory[status],$D$11,0)),MATCH(ROW(orderHistory[customer]),ROW(orderHistory[customer])),""),ROWS($A$15:A49)+$B$3)),INDEX(orderHistory[invoice_no],SMALL(IF(ISNUMBER(MATCH(orderHistory[customer],$D$9,0)*MATCH(orderHistory[status],$D$11,0)*MATCH(YEAR(orderHistory[invoice_date]),$D$15,0)),MATCH(ROW(orderHistory[customer]),ROW(orderHistory[customer])),""),ROWS($A$15:A49)+$B$3))),IF($D$15="",INDEX(orderHistory[invoice_no],SMALL(IF(ISNUMBER(MATCH(orderHistory[customer],$D$9,0)*MATCH(orderHistory[status],$D$11,0)*MATCH(orderHistory[order_type],$D$13,0)),MATCH(ROW(orderHistory[customer]),ROW(orderHistory[customer])),""),ROWS($A$15:A49)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Q44" s="544" t="str">
        <f t="array" ref="Q44">IFERROR(IF($D$9="",IF($D$11="",IF($D$13="",IF($D$15="",INDEX(orderHistory[invoice_date],SMALL(MATCH(ROW(orderHistory[customer]),ROW(orderHistory[customer])),ROWS($A$15:A49)+$B$3)),INDEX(orderHistory[invoice_date],SMALL(IF(ISNUMBER(MATCH(YEAR(orderHistory[invoice_date]),$D$15,0)),MATCH(ROW(orderHistory[customer]),ROW(orderHistory[customer])),""),ROWS($A$15:A49)+$B$3))),IF($D$15="",INDEX(orderHistory[invoice_date],SMALL(IF(ISNUMBER(MATCH(orderHistory[order_type],$D$13,0)),MATCH(ROW(orderHistory[customer]),ROW(orderHistory[customer])),""),ROWS($A$15:A49)+$B$3)),INDEX(orderHistory[invoice_date],SMALL(IF(ISNUMBER(MATCH(orderHistory[order_type],$D$13,0)*MATCH(YEAR(orderHistory[invoice_date]),$D$15,0)),MATCH(ROW(orderHistory[customer]),ROW(orderHistory[customer])),""),ROWS($A$15:A49)+$B$3)))),IF($D$13="",IF($D$15="",INDEX(orderHistory[invoice_date],SMALL(IF(ISNUMBER(MATCH(orderHistory[status],$D$11,0)),MATCH(ROW(orderHistory[customer]),ROW(orderHistory[customer])),""),ROWS($A$15:A49)+$B$3)),INDEX(orderHistory[invoice_date],SMALL(IF(ISNUMBER(MATCH(orderHistory[status],$D$11,0)*MATCH(YEAR(orderHistory[invoice_date]),$D$15,0)),MATCH(ROW(orderHistory[customer]),ROW(orderHistory[customer])),""),ROWS($A$15:A49)+$B$3))),IF($D$15="",INDEX(orderHistory[invoice_date],SMALL(IF(ISNUMBER(MATCH(orderHistory[status],$D$11,0)*MATCH(orderHistory[order_type],$D$13,0)),MATCH(ROW(orderHistory[customer]),ROW(orderHistory[customer])),""),ROWS($A$15:A49)+$B$3)),INDEX(orderHistory[invoice_dat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oice_date],SMALL(IF(ISNUMBER(MATCH(orderHistory[customer],$D$9,0)),MATCH(ROW(orderHistory[customer]),ROW(orderHistory[customer])),""),ROWS($A$15:A49)+$B$3)),INDEX(orderHistory[invoice_date],SMALL(IF(ISNUMBER(MATCH(orderHistory[customer],$D$9,0)*MATCH(YEAR(orderHistory[invoice_date]),$D$15,0)),MATCH(ROW(orderHistory[customer]),ROW(orderHistory[customer])),""),ROWS($A$15:A49)+$B$3))),IF($D$15="",INDEX(orderHistory[invoice_date],SMALL(IF(ISNUMBER(MATCH(orderHistory[customer],$D$9,0)*MATCH(orderHistory[order_type],$D$13,0)),MATCH(ROW(orderHistory[customer]),ROW(orderHistory[customer])),""),ROWS($A$15:A49)+$B$3)),INDEX(orderHistory[invoice_dat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oice_date],SMALL(IF(ISNUMBER(MATCH(orderHistory[customer],$D$9,0)*MATCH(orderHistory[status],$D$11,0)),MATCH(ROW(orderHistory[customer]),ROW(orderHistory[customer])),""),ROWS($A$15:A49)+$B$3)),INDEX(orderHistory[invoice_date],SMALL(IF(ISNUMBER(MATCH(orderHistory[customer],$D$9,0)*MATCH(orderHistory[status],$D$11,0)*MATCH(YEAR(orderHistory[invoice_date]),$D$15,0)),MATCH(ROW(orderHistory[customer]),ROW(orderHistory[customer])),""),ROWS($A$15:A49)+$B$3))),IF($D$15="",INDEX(orderHistory[invoice_date],SMALL(IF(ISNUMBER(MATCH(orderHistory[customer],$D$9,0)*MATCH(orderHistory[status],$D$11,0)*MATCH(orderHistory[order_type],$D$13,0)),MATCH(ROW(orderHistory[customer]),ROW(orderHistory[customer])),""),ROWS($A$15:A49)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R44" s="545" t="str">
        <f t="array" ref="R44">IFERROR(IF($D$9="",IF($D$11="",IF($D$13="",IF($D$15="",INDEX(orderHistory[inv_amount],SMALL(MATCH(ROW(orderHistory[customer]),ROW(orderHistory[customer])),ROWS($A$15:A49)+$B$3)),INDEX(orderHistory[inv_amount],SMALL(IF(ISNUMBER(MATCH(YEAR(orderHistory[invoice_date]),$D$15,0)),MATCH(ROW(orderHistory[customer]),ROW(orderHistory[customer])),""),ROWS($A$15:A49)+$B$3))),IF($D$15="",INDEX(orderHistory[inv_amount],SMALL(IF(ISNUMBER(MATCH(orderHistory[order_type],$D$13,0)),MATCH(ROW(orderHistory[customer]),ROW(orderHistory[customer])),""),ROWS($A$15:A49)+$B$3)),INDEX(orderHistory[inv_amount],SMALL(IF(ISNUMBER(MATCH(orderHistory[order_type],$D$13,0)*MATCH(YEAR(orderHistory[invoice_date]),$D$15,0)),MATCH(ROW(orderHistory[customer]),ROW(orderHistory[customer])),""),ROWS($A$15:A49)+$B$3)))),IF($D$13="",IF($D$15="",INDEX(orderHistory[inv_amount],SMALL(IF(ISNUMBER(MATCH(orderHistory[status],$D$11,0)),MATCH(ROW(orderHistory[customer]),ROW(orderHistory[customer])),""),ROWS($A$15:A49)+$B$3)),INDEX(orderHistory[inv_amount],SMALL(IF(ISNUMBER(MATCH(orderHistory[status],$D$11,0)*MATCH(YEAR(orderHistory[invoice_date]),$D$15,0)),MATCH(ROW(orderHistory[customer]),ROW(orderHistory[customer])),""),ROWS($A$15:A49)+$B$3))),IF($D$15="",INDEX(orderHistory[inv_amount],SMALL(IF(ISNUMBER(MATCH(orderHistory[status],$D$11,0)*MATCH(orderHistory[order_type],$D$13,0)),MATCH(ROW(orderHistory[customer]),ROW(orderHistory[customer])),""),ROWS($A$15:A49)+$B$3)),INDEX(orderHistory[inv_amount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_amount],SMALL(IF(ISNUMBER(MATCH(orderHistory[customer],$D$9,0)),MATCH(ROW(orderHistory[customer]),ROW(orderHistory[customer])),""),ROWS($A$15:A49)+$B$3)),INDEX(orderHistory[inv_amount],SMALL(IF(ISNUMBER(MATCH(orderHistory[customer],$D$9,0)*MATCH(YEAR(orderHistory[invoice_date]),$D$15,0)),MATCH(ROW(orderHistory[customer]),ROW(orderHistory[customer])),""),ROWS($A$15:A49)+$B$3))),IF($D$15="",INDEX(orderHistory[inv_amount],SMALL(IF(ISNUMBER(MATCH(orderHistory[customer],$D$9,0)*MATCH(orderHistory[order_type],$D$13,0)),MATCH(ROW(orderHistory[customer]),ROW(orderHistory[customer])),""),ROWS($A$15:A49)+$B$3)),INDEX(orderHistory[inv_amount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_amount],SMALL(IF(ISNUMBER(MATCH(orderHistory[customer],$D$9,0)*MATCH(orderHistory[status],$D$11,0)),MATCH(ROW(orderHistory[customer]),ROW(orderHistory[customer])),""),ROWS($A$15:A49)+$B$3)),INDEX(orderHistory[inv_amount],SMALL(IF(ISNUMBER(MATCH(orderHistory[customer],$D$9,0)*MATCH(orderHistory[status],$D$11,0)*MATCH(YEAR(orderHistory[inv_amount]),$D$15,0)),MATCH(ROW(orderHistory[customer]),ROW(orderHistory[customer])),""),ROWS($A$15:A49)+$B$3))),IF($D$15="",INDEX(orderHistory[inv_amount],SMALL(IF(ISNUMBER(MATCH(orderHistory[customer],$D$9,0)*MATCH(orderHistory[status],$D$11,0)*MATCH(orderHistory[order_type],$D$13,0)),MATCH(ROW(orderHistory[customer]),ROW(orderHistory[customer])),""),ROWS($A$15:A49)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S44" s="546" t="str">
        <f t="shared" si="2"/>
        <v/>
      </c>
      <c r="T44" s="547" t="str">
        <f t="array" ref="T44">IFERROR(IF($D$9="",IF($D$11="",IF($D$13="",IF($D$15="",INDEX(orderHistory[payed],SMALL(MATCH(ROW(orderHistory[customer]),ROW(orderHistory[customer])),ROWS($A$15:A49)+$B$3)),INDEX(orderHistory[payed],SMALL(IF(ISNUMBER(MATCH(YEAR(orderHistory[invoice_date]),$D$15,0)),MATCH(ROW(orderHistory[customer]),ROW(orderHistory[customer])),""),ROWS($A$15:A49)+$B$3))),IF($D$15="",INDEX(orderHistory[payed],SMALL(IF(ISNUMBER(MATCH(orderHistory[order_type],$D$13,0)),MATCH(ROW(orderHistory[customer]),ROW(orderHistory[customer])),""),ROWS($A$15:A49)+$B$3)),INDEX(orderHistory[payed],SMALL(IF(ISNUMBER(MATCH(orderHistory[order_type],$D$13,0)*MATCH(YEAR(orderHistory[invoice_date]),$D$15,0)),MATCH(ROW(orderHistory[customer]),ROW(orderHistory[customer])),""),ROWS($A$15:A49)+$B$3)))),IF($D$13="",IF($D$15="",INDEX(orderHistory[payed],SMALL(IF(ISNUMBER(MATCH(orderHistory[status],$D$11,0)),MATCH(ROW(orderHistory[customer]),ROW(orderHistory[customer])),""),ROWS($A$15:A49)+$B$3)),INDEX(orderHistory[payed],SMALL(IF(ISNUMBER(MATCH(orderHistory[status],$D$11,0)*MATCH(YEAR(orderHistory[invoice_date]),$D$15,0)),MATCH(ROW(orderHistory[customer]),ROW(orderHistory[customer])),""),ROWS($A$15:A49)+$B$3))),IF($D$15="",INDEX(orderHistory[payed],SMALL(IF(ISNUMBER(MATCH(orderHistory[status],$D$11,0)*MATCH(orderHistory[order_type],$D$13,0)),MATCH(ROW(orderHistory[customer]),ROW(orderHistory[customer])),""),ROWS($A$15:A49)+$B$3)),INDEX(orderHistory[payed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payed],SMALL(IF(ISNUMBER(MATCH(orderHistory[customer],$D$9,0)),MATCH(ROW(orderHistory[customer]),ROW(orderHistory[customer])),""),ROWS($A$15:A49)+$B$3)),INDEX(orderHistory[payed],SMALL(IF(ISNUMBER(MATCH(orderHistory[customer],$D$9,0)*MATCH(YEAR(orderHistory[invoice_date]),$D$15,0)),MATCH(ROW(orderHistory[customer]),ROW(orderHistory[customer])),""),ROWS($A$15:A49)+$B$3))),IF($D$15="",INDEX(orderHistory[payed],SMALL(IF(ISNUMBER(MATCH(orderHistory[customer],$D$9,0)*MATCH(orderHistory[order_type],$D$13,0)),MATCH(ROW(orderHistory[customer]),ROW(orderHistory[customer])),""),ROWS($A$15:A49)+$B$3)),INDEX(orderHistory[payed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payed],SMALL(IF(ISNUMBER(MATCH(orderHistory[customer],$D$9,0)*MATCH(orderHistory[status],$D$11,0)),MATCH(ROW(orderHistory[customer]),ROW(orderHistory[customer])),""),ROWS($A$15:A49)+$B$3)),INDEX(orderHistory[payed],SMALL(IF(ISNUMBER(MATCH(orderHistory[customer],$D$9,0)*MATCH(orderHistory[status],$D$11,0)*MATCH(YEAR(orderHistory[payed]),$D$15,0)),MATCH(ROW(orderHistory[customer]),ROW(orderHistory[customer])),""),ROWS($A$15:A49)+$B$3))),IF($D$15="",INDEX(orderHistory[payed],SMALL(IF(ISNUMBER(MATCH(orderHistory[customer],$D$9,0)*MATCH(orderHistory[status],$D$11,0)*MATCH(orderHistory[order_type],$D$13,0)),MATCH(ROW(orderHistory[customer]),ROW(orderHistory[customer])),""),ROWS($A$15:A49)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U44" s="541" t="str">
        <f t="array" ref="U44">IFERROR(IF($D$9="",IF($D$11="",IF($D$13="",IF($D$15="",INDEX(orderHistory[shipping_method],SMALL(MATCH(ROW(orderHistory[customer]),ROW(orderHistory[customer])),ROWS($A$15:A49)+$B$3)),INDEX(orderHistory[shipping_method],SMALL(IF(ISNUMBER(MATCH(YEAR(orderHistory[invoice_date]),$D$15,0)),MATCH(ROW(orderHistory[customer]),ROW(orderHistory[customer])),""),ROWS($A$15:A49)+$B$3))),IF($D$15="",INDEX(orderHistory[shipping_method],SMALL(IF(ISNUMBER(MATCH(orderHistory[order_type],$D$13,0)),MATCH(ROW(orderHistory[customer]),ROW(orderHistory[customer])),""),ROWS($A$15:A49)+$B$3)),INDEX(orderHistory[shipping_method],SMALL(IF(ISNUMBER(MATCH(orderHistory[order_type],$D$13,0)*MATCH(YEAR(orderHistory[invoice_date]),$D$15,0)),MATCH(ROW(orderHistory[customer]),ROW(orderHistory[customer])),""),ROWS($A$15:A49)+$B$3)))),IF($D$13="",IF($D$15="",INDEX(orderHistory[shipping_method],SMALL(IF(ISNUMBER(MATCH(orderHistory[status],$D$11,0)),MATCH(ROW(orderHistory[customer]),ROW(orderHistory[customer])),""),ROWS($A$15:A49)+$B$3)),INDEX(orderHistory[shipping_method],SMALL(IF(ISNUMBER(MATCH(orderHistory[status],$D$11,0)*MATCH(YEAR(orderHistory[invoice_date]),$D$15,0)),MATCH(ROW(orderHistory[customer]),ROW(orderHistory[customer])),""),ROWS($A$15:A49)+$B$3))),IF($D$15="",INDEX(orderHistory[shipping_method],SMALL(IF(ISNUMBER(MATCH(orderHistory[status],$D$11,0)*MATCH(orderHistory[order_type],$D$13,0)),MATCH(ROW(orderHistory[customer]),ROW(orderHistory[customer])),""),ROWS($A$15:A49)+$B$3)),INDEX(orderHistory[shipping_method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shipping_method],SMALL(IF(ISNUMBER(MATCH(orderHistory[customer],$D$9,0)),MATCH(ROW(orderHistory[customer]),ROW(orderHistory[customer])),""),ROWS($A$15:A49)+$B$3)),INDEX(orderHistory[shipping_method],SMALL(IF(ISNUMBER(MATCH(orderHistory[customer],$D$9,0)*MATCH(YEAR(orderHistory[invoice_date]),$D$15,0)),MATCH(ROW(orderHistory[customer]),ROW(orderHistory[customer])),""),ROWS($A$15:A49)+$B$3))),IF($D$15="",INDEX(orderHistory[shipping_method],SMALL(IF(ISNUMBER(MATCH(orderHistory[customer],$D$9,0)*MATCH(orderHistory[order_type],$D$13,0)),MATCH(ROW(orderHistory[customer]),ROW(orderHistory[customer])),""),ROWS($A$15:A49)+$B$3)),INDEX(orderHistory[shipping_method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shipping_method],SMALL(IF(ISNUMBER(MATCH(orderHistory[customer],$D$9,0)*MATCH(orderHistory[status],$D$11,0)),MATCH(ROW(orderHistory[customer]),ROW(orderHistory[customer])),""),ROWS($A$15:A49)+$B$3)),INDEX(orderHistory[shipping_method],SMALL(IF(ISNUMBER(MATCH(orderHistory[customer],$D$9,0)*MATCH(orderHistory[status],$D$11,0)*MATCH(YEAR(orderHistory[shipping_method]),$D$15,0)),MATCH(ROW(orderHistory[customer]),ROW(orderHistory[customer])),""),ROWS($A$15:A49)+$B$3))),IF($D$15="",INDEX(orderHistory[shipping_method],SMALL(IF(ISNUMBER(MATCH(orderHistory[customer],$D$9,0)*MATCH(orderHistory[status],$D$11,0)*MATCH(orderHistory[order_type],$D$13,0)),MATCH(ROW(orderHistory[customer]),ROW(orderHistory[customer])),""),ROWS($A$15:A49)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V44" s="548" t="str">
        <f t="array" ref="V44">IFERROR(IF($D$9="",IF($D$11="",IF($D$13="",IF($D$15="",INDEX(orderHistory[status],SMALL(MATCH(ROW(orderHistory[customer]),ROW(orderHistory[customer])),ROWS($A$15:A49)+$B$3)),INDEX(orderHistory[status],SMALL(IF(ISNUMBER(MATCH(YEAR(orderHistory[invoice_date]),$D$15,0)),MATCH(ROW(orderHistory[customer]),ROW(orderHistory[customer])),""),ROWS($A$15:A49)+$B$3))),IF($D$15="",INDEX(orderHistory[status],SMALL(IF(ISNUMBER(MATCH(orderHistory[order_type],$D$13,0)),MATCH(ROW(orderHistory[customer]),ROW(orderHistory[customer])),""),ROWS($A$15:A49)+$B$3)),INDEX(orderHistory[status],SMALL(IF(ISNUMBER(MATCH(orderHistory[order_type],$D$13,0)*MATCH(YEAR(orderHistory[invoice_date]),$D$15,0)),MATCH(ROW(orderHistory[customer]),ROW(orderHistory[customer])),""),ROWS($A$15:A49)+$B$3)))),IF($D$13="",IF($D$15="",INDEX(orderHistory[status],SMALL(IF(ISNUMBER(MATCH(orderHistory[status],$D$11,0)),MATCH(ROW(orderHistory[customer]),ROW(orderHistory[customer])),""),ROWS($A$15:A49)+$B$3)),INDEX(orderHistory[status],SMALL(IF(ISNUMBER(MATCH(orderHistory[status],$D$11,0)*MATCH(YEAR(orderHistory[invoice_date]),$D$15,0)),MATCH(ROW(orderHistory[customer]),ROW(orderHistory[customer])),""),ROWS($A$15:A49)+$B$3))),IF($D$15="",INDEX(orderHistory[status],SMALL(IF(ISNUMBER(MATCH(orderHistory[status],$D$11,0)*MATCH(orderHistory[order_type],$D$13,0)),MATCH(ROW(orderHistory[customer]),ROW(orderHistory[customer])),""),ROWS($A$15:A49)+$B$3)),INDEX(orderHistory[status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status],SMALL(IF(ISNUMBER(MATCH(orderHistory[customer],$D$9,0)),MATCH(ROW(orderHistory[customer]),ROW(orderHistory[customer])),""),ROWS($A$15:A49)+$B$3)),INDEX(orderHistory[status],SMALL(IF(ISNUMBER(MATCH(orderHistory[customer],$D$9,0)*MATCH(YEAR(orderHistory[invoice_date]),$D$15,0)),MATCH(ROW(orderHistory[customer]),ROW(orderHistory[customer])),""),ROWS($A$15:A49)+$B$3))),IF($D$15="",INDEX(orderHistory[status],SMALL(IF(ISNUMBER(MATCH(orderHistory[customer],$D$9,0)*MATCH(orderHistory[order_type],$D$13,0)),MATCH(ROW(orderHistory[customer]),ROW(orderHistory[customer])),""),ROWS($A$15:A49)+$B$3)),INDEX(orderHistory[status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status],SMALL(IF(ISNUMBER(MATCH(orderHistory[customer],$D$9,0)*MATCH(orderHistory[status],$D$11,0)),MATCH(ROW(orderHistory[customer]),ROW(orderHistory[customer])),""),ROWS($A$15:A49)+$B$3)),INDEX(orderHistory[status],SMALL(IF(ISNUMBER(MATCH(orderHistory[customer],$D$9,0)*MATCH(orderHistory[status],$D$11,0)*MATCH(YEAR(orderHistory[status]),$D$15,0)),MATCH(ROW(orderHistory[customer]),ROW(orderHistory[customer])),""),ROWS($A$15:A49)+$B$3))),IF($D$15="",INDEX(orderHistory[status],SMALL(IF(ISNUMBER(MATCH(orderHistory[customer],$D$9,0)*MATCH(orderHistory[status],$D$11,0)*MATCH(orderHistory[order_type],$D$13,0)),MATCH(ROW(orderHistory[customer]),ROW(orderHistory[customer])),""),ROWS($A$15:A49)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W44" s="107"/>
      <c r="BK44" s="450"/>
      <c r="BL44" s="451"/>
      <c r="BM44" s="452"/>
      <c r="BN44" s="451"/>
      <c r="BO44" s="452"/>
      <c r="BZ44" s="158"/>
      <c r="CA44" s="154" t="str">
        <f>IF(BZ44="","",INDEX(bhpc_data[description],MATCH(BZ44,bhpc_data[sku],0)))</f>
        <v/>
      </c>
      <c r="CB44" s="159"/>
      <c r="CC44" s="357"/>
      <c r="CD44" s="160"/>
      <c r="CE44" s="360"/>
      <c r="CF44" s="161"/>
      <c r="CG44" s="164" t="str">
        <f>IFERROR(ROUNDUP(CB44/INDEX(bhpc_data[units_per_carton],MATCH(BZ44,bhpc_data[sku],0)),0),"")</f>
        <v/>
      </c>
      <c r="CH44" s="165" t="str">
        <f>IFERROR(ROUNDUP(CD44/INDEX(bhpc_data[units_per_carton],MATCH(BZ44,bhpc_data[sku],0)),0),"")</f>
        <v/>
      </c>
      <c r="CI44" s="165" t="str">
        <f>IFERROR(ROUNDUP(CF44/INDEX(bhpc_data[units_per_carton],MATCH(BZ44,bhpc_data[sku])),0),"")</f>
        <v/>
      </c>
      <c r="CJ44" s="165" t="str">
        <f>IFERROR(((CB44+CD44+CF44)/INDEX(bhpc_data[units_per_carton],MATCH(BZ44,bhpc_data[sku],0)))*INDEX(bhpc_data[net_weight],MATCH(BZ44,bhpc_data[sku],0)),"")</f>
        <v/>
      </c>
      <c r="CK44" s="165" t="str">
        <f>IFERROR(((CB44+CD44+CF44)/INDEX(bhpc_data[units_per_carton],MATCH(BZ44,bhpc_data[sku],0)))*INDEX(bhpc_data[gross_weight],MATCH(BZ44,bhpc_data[sku],0)),"")</f>
        <v/>
      </c>
      <c r="CL44" s="180" t="str">
        <f>IFERROR((CB44+CD44+CF44)/INDEX(bhpc_data[units_per_carton],MATCH(BZ44,bhpc_data[sku],0))*INDEX(bhpc_data[lenght],MATCH(BZ44,bhpc_data[sku],0))*INDEX(bhpc_data[width],MATCH(BZ44,bhpc_data[sku],0))*INDEX(bhpc_data[height],MATCH(BZ44,bhpc_data[sku],0))/1000000000,"")</f>
        <v/>
      </c>
      <c r="CM44" s="189" t="str">
        <f>IFERROR(INDEX(bhpc_data[category],MATCH(BZ44,bhpc_data[sku],0)),"")</f>
        <v/>
      </c>
      <c r="CN44" s="189" t="str">
        <f>IFERROR(INDEX(bhpc_data[size1],MATCH(BZ44,bhpc_data[sku],0)),"")</f>
        <v/>
      </c>
      <c r="CO44" s="388" t="str">
        <f>IFERROR(INDEX(bhpc_data[hs_code],MATCH(BZ44,bhpc_data[sku],0)),"")</f>
        <v/>
      </c>
      <c r="CP44" s="377" t="str">
        <f>IFERROR(INDEX(inventory[ESISTENZA],MATCH(BZ44,inventory[ARTICOLO],0)),"")</f>
        <v/>
      </c>
      <c r="CQ44" s="364" t="str">
        <f>IFERROR(IF(BZ44="","",IF($BX$15="SALE",INDEX(inventory[COSTO UNITARIO],MATCH(BZ44,inventory[ARTICOLO],0)),IF($BX$15="SAMPLING",INDEX(inventory[COSTO UNITARIO],MATCH(BZ44,inventory[ARTICOLO],0)),""))),"")</f>
        <v/>
      </c>
      <c r="CR44" s="365" t="str">
        <f t="shared" si="3"/>
        <v/>
      </c>
      <c r="CS44" s="264" t="str">
        <f t="shared" si="4"/>
        <v/>
      </c>
      <c r="CU44" s="432"/>
      <c r="CV44" s="432"/>
      <c r="CW44" s="432"/>
      <c r="CX44" s="432"/>
      <c r="CY44" s="432"/>
      <c r="CZ44" s="432"/>
      <c r="DA44" s="432" t="str">
        <f>IFERROR(VLOOKUP(BZ44,bhpc_data[],22,FALSE),"")</f>
        <v/>
      </c>
      <c r="DH44" s="296"/>
      <c r="EE44" s="202" t="str" cm="1">
        <f t="array" ref="EE44">IFERROR(IF($EC$9="",IF($EC$11="",IF($EC$13="",INDEX(bhpc_data[sku],SMALL(MATCH(ROW(bhpc_data[sku]),ROW(bhpc_data[sku])),ROWS($A$15:A49)+$B$3)),INDEX(bhpc_data[sku],SMALL(IF(ISNUMBER(MATCH(bhpc_data[size1],$EC$13,0)),MATCH(ROW(bhpc_data[sku]),ROW(bhpc_data[sku])),""),ROWS($A$15:A49)+$B$3))),IF($EC$13="",INDEX(bhpc_data[sku],SMALL(IF(ISNUMBER(MATCH(bhpc_data[sex],$EC$11,0)),MATCH(ROW(bhpc_data[sku]),ROW(bhpc_data[sku])),""),ROWS($A$15:A49)+$B$3)),INDEX(bhpc_data[sku],SMALL(IF(ISNUMBER(MATCH(bhpc_data[sex],$EC$11,0)*MATCH(bhpc_data[size1],$EC$13,0)),MATCH(ROW(bhpc_data[sku]),ROW(bhpc_data[sku])),""),ROWS($A$15:A49)+$B$3)))),IF($EC$11="",IF($EC$13="",INDEX(bhpc_data[sku],SMALL(IF(ISNUMBER(MATCH(bhpc_data[category],$EC$9,0)),MATCH(ROW(bhpc_data[sku]),ROW(bhpc_data[sku])),""),ROWS($A$15:A49)+$B$3)),INDEX(bhpc_data[sku],SMALL(IF(ISNUMBER(MATCH(bhpc_data[category],$EC$9,0)*MATCH(bhpc_data[size1],$EC$13,0)),MATCH(ROW(bhpc_data[sku]),ROW(bhpc_data[sku])),""),ROWS($A$15:A49)+$B$3))),IF($EC$13="",INDEX(bhpc_data[sku],SMALL(IF(ISNUMBER(MATCH(bhpc_data[category],$EC$9,0)*MATCH(bhpc_data[sex],$EC$11,0)),MATCH(ROW(bhpc_data[sku]),ROW(bhpc_data[sku])),""),ROWS($A$15:A49)+$B$3)),INDEX(bhpc_data[sku],SMALL(IF(ISNUMBER(MATCH(bhpc_data[category],$EC$9,0)*MATCH(bhpc_data[sex],$EC$11,0)*MATCH(bhpc_data[size1],$EC$13,0)),MATCH(ROW(bhpc_data[sku]),ROW(bhpc_data[sku])),""),ROWS($A$15:A49)+$B$3))))),"")</f>
        <v>P05000</v>
      </c>
      <c r="EF44" s="198" t="str" cm="1">
        <f t="array" ref="EF44">IFERROR(IF($EC$9="",IF($EC$11="",IF($EC$13="",INDEX(bhpc_data[description],SMALL(MATCH(ROW(bhpc_data[sku]),ROW(bhpc_data[sku])),ROWS($A$15:A49)+$B$3)),INDEX(bhpc_data[description],SMALL(IF(ISNUMBER(MATCH(bhpc_data[size1],$EC$13,0)),MATCH(ROW(bhpc_data[sku]),ROW(bhpc_data[sku])),""),ROWS($A$15:A49)+$B$3))),IF($EC$13="",INDEX(bhpc_data[description],SMALL(IF(ISNUMBER(MATCH(bhpc_data[sex],$EC$11,0)),MATCH(ROW(bhpc_data[sku]),ROW(bhpc_data[sku])),""),ROWS($A$15:A49)+$B$3)),INDEX(bhpc_data[description],SMALL(IF(ISNUMBER(MATCH(bhpc_data[sex],$EC$11,0)*MATCH(bhpc_data[size1],$EC$13,0)),MATCH(ROW(bhpc_data[sku]),ROW(bhpc_data[sku])),""),ROWS($A$15:A49)+$B$3)))),IF($EC$11="",IF($EC$13="",INDEX(bhpc_data[description],SMALL(IF(ISNUMBER(MATCH(bhpc_data[category],$EC$9,0)),MATCH(ROW(bhpc_data[sku]),ROW(bhpc_data[sku])),""),ROWS($A$15:A49)+$B$3)),INDEX(bhpc_data[description],SMALL(IF(ISNUMBER(MATCH(bhpc_data[category],$EC$9,0)*MATCH(bhpc_data[size1],$EC$13,0)),MATCH(ROW(bhpc_data[sku]),ROW(bhpc_data[sku])),""),ROWS($A$15:A49)+$B$3))),IF($EC$13="",INDEX(bhpc_data[description],SMALL(IF(ISNUMBER(MATCH(bhpc_data[category],$EC$9,0)*MATCH(bhpc_data[sex],$EC$11,0)),MATCH(ROW(bhpc_data[sku]),ROW(bhpc_data[sku])),""),ROWS($A$15:A49)+$B$3)),INDEX(bhpc_data[description],SMALL(IF(ISNUMBER(MATCH(bhpc_data[category],$EC$9,0)*MATCH(bhpc_data[sex],$EC$11,0)*MATCH(bhpc_data[size1],$EC$13,0)),MATCH(ROW(bhpc_data[sku]),ROW(bhpc_data[sku])),""),ROWS($A$15:A49)+$B$3))))),"")</f>
        <v>BHPC SPORT MEN 1 DEO 175ML</v>
      </c>
      <c r="EG44" s="263">
        <f>IFERROR(IF(warehouse[[#This Row],[SKU]]="","",INDEX(inventory[ESISTENZA],MATCH(warehouse[[#This Row],[SKU]],inventory[ARTICOLO],0))),"")</f>
        <v>9572</v>
      </c>
      <c r="EH44" s="328"/>
      <c r="EI44" s="328"/>
      <c r="EJ44" s="263"/>
      <c r="EK44" s="329"/>
      <c r="EO44" s="296" t="str">
        <f t="array" ref="EO44">IFERROR(INDEX(orderHistory[order_no],SMALL(IF(ISNUMBER(MATCH(orderHistory[status],$EO$7,0)),MATCH(ROW(orderHistory[order_no]),ROW(orderHistory[order_no])),""),ROWS($A$15:A49))),"")</f>
        <v/>
      </c>
    </row>
    <row r="45" spans="10:228" ht="15" customHeight="1" x14ac:dyDescent="0.35">
      <c r="L45" s="539" t="str">
        <f t="array" ref="L45">IFERROR(IF($D$9="",IF($D$11="",IF($D$13="",IF($D$15="",INDEX(orderHistory[customer],SMALL(MATCH(ROW(orderHistory[customer]),ROW(orderHistory[customer])),ROWS($A$15:A50)+$B$3)),INDEX(orderHistory[customer],SMALL(IF(ISNUMBER(MATCH(YEAR(orderHistory[invoice_date]),$D$15,0)),MATCH(ROW(orderHistory[customer]),ROW(orderHistory[customer])),""),ROWS($A$15:A50)+$B$3))),IF($D$15="",INDEX(orderHistory[customer],SMALL(IF(ISNUMBER(MATCH(orderHistory[order_type],$D$13,0)),MATCH(ROW(orderHistory[customer]),ROW(orderHistory[customer])),""),ROWS($A$15:A50)+$B$3)),INDEX(orderHistory[customer],SMALL(IF(ISNUMBER(MATCH(orderHistory[order_type],$D$13,0)*MATCH(YEAR(orderHistory[invoice_date]),$D$15,0)),MATCH(ROW(orderHistory[customer]),ROW(orderHistory[customer])),""),ROWS($A$15:A50)+$B$3)))),IF($D$13="",IF($D$15="",INDEX(orderHistory[customer],SMALL(IF(ISNUMBER(MATCH(orderHistory[status],$D$11,0)),MATCH(ROW(orderHistory[customer]),ROW(orderHistory[customer])),""),ROWS($A$15:A50)+$B$3)),INDEX(orderHistory[customer],SMALL(IF(ISNUMBER(MATCH(orderHistory[status],$D$11,0)*MATCH(YEAR(orderHistory[invoice_date]),$D$15,0)),MATCH(ROW(orderHistory[customer]),ROW(orderHistory[customer])),""),ROWS($A$15:A50)+$B$3))),IF($D$15="",INDEX(orderHistory[customer],SMALL(IF(ISNUMBER(MATCH(orderHistory[status],$D$11,0)*MATCH(orderHistory[order_type],$D$13,0)),MATCH(ROW(orderHistory[customer]),ROW(orderHistory[customer])),""),ROWS($A$15:A50)+$B$3)),INDEX(orderHistory[customer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customer],SMALL(IF(ISNUMBER(MATCH(orderHistory[customer],$D$9,0)),MATCH(ROW(orderHistory[customer]),ROW(orderHistory[customer])),""),ROWS($A$15:A50)+$B$3)),INDEX(orderHistory[customer],SMALL(IF(ISNUMBER(MATCH(orderHistory[customer],$D$9,0)*MATCH(YEAR(orderHistory[invoice_date]),$D$15,0)),MATCH(ROW(orderHistory[customer]),ROW(orderHistory[customer])),""),ROWS($A$15:A50)+$B$3))),IF($D$15="",INDEX(orderHistory[customer],SMALL(IF(ISNUMBER(MATCH(orderHistory[customer],$D$9,0)*MATCH(orderHistory[order_type],$D$13,0)),MATCH(ROW(orderHistory[customer]),ROW(orderHistory[customer])),""),ROWS($A$15:A50)+$B$3)),INDEX(orderHistory[customer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customer],SMALL(IF(ISNUMBER(MATCH(orderHistory[customer],$D$9,0)*MATCH(orderHistory[status],$D$11,0)),MATCH(ROW(orderHistory[customer]),ROW(orderHistory[customer])),""),ROWS($A$15:A50)+$B$3)),INDEX(orderHistory[customer],SMALL(IF(ISNUMBER(MATCH(orderHistory[customer],$D$9,0)*MATCH(orderHistory[status],$D$11,0)*MATCH(YEAR(orderHistory[invoice_date]),$D$15,0)),MATCH(ROW(orderHistory[customer]),ROW(orderHistory[customer])),""),ROWS($A$15:A50)+$B$3))),IF($D$15="",INDEX(orderHistory[customer],SMALL(IF(ISNUMBER(MATCH(orderHistory[customer],$D$9,0)*MATCH(orderHistory[status],$D$11,0)*MATCH(orderHistory[order_type],$D$13,0)),MATCH(ROW(orderHistory[customer]),ROW(orderHistory[customer])),""),ROWS($A$15:A50)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M45" s="540" t="str">
        <f t="array" ref="M45">IFERROR(IF($D$9="",IF($D$11="",IF($D$13="",IF($D$15="",INDEX(orderHistory[order_no],SMALL(MATCH(ROW(orderHistory[customer]),ROW(orderHistory[customer])),ROWS($A$15:A50)+$B$3)),INDEX(orderHistory[order_no],SMALL(IF(ISNUMBER(MATCH(YEAR(orderHistory[invoice_date]),$D$15,0)),MATCH(ROW(orderHistory[customer]),ROW(orderHistory[customer])),""),ROWS($A$15:A50)+$B$3))),IF($D$15="",INDEX(orderHistory[order_no],SMALL(IF(ISNUMBER(MATCH(orderHistory[order_type],$D$13,0)),MATCH(ROW(orderHistory[customer]),ROW(orderHistory[customer])),""),ROWS($A$15:A50)+$B$3)),INDEX(orderHistory[order_no],SMALL(IF(ISNUMBER(MATCH(orderHistory[order_type],$D$13,0)*MATCH(YEAR(orderHistory[invoice_date]),$D$15,0)),MATCH(ROW(orderHistory[customer]),ROW(orderHistory[customer])),""),ROWS($A$15:A50)+$B$3)))),IF($D$13="",IF($D$15="",INDEX(orderHistory[order_no],SMALL(IF(ISNUMBER(MATCH(orderHistory[status],$D$11,0)),MATCH(ROW(orderHistory[customer]),ROW(orderHistory[customer])),""),ROWS($A$15:A50)+$B$3)),INDEX(orderHistory[order_no],SMALL(IF(ISNUMBER(MATCH(orderHistory[status],$D$11,0)*MATCH(YEAR(orderHistory[invoice_date]),$D$15,0)),MATCH(ROW(orderHistory[customer]),ROW(orderHistory[customer])),""),ROWS($A$15:A50)+$B$3))),IF($D$15="",INDEX(orderHistory[order_no],SMALL(IF(ISNUMBER(MATCH(orderHistory[status],$D$11,0)*MATCH(orderHistory[order_type],$D$13,0)),MATCH(ROW(orderHistory[customer]),ROW(orderHistory[customer])),""),ROWS($A$15:A50)+$B$3)),INDEX(orderHistory[order_no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no],SMALL(IF(ISNUMBER(MATCH(orderHistory[customer],$D$9,0)),MATCH(ROW(orderHistory[customer]),ROW(orderHistory[customer])),""),ROWS($A$15:A50)+$B$3)),INDEX(orderHistory[order_no],SMALL(IF(ISNUMBER(MATCH(orderHistory[customer],$D$9,0)*MATCH(YEAR(orderHistory[invoice_date]),$D$15,0)),MATCH(ROW(orderHistory[customer]),ROW(orderHistory[customer])),""),ROWS($A$15:A50)+$B$3))),IF($D$15="",INDEX(orderHistory[order_no],SMALL(IF(ISNUMBER(MATCH(orderHistory[customer],$D$9,0)*MATCH(orderHistory[order_type],$D$13,0)),MATCH(ROW(orderHistory[customer]),ROW(orderHistory[customer])),""),ROWS($A$15:A50)+$B$3)),INDEX(orderHistory[order_no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no],SMALL(IF(ISNUMBER(MATCH(orderHistory[customer],$D$9,0)*MATCH(orderHistory[status],$D$11,0)),MATCH(ROW(orderHistory[customer]),ROW(orderHistory[customer])),""),ROWS($A$15:A50)+$B$3)),INDEX(orderHistory[order_no],SMALL(IF(ISNUMBER(MATCH(orderHistory[customer],$D$9,0)*MATCH(orderHistory[status],$D$11,0)*MATCH(YEAR(orderHistory[invoice_date]),$D$15,0)),MATCH(ROW(orderHistory[customer]),ROW(orderHistory[customer])),""),ROWS($A$15:A50)+$B$3))),IF($D$15="",INDEX(orderHistory[order_no],SMALL(IF(ISNUMBER(MATCH(orderHistory[customer],$D$9,0)*MATCH(orderHistory[status],$D$11,0)*MATCH(orderHistory[order_type],$D$13,0)),MATCH(ROW(orderHistory[customer]),ROW(orderHistory[customer])),""),ROWS($A$15:A50)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N45" s="541" t="str">
        <f t="array" ref="N45">IFERROR(IF($D$9="",IF($D$11="",IF($D$13="",IF($D$15="",INDEX(orderHistory[order_type],SMALL(MATCH(ROW(orderHistory[customer]),ROW(orderHistory[customer])),ROWS($A$15:A50)+$B$3)),INDEX(orderHistory[order_type],SMALL(IF(ISNUMBER(MATCH(YEAR(orderHistory[invoice_date]),$D$15,0)),MATCH(ROW(orderHistory[customer]),ROW(orderHistory[customer])),""),ROWS($A$15:A50)+$B$3))),IF($D$15="",INDEX(orderHistory[order_type],SMALL(IF(ISNUMBER(MATCH(orderHistory[order_type],$D$13,0)),MATCH(ROW(orderHistory[customer]),ROW(orderHistory[customer])),""),ROWS($A$15:A50)+$B$3)),INDEX(orderHistory[order_type],SMALL(IF(ISNUMBER(MATCH(orderHistory[order_type],$D$13,0)*MATCH(YEAR(orderHistory[invoice_date]),$D$15,0)),MATCH(ROW(orderHistory[customer]),ROW(orderHistory[customer])),""),ROWS($A$15:A50)+$B$3)))),IF($D$13="",IF($D$15="",INDEX(orderHistory[order_type],SMALL(IF(ISNUMBER(MATCH(orderHistory[status],$D$11,0)),MATCH(ROW(orderHistory[customer]),ROW(orderHistory[customer])),""),ROWS($A$15:A50)+$B$3)),INDEX(orderHistory[order_type],SMALL(IF(ISNUMBER(MATCH(orderHistory[status],$D$11,0)*MATCH(YEAR(orderHistory[invoice_date]),$D$15,0)),MATCH(ROW(orderHistory[customer]),ROW(orderHistory[customer])),""),ROWS($A$15:A50)+$B$3))),IF($D$15="",INDEX(orderHistory[order_type],SMALL(IF(ISNUMBER(MATCH(orderHistory[status],$D$11,0)*MATCH(orderHistory[order_type],$D$13,0)),MATCH(ROW(orderHistory[customer]),ROW(orderHistory[customer])),""),ROWS($A$15:A50)+$B$3)),INDEX(orderHistory[order_typ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type],SMALL(IF(ISNUMBER(MATCH(orderHistory[customer],$D$9,0)),MATCH(ROW(orderHistory[customer]),ROW(orderHistory[customer])),""),ROWS($A$15:A50)+$B$3)),INDEX(orderHistory[order_type],SMALL(IF(ISNUMBER(MATCH(orderHistory[customer],$D$9,0)*MATCH(YEAR(orderHistory[invoice_date]),$D$15,0)),MATCH(ROW(orderHistory[customer]),ROW(orderHistory[customer])),""),ROWS($A$15:A50)+$B$3))),IF($D$15="",INDEX(orderHistory[order_type],SMALL(IF(ISNUMBER(MATCH(orderHistory[customer],$D$9,0)*MATCH(orderHistory[order_type],$D$13,0)),MATCH(ROW(orderHistory[customer]),ROW(orderHistory[customer])),""),ROWS($A$15:A50)+$B$3)),INDEX(orderHistory[order_typ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type],SMALL(IF(ISNUMBER(MATCH(orderHistory[customer],$D$9,0)*MATCH(orderHistory[status],$D$11,0)),MATCH(ROW(orderHistory[customer]),ROW(orderHistory[customer])),""),ROWS($A$15:A50)+$B$3)),INDEX(orderHistory[order_type],SMALL(IF(ISNUMBER(MATCH(orderHistory[customer],$D$9,0)*MATCH(orderHistory[status],$D$11,0)*MATCH(YEAR(orderHistory[invoice_date]),$D$15,0)),MATCH(ROW(orderHistory[customer]),ROW(orderHistory[customer])),""),ROWS($A$15:A50)+$B$3))),IF($D$15="",INDEX(orderHistory[order_type],SMALL(IF(ISNUMBER(MATCH(orderHistory[customer],$D$9,0)*MATCH(orderHistory[status],$D$11,0)*MATCH(orderHistory[order_type],$D$13,0)),MATCH(ROW(orderHistory[customer]),ROW(orderHistory[customer])),""),ROWS($A$15:A50)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O45" s="542" t="str">
        <f t="array" ref="O45">IFERROR(IF($D$9="",IF($D$11="",IF($D$13="",IF($D$15="",INDEX(orderHistory[order_date],SMALL(MATCH(ROW(orderHistory[customer]),ROW(orderHistory[customer])),ROWS($A$15:A50)+$B$3)),INDEX(orderHistory[order_date],SMALL(IF(ISNUMBER(MATCH(YEAR(orderHistory[invoice_date]),$D$15,0)),MATCH(ROW(orderHistory[customer]),ROW(orderHistory[customer])),""),ROWS($A$15:A50)+$B$3))),IF($D$15="",INDEX(orderHistory[order_date],SMALL(IF(ISNUMBER(MATCH(orderHistory[order_type],$D$13,0)),MATCH(ROW(orderHistory[customer]),ROW(orderHistory[customer])),""),ROWS($A$15:A50)+$B$3)),INDEX(orderHistory[order_date],SMALL(IF(ISNUMBER(MATCH(orderHistory[order_type],$D$13,0)*MATCH(YEAR(orderHistory[invoice_date]),$D$15,0)),MATCH(ROW(orderHistory[customer]),ROW(orderHistory[customer])),""),ROWS($A$15:A50)+$B$3)))),IF($D$13="",IF($D$15="",INDEX(orderHistory[order_date],SMALL(IF(ISNUMBER(MATCH(orderHistory[status],$D$11,0)),MATCH(ROW(orderHistory[customer]),ROW(orderHistory[customer])),""),ROWS($A$15:A50)+$B$3)),INDEX(orderHistory[order_date],SMALL(IF(ISNUMBER(MATCH(orderHistory[status],$D$11,0)*MATCH(YEAR(orderHistory[invoice_date]),$D$15,0)),MATCH(ROW(orderHistory[customer]),ROW(orderHistory[customer])),""),ROWS($A$15:A50)+$B$3))),IF($D$15="",INDEX(orderHistory[order_date],SMALL(IF(ISNUMBER(MATCH(orderHistory[status],$D$11,0)*MATCH(orderHistory[order_type],$D$13,0)),MATCH(ROW(orderHistory[customer]),ROW(orderHistory[customer])),""),ROWS($A$15:A50)+$B$3)),INDEX(orderHistory[order_dat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date],SMALL(IF(ISNUMBER(MATCH(orderHistory[customer],$D$9,0)),MATCH(ROW(orderHistory[customer]),ROW(orderHistory[customer])),""),ROWS($A$15:A50)+$B$3)),INDEX(orderHistory[order_date],SMALL(IF(ISNUMBER(MATCH(orderHistory[customer],$D$9,0)*MATCH(YEAR(orderHistory[invoice_date]),$D$15,0)),MATCH(ROW(orderHistory[customer]),ROW(orderHistory[customer])),""),ROWS($A$15:A50)+$B$3))),IF($D$15="",INDEX(orderHistory[order_date],SMALL(IF(ISNUMBER(MATCH(orderHistory[customer],$D$9,0)*MATCH(orderHistory[order_type],$D$13,0)),MATCH(ROW(orderHistory[customer]),ROW(orderHistory[customer])),""),ROWS($A$15:A50)+$B$3)),INDEX(orderHistory[order_dat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date],SMALL(IF(ISNUMBER(MATCH(orderHistory[customer],$D$9,0)*MATCH(orderHistory[status],$D$11,0)),MATCH(ROW(orderHistory[customer]),ROW(orderHistory[customer])),""),ROWS($A$15:A50)+$B$3)),INDEX(orderHistory[order_date],SMALL(IF(ISNUMBER(MATCH(orderHistory[customer],$D$9,0)*MATCH(orderHistory[status],$D$11,0)*MATCH(YEAR(orderHistory[invoice_date]),$D$15,0)),MATCH(ROW(orderHistory[customer]),ROW(orderHistory[customer])),""),ROWS($A$15:A50)+$B$3))),IF($D$15="",INDEX(orderHistory[order_date],SMALL(IF(ISNUMBER(MATCH(orderHistory[customer],$D$9,0)*MATCH(orderHistory[status],$D$11,0)*MATCH(orderHistory[order_type],$D$13,0)),MATCH(ROW(orderHistory[customer]),ROW(orderHistory[customer])),""),ROWS($A$15:A50)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P45" s="543" t="str">
        <f t="array" ref="P45">IFERROR(IF($D$9="",IF($D$11="",IF($D$13="",IF($D$15="",INDEX(orderHistory[invoice_no],SMALL(MATCH(ROW(orderHistory[customer]),ROW(orderHistory[customer])),ROWS($A$15:A50)+$B$3)),INDEX(orderHistory[invoice_no],SMALL(IF(ISNUMBER(MATCH(YEAR(orderHistory[invoice_date]),$D$15,0)),MATCH(ROW(orderHistory[customer]),ROW(orderHistory[customer])),""),ROWS($A$15:A50)+$B$3))),IF($D$15="",INDEX(orderHistory[invoice_no],SMALL(IF(ISNUMBER(MATCH(orderHistory[order_type],$D$13,0)),MATCH(ROW(orderHistory[customer]),ROW(orderHistory[customer])),""),ROWS($A$15:A50)+$B$3)),INDEX(orderHistory[invoice_no],SMALL(IF(ISNUMBER(MATCH(orderHistory[order_type],$D$13,0)*MATCH(YEAR(orderHistory[invoice_date]),$D$15,0)),MATCH(ROW(orderHistory[customer]),ROW(orderHistory[customer])),""),ROWS($A$15:A50)+$B$3)))),IF($D$13="",IF($D$15="",INDEX(orderHistory[invoice_no],SMALL(IF(ISNUMBER(MATCH(orderHistory[status],$D$11,0)),MATCH(ROW(orderHistory[customer]),ROW(orderHistory[customer])),""),ROWS($A$15:A50)+$B$3)),INDEX(orderHistory[invoice_no],SMALL(IF(ISNUMBER(MATCH(orderHistory[status],$D$11,0)*MATCH(YEAR(orderHistory[invoice_date]),$D$15,0)),MATCH(ROW(orderHistory[customer]),ROW(orderHistory[customer])),""),ROWS($A$15:A50)+$B$3))),IF($D$15="",INDEX(orderHistory[invoice_no],SMALL(IF(ISNUMBER(MATCH(orderHistory[status],$D$11,0)*MATCH(orderHistory[order_type],$D$13,0)),MATCH(ROW(orderHistory[customer]),ROW(orderHistory[customer])),""),ROWS($A$15:A50)+$B$3)),INDEX(orderHistory[invoice_no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oice_no],SMALL(IF(ISNUMBER(MATCH(orderHistory[customer],$D$9,0)),MATCH(ROW(orderHistory[customer]),ROW(orderHistory[customer])),""),ROWS($A$15:A50)+$B$3)),INDEX(orderHistory[invoice_no],SMALL(IF(ISNUMBER(MATCH(orderHistory[customer],$D$9,0)*MATCH(YEAR(orderHistory[invoice_date]),$D$15,0)),MATCH(ROW(orderHistory[customer]),ROW(orderHistory[customer])),""),ROWS($A$15:A50)+$B$3))),IF($D$15="",INDEX(orderHistory[invoice_no],SMALL(IF(ISNUMBER(MATCH(orderHistory[customer],$D$9,0)*MATCH(orderHistory[order_type],$D$13,0)),MATCH(ROW(orderHistory[customer]),ROW(orderHistory[customer])),""),ROWS($A$15:A50)+$B$3)),INDEX(orderHistory[invoice_no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oice_no],SMALL(IF(ISNUMBER(MATCH(orderHistory[customer],$D$9,0)*MATCH(orderHistory[status],$D$11,0)),MATCH(ROW(orderHistory[customer]),ROW(orderHistory[customer])),""),ROWS($A$15:A50)+$B$3)),INDEX(orderHistory[invoice_no],SMALL(IF(ISNUMBER(MATCH(orderHistory[customer],$D$9,0)*MATCH(orderHistory[status],$D$11,0)*MATCH(YEAR(orderHistory[invoice_date]),$D$15,0)),MATCH(ROW(orderHistory[customer]),ROW(orderHistory[customer])),""),ROWS($A$15:A50)+$B$3))),IF($D$15="",INDEX(orderHistory[invoice_no],SMALL(IF(ISNUMBER(MATCH(orderHistory[customer],$D$9,0)*MATCH(orderHistory[status],$D$11,0)*MATCH(orderHistory[order_type],$D$13,0)),MATCH(ROW(orderHistory[customer]),ROW(orderHistory[customer])),""),ROWS($A$15:A50)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Q45" s="544" t="str">
        <f t="array" ref="Q45">IFERROR(IF($D$9="",IF($D$11="",IF($D$13="",IF($D$15="",INDEX(orderHistory[invoice_date],SMALL(MATCH(ROW(orderHistory[customer]),ROW(orderHistory[customer])),ROWS($A$15:A50)+$B$3)),INDEX(orderHistory[invoice_date],SMALL(IF(ISNUMBER(MATCH(YEAR(orderHistory[invoice_date]),$D$15,0)),MATCH(ROW(orderHistory[customer]),ROW(orderHistory[customer])),""),ROWS($A$15:A50)+$B$3))),IF($D$15="",INDEX(orderHistory[invoice_date],SMALL(IF(ISNUMBER(MATCH(orderHistory[order_type],$D$13,0)),MATCH(ROW(orderHistory[customer]),ROW(orderHistory[customer])),""),ROWS($A$15:A50)+$B$3)),INDEX(orderHistory[invoice_date],SMALL(IF(ISNUMBER(MATCH(orderHistory[order_type],$D$13,0)*MATCH(YEAR(orderHistory[invoice_date]),$D$15,0)),MATCH(ROW(orderHistory[customer]),ROW(orderHistory[customer])),""),ROWS($A$15:A50)+$B$3)))),IF($D$13="",IF($D$15="",INDEX(orderHistory[invoice_date],SMALL(IF(ISNUMBER(MATCH(orderHistory[status],$D$11,0)),MATCH(ROW(orderHistory[customer]),ROW(orderHistory[customer])),""),ROWS($A$15:A50)+$B$3)),INDEX(orderHistory[invoice_date],SMALL(IF(ISNUMBER(MATCH(orderHistory[status],$D$11,0)*MATCH(YEAR(orderHistory[invoice_date]),$D$15,0)),MATCH(ROW(orderHistory[customer]),ROW(orderHistory[customer])),""),ROWS($A$15:A50)+$B$3))),IF($D$15="",INDEX(orderHistory[invoice_date],SMALL(IF(ISNUMBER(MATCH(orderHistory[status],$D$11,0)*MATCH(orderHistory[order_type],$D$13,0)),MATCH(ROW(orderHistory[customer]),ROW(orderHistory[customer])),""),ROWS($A$15:A50)+$B$3)),INDEX(orderHistory[invoice_dat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oice_date],SMALL(IF(ISNUMBER(MATCH(orderHistory[customer],$D$9,0)),MATCH(ROW(orderHistory[customer]),ROW(orderHistory[customer])),""),ROWS($A$15:A50)+$B$3)),INDEX(orderHistory[invoice_date],SMALL(IF(ISNUMBER(MATCH(orderHistory[customer],$D$9,0)*MATCH(YEAR(orderHistory[invoice_date]),$D$15,0)),MATCH(ROW(orderHistory[customer]),ROW(orderHistory[customer])),""),ROWS($A$15:A50)+$B$3))),IF($D$15="",INDEX(orderHistory[invoice_date],SMALL(IF(ISNUMBER(MATCH(orderHistory[customer],$D$9,0)*MATCH(orderHistory[order_type],$D$13,0)),MATCH(ROW(orderHistory[customer]),ROW(orderHistory[customer])),""),ROWS($A$15:A50)+$B$3)),INDEX(orderHistory[invoice_dat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oice_date],SMALL(IF(ISNUMBER(MATCH(orderHistory[customer],$D$9,0)*MATCH(orderHistory[status],$D$11,0)),MATCH(ROW(orderHistory[customer]),ROW(orderHistory[customer])),""),ROWS($A$15:A50)+$B$3)),INDEX(orderHistory[invoice_date],SMALL(IF(ISNUMBER(MATCH(orderHistory[customer],$D$9,0)*MATCH(orderHistory[status],$D$11,0)*MATCH(YEAR(orderHistory[invoice_date]),$D$15,0)),MATCH(ROW(orderHistory[customer]),ROW(orderHistory[customer])),""),ROWS($A$15:A50)+$B$3))),IF($D$15="",INDEX(orderHistory[invoice_date],SMALL(IF(ISNUMBER(MATCH(orderHistory[customer],$D$9,0)*MATCH(orderHistory[status],$D$11,0)*MATCH(orderHistory[order_type],$D$13,0)),MATCH(ROW(orderHistory[customer]),ROW(orderHistory[customer])),""),ROWS($A$15:A50)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R45" s="545" t="str">
        <f t="array" ref="R45">IFERROR(IF($D$9="",IF($D$11="",IF($D$13="",IF($D$15="",INDEX(orderHistory[inv_amount],SMALL(MATCH(ROW(orderHistory[customer]),ROW(orderHistory[customer])),ROWS($A$15:A50)+$B$3)),INDEX(orderHistory[inv_amount],SMALL(IF(ISNUMBER(MATCH(YEAR(orderHistory[invoice_date]),$D$15,0)),MATCH(ROW(orderHistory[customer]),ROW(orderHistory[customer])),""),ROWS($A$15:A50)+$B$3))),IF($D$15="",INDEX(orderHistory[inv_amount],SMALL(IF(ISNUMBER(MATCH(orderHistory[order_type],$D$13,0)),MATCH(ROW(orderHistory[customer]),ROW(orderHistory[customer])),""),ROWS($A$15:A50)+$B$3)),INDEX(orderHistory[inv_amount],SMALL(IF(ISNUMBER(MATCH(orderHistory[order_type],$D$13,0)*MATCH(YEAR(orderHistory[invoice_date]),$D$15,0)),MATCH(ROW(orderHistory[customer]),ROW(orderHistory[customer])),""),ROWS($A$15:A50)+$B$3)))),IF($D$13="",IF($D$15="",INDEX(orderHistory[inv_amount],SMALL(IF(ISNUMBER(MATCH(orderHistory[status],$D$11,0)),MATCH(ROW(orderHistory[customer]),ROW(orderHistory[customer])),""),ROWS($A$15:A50)+$B$3)),INDEX(orderHistory[inv_amount],SMALL(IF(ISNUMBER(MATCH(orderHistory[status],$D$11,0)*MATCH(YEAR(orderHistory[invoice_date]),$D$15,0)),MATCH(ROW(orderHistory[customer]),ROW(orderHistory[customer])),""),ROWS($A$15:A50)+$B$3))),IF($D$15="",INDEX(orderHistory[inv_amount],SMALL(IF(ISNUMBER(MATCH(orderHistory[status],$D$11,0)*MATCH(orderHistory[order_type],$D$13,0)),MATCH(ROW(orderHistory[customer]),ROW(orderHistory[customer])),""),ROWS($A$15:A50)+$B$3)),INDEX(orderHistory[inv_amount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_amount],SMALL(IF(ISNUMBER(MATCH(orderHistory[customer],$D$9,0)),MATCH(ROW(orderHistory[customer]),ROW(orderHistory[customer])),""),ROWS($A$15:A50)+$B$3)),INDEX(orderHistory[inv_amount],SMALL(IF(ISNUMBER(MATCH(orderHistory[customer],$D$9,0)*MATCH(YEAR(orderHistory[invoice_date]),$D$15,0)),MATCH(ROW(orderHistory[customer]),ROW(orderHistory[customer])),""),ROWS($A$15:A50)+$B$3))),IF($D$15="",INDEX(orderHistory[inv_amount],SMALL(IF(ISNUMBER(MATCH(orderHistory[customer],$D$9,0)*MATCH(orderHistory[order_type],$D$13,0)),MATCH(ROW(orderHistory[customer]),ROW(orderHistory[customer])),""),ROWS($A$15:A50)+$B$3)),INDEX(orderHistory[inv_amount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_amount],SMALL(IF(ISNUMBER(MATCH(orderHistory[customer],$D$9,0)*MATCH(orderHistory[status],$D$11,0)),MATCH(ROW(orderHistory[customer]),ROW(orderHistory[customer])),""),ROWS($A$15:A50)+$B$3)),INDEX(orderHistory[inv_amount],SMALL(IF(ISNUMBER(MATCH(orderHistory[customer],$D$9,0)*MATCH(orderHistory[status],$D$11,0)*MATCH(YEAR(orderHistory[inv_amount]),$D$15,0)),MATCH(ROW(orderHistory[customer]),ROW(orderHistory[customer])),""),ROWS($A$15:A50)+$B$3))),IF($D$15="",INDEX(orderHistory[inv_amount],SMALL(IF(ISNUMBER(MATCH(orderHistory[customer],$D$9,0)*MATCH(orderHistory[status],$D$11,0)*MATCH(orderHistory[order_type],$D$13,0)),MATCH(ROW(orderHistory[customer]),ROW(orderHistory[customer])),""),ROWS($A$15:A50)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S45" s="546" t="str">
        <f t="shared" si="2"/>
        <v/>
      </c>
      <c r="T45" s="547" t="str">
        <f t="array" ref="T45">IFERROR(IF($D$9="",IF($D$11="",IF($D$13="",IF($D$15="",INDEX(orderHistory[payed],SMALL(MATCH(ROW(orderHistory[customer]),ROW(orderHistory[customer])),ROWS($A$15:A50)+$B$3)),INDEX(orderHistory[payed],SMALL(IF(ISNUMBER(MATCH(YEAR(orderHistory[invoice_date]),$D$15,0)),MATCH(ROW(orderHistory[customer]),ROW(orderHistory[customer])),""),ROWS($A$15:A50)+$B$3))),IF($D$15="",INDEX(orderHistory[payed],SMALL(IF(ISNUMBER(MATCH(orderHistory[order_type],$D$13,0)),MATCH(ROW(orderHistory[customer]),ROW(orderHistory[customer])),""),ROWS($A$15:A50)+$B$3)),INDEX(orderHistory[payed],SMALL(IF(ISNUMBER(MATCH(orderHistory[order_type],$D$13,0)*MATCH(YEAR(orderHistory[invoice_date]),$D$15,0)),MATCH(ROW(orderHistory[customer]),ROW(orderHistory[customer])),""),ROWS($A$15:A50)+$B$3)))),IF($D$13="",IF($D$15="",INDEX(orderHistory[payed],SMALL(IF(ISNUMBER(MATCH(orderHistory[status],$D$11,0)),MATCH(ROW(orderHistory[customer]),ROW(orderHistory[customer])),""),ROWS($A$15:A50)+$B$3)),INDEX(orderHistory[payed],SMALL(IF(ISNUMBER(MATCH(orderHistory[status],$D$11,0)*MATCH(YEAR(orderHistory[invoice_date]),$D$15,0)),MATCH(ROW(orderHistory[customer]),ROW(orderHistory[customer])),""),ROWS($A$15:A50)+$B$3))),IF($D$15="",INDEX(orderHistory[payed],SMALL(IF(ISNUMBER(MATCH(orderHistory[status],$D$11,0)*MATCH(orderHistory[order_type],$D$13,0)),MATCH(ROW(orderHistory[customer]),ROW(orderHistory[customer])),""),ROWS($A$15:A50)+$B$3)),INDEX(orderHistory[payed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payed],SMALL(IF(ISNUMBER(MATCH(orderHistory[customer],$D$9,0)),MATCH(ROW(orderHistory[customer]),ROW(orderHistory[customer])),""),ROWS($A$15:A50)+$B$3)),INDEX(orderHistory[payed],SMALL(IF(ISNUMBER(MATCH(orderHistory[customer],$D$9,0)*MATCH(YEAR(orderHistory[invoice_date]),$D$15,0)),MATCH(ROW(orderHistory[customer]),ROW(orderHistory[customer])),""),ROWS($A$15:A50)+$B$3))),IF($D$15="",INDEX(orderHistory[payed],SMALL(IF(ISNUMBER(MATCH(orderHistory[customer],$D$9,0)*MATCH(orderHistory[order_type],$D$13,0)),MATCH(ROW(orderHistory[customer]),ROW(orderHistory[customer])),""),ROWS($A$15:A50)+$B$3)),INDEX(orderHistory[payed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payed],SMALL(IF(ISNUMBER(MATCH(orderHistory[customer],$D$9,0)*MATCH(orderHistory[status],$D$11,0)),MATCH(ROW(orderHistory[customer]),ROW(orderHistory[customer])),""),ROWS($A$15:A50)+$B$3)),INDEX(orderHistory[payed],SMALL(IF(ISNUMBER(MATCH(orderHistory[customer],$D$9,0)*MATCH(orderHistory[status],$D$11,0)*MATCH(YEAR(orderHistory[payed]),$D$15,0)),MATCH(ROW(orderHistory[customer]),ROW(orderHistory[customer])),""),ROWS($A$15:A50)+$B$3))),IF($D$15="",INDEX(orderHistory[payed],SMALL(IF(ISNUMBER(MATCH(orderHistory[customer],$D$9,0)*MATCH(orderHistory[status],$D$11,0)*MATCH(orderHistory[order_type],$D$13,0)),MATCH(ROW(orderHistory[customer]),ROW(orderHistory[customer])),""),ROWS($A$15:A50)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U45" s="541" t="str">
        <f t="array" ref="U45">IFERROR(IF($D$9="",IF($D$11="",IF($D$13="",IF($D$15="",INDEX(orderHistory[shipping_method],SMALL(MATCH(ROW(orderHistory[customer]),ROW(orderHistory[customer])),ROWS($A$15:A50)+$B$3)),INDEX(orderHistory[shipping_method],SMALL(IF(ISNUMBER(MATCH(YEAR(orderHistory[invoice_date]),$D$15,0)),MATCH(ROW(orderHistory[customer]),ROW(orderHistory[customer])),""),ROWS($A$15:A50)+$B$3))),IF($D$15="",INDEX(orderHistory[shipping_method],SMALL(IF(ISNUMBER(MATCH(orderHistory[order_type],$D$13,0)),MATCH(ROW(orderHistory[customer]),ROW(orderHistory[customer])),""),ROWS($A$15:A50)+$B$3)),INDEX(orderHistory[shipping_method],SMALL(IF(ISNUMBER(MATCH(orderHistory[order_type],$D$13,0)*MATCH(YEAR(orderHistory[invoice_date]),$D$15,0)),MATCH(ROW(orderHistory[customer]),ROW(orderHistory[customer])),""),ROWS($A$15:A50)+$B$3)))),IF($D$13="",IF($D$15="",INDEX(orderHistory[shipping_method],SMALL(IF(ISNUMBER(MATCH(orderHistory[status],$D$11,0)),MATCH(ROW(orderHistory[customer]),ROW(orderHistory[customer])),""),ROWS($A$15:A50)+$B$3)),INDEX(orderHistory[shipping_method],SMALL(IF(ISNUMBER(MATCH(orderHistory[status],$D$11,0)*MATCH(YEAR(orderHistory[invoice_date]),$D$15,0)),MATCH(ROW(orderHistory[customer]),ROW(orderHistory[customer])),""),ROWS($A$15:A50)+$B$3))),IF($D$15="",INDEX(orderHistory[shipping_method],SMALL(IF(ISNUMBER(MATCH(orderHistory[status],$D$11,0)*MATCH(orderHistory[order_type],$D$13,0)),MATCH(ROW(orderHistory[customer]),ROW(orderHistory[customer])),""),ROWS($A$15:A50)+$B$3)),INDEX(orderHistory[shipping_method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shipping_method],SMALL(IF(ISNUMBER(MATCH(orderHistory[customer],$D$9,0)),MATCH(ROW(orderHistory[customer]),ROW(orderHistory[customer])),""),ROWS($A$15:A50)+$B$3)),INDEX(orderHistory[shipping_method],SMALL(IF(ISNUMBER(MATCH(orderHistory[customer],$D$9,0)*MATCH(YEAR(orderHistory[invoice_date]),$D$15,0)),MATCH(ROW(orderHistory[customer]),ROW(orderHistory[customer])),""),ROWS($A$15:A50)+$B$3))),IF($D$15="",INDEX(orderHistory[shipping_method],SMALL(IF(ISNUMBER(MATCH(orderHistory[customer],$D$9,0)*MATCH(orderHistory[order_type],$D$13,0)),MATCH(ROW(orderHistory[customer]),ROW(orderHistory[customer])),""),ROWS($A$15:A50)+$B$3)),INDEX(orderHistory[shipping_method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shipping_method],SMALL(IF(ISNUMBER(MATCH(orderHistory[customer],$D$9,0)*MATCH(orderHistory[status],$D$11,0)),MATCH(ROW(orderHistory[customer]),ROW(orderHistory[customer])),""),ROWS($A$15:A50)+$B$3)),INDEX(orderHistory[shipping_method],SMALL(IF(ISNUMBER(MATCH(orderHistory[customer],$D$9,0)*MATCH(orderHistory[status],$D$11,0)*MATCH(YEAR(orderHistory[shipping_method]),$D$15,0)),MATCH(ROW(orderHistory[customer]),ROW(orderHistory[customer])),""),ROWS($A$15:A50)+$B$3))),IF($D$15="",INDEX(orderHistory[shipping_method],SMALL(IF(ISNUMBER(MATCH(orderHistory[customer],$D$9,0)*MATCH(orderHistory[status],$D$11,0)*MATCH(orderHistory[order_type],$D$13,0)),MATCH(ROW(orderHistory[customer]),ROW(orderHistory[customer])),""),ROWS($A$15:A50)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V45" s="548" t="str">
        <f t="array" ref="V45">IFERROR(IF($D$9="",IF($D$11="",IF($D$13="",IF($D$15="",INDEX(orderHistory[status],SMALL(MATCH(ROW(orderHistory[customer]),ROW(orderHistory[customer])),ROWS($A$15:A50)+$B$3)),INDEX(orderHistory[status],SMALL(IF(ISNUMBER(MATCH(YEAR(orderHistory[invoice_date]),$D$15,0)),MATCH(ROW(orderHistory[customer]),ROW(orderHistory[customer])),""),ROWS($A$15:A50)+$B$3))),IF($D$15="",INDEX(orderHistory[status],SMALL(IF(ISNUMBER(MATCH(orderHistory[order_type],$D$13,0)),MATCH(ROW(orderHistory[customer]),ROW(orderHistory[customer])),""),ROWS($A$15:A50)+$B$3)),INDEX(orderHistory[status],SMALL(IF(ISNUMBER(MATCH(orderHistory[order_type],$D$13,0)*MATCH(YEAR(orderHistory[invoice_date]),$D$15,0)),MATCH(ROW(orderHistory[customer]),ROW(orderHistory[customer])),""),ROWS($A$15:A50)+$B$3)))),IF($D$13="",IF($D$15="",INDEX(orderHistory[status],SMALL(IF(ISNUMBER(MATCH(orderHistory[status],$D$11,0)),MATCH(ROW(orderHistory[customer]),ROW(orderHistory[customer])),""),ROWS($A$15:A50)+$B$3)),INDEX(orderHistory[status],SMALL(IF(ISNUMBER(MATCH(orderHistory[status],$D$11,0)*MATCH(YEAR(orderHistory[invoice_date]),$D$15,0)),MATCH(ROW(orderHistory[customer]),ROW(orderHistory[customer])),""),ROWS($A$15:A50)+$B$3))),IF($D$15="",INDEX(orderHistory[status],SMALL(IF(ISNUMBER(MATCH(orderHistory[status],$D$11,0)*MATCH(orderHistory[order_type],$D$13,0)),MATCH(ROW(orderHistory[customer]),ROW(orderHistory[customer])),""),ROWS($A$15:A50)+$B$3)),INDEX(orderHistory[status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status],SMALL(IF(ISNUMBER(MATCH(orderHistory[customer],$D$9,0)),MATCH(ROW(orderHistory[customer]),ROW(orderHistory[customer])),""),ROWS($A$15:A50)+$B$3)),INDEX(orderHistory[status],SMALL(IF(ISNUMBER(MATCH(orderHistory[customer],$D$9,0)*MATCH(YEAR(orderHistory[invoice_date]),$D$15,0)),MATCH(ROW(orderHistory[customer]),ROW(orderHistory[customer])),""),ROWS($A$15:A50)+$B$3))),IF($D$15="",INDEX(orderHistory[status],SMALL(IF(ISNUMBER(MATCH(orderHistory[customer],$D$9,0)*MATCH(orderHistory[order_type],$D$13,0)),MATCH(ROW(orderHistory[customer]),ROW(orderHistory[customer])),""),ROWS($A$15:A50)+$B$3)),INDEX(orderHistory[status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status],SMALL(IF(ISNUMBER(MATCH(orderHistory[customer],$D$9,0)*MATCH(orderHistory[status],$D$11,0)),MATCH(ROW(orderHistory[customer]),ROW(orderHistory[customer])),""),ROWS($A$15:A50)+$B$3)),INDEX(orderHistory[status],SMALL(IF(ISNUMBER(MATCH(orderHistory[customer],$D$9,0)*MATCH(orderHistory[status],$D$11,0)*MATCH(YEAR(orderHistory[status]),$D$15,0)),MATCH(ROW(orderHistory[customer]),ROW(orderHistory[customer])),""),ROWS($A$15:A50)+$B$3))),IF($D$15="",INDEX(orderHistory[status],SMALL(IF(ISNUMBER(MATCH(orderHistory[customer],$D$9,0)*MATCH(orderHistory[status],$D$11,0)*MATCH(orderHistory[order_type],$D$13,0)),MATCH(ROW(orderHistory[customer]),ROW(orderHistory[customer])),""),ROWS($A$15:A50)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W45" s="107"/>
      <c r="BK45" s="450"/>
      <c r="BL45" s="451"/>
      <c r="BM45" s="452"/>
      <c r="BN45" s="451"/>
      <c r="BO45" s="452"/>
      <c r="BZ45" s="158"/>
      <c r="CA45" s="154" t="str">
        <f>IF(BZ45="","",INDEX(bhpc_data[description],MATCH(BZ45,bhpc_data[sku],0)))</f>
        <v/>
      </c>
      <c r="CB45" s="159"/>
      <c r="CC45" s="357"/>
      <c r="CD45" s="160"/>
      <c r="CE45" s="360"/>
      <c r="CF45" s="161"/>
      <c r="CG45" s="164" t="str">
        <f>IFERROR(ROUNDUP(CB45/INDEX(bhpc_data[units_per_carton],MATCH(BZ45,bhpc_data[sku],0)),0),"")</f>
        <v/>
      </c>
      <c r="CH45" s="165" t="str">
        <f>IFERROR(ROUNDUP(CD45/INDEX(bhpc_data[units_per_carton],MATCH(BZ45,bhpc_data[sku],0)),0),"")</f>
        <v/>
      </c>
      <c r="CI45" s="165" t="str">
        <f>IFERROR(ROUNDUP(CF45/INDEX(bhpc_data[units_per_carton],MATCH(BZ45,bhpc_data[sku])),0),"")</f>
        <v/>
      </c>
      <c r="CJ45" s="165" t="str">
        <f>IFERROR(((CB45+CD45+CF45)/INDEX(bhpc_data[units_per_carton],MATCH(BZ45,bhpc_data[sku],0)))*INDEX(bhpc_data[net_weight],MATCH(BZ45,bhpc_data[sku],0)),"")</f>
        <v/>
      </c>
      <c r="CK45" s="165" t="str">
        <f>IFERROR(((CB45+CD45+CF45)/INDEX(bhpc_data[units_per_carton],MATCH(BZ45,bhpc_data[sku],0)))*INDEX(bhpc_data[gross_weight],MATCH(BZ45,bhpc_data[sku],0)),"")</f>
        <v/>
      </c>
      <c r="CL45" s="180" t="str">
        <f>IFERROR((CB45+CD45+CF45)/INDEX(bhpc_data[units_per_carton],MATCH(BZ45,bhpc_data[sku],0))*INDEX(bhpc_data[lenght],MATCH(BZ45,bhpc_data[sku],0))*INDEX(bhpc_data[width],MATCH(BZ45,bhpc_data[sku],0))*INDEX(bhpc_data[height],MATCH(BZ45,bhpc_data[sku],0))/1000000000,"")</f>
        <v/>
      </c>
      <c r="CM45" s="189" t="str">
        <f>IFERROR(INDEX(bhpc_data[category],MATCH(BZ45,bhpc_data[sku],0)),"")</f>
        <v/>
      </c>
      <c r="CN45" s="189" t="str">
        <f>IFERROR(INDEX(bhpc_data[size1],MATCH(BZ45,bhpc_data[sku],0)),"")</f>
        <v/>
      </c>
      <c r="CO45" s="388" t="str">
        <f>IFERROR(INDEX(bhpc_data[hs_code],MATCH(BZ45,bhpc_data[sku],0)),"")</f>
        <v/>
      </c>
      <c r="CP45" s="377" t="str">
        <f>IFERROR(INDEX(inventory[ESISTENZA],MATCH(BZ45,inventory[ARTICOLO],0)),"")</f>
        <v/>
      </c>
      <c r="CQ45" s="364" t="str">
        <f>IFERROR(IF(BZ45="","",IF($BX$15="SALE",INDEX(inventory[COSTO UNITARIO],MATCH(BZ45,inventory[ARTICOLO],0)),IF($BX$15="SAMPLING",INDEX(inventory[COSTO UNITARIO],MATCH(BZ45,inventory[ARTICOLO],0)),""))),"")</f>
        <v/>
      </c>
      <c r="CR45" s="365" t="str">
        <f t="shared" si="3"/>
        <v/>
      </c>
      <c r="CS45" s="264" t="str">
        <f t="shared" si="4"/>
        <v/>
      </c>
      <c r="CU45" s="432"/>
      <c r="CV45" s="432"/>
      <c r="CW45" s="432"/>
      <c r="CX45" s="432"/>
      <c r="CY45" s="432"/>
      <c r="CZ45" s="432"/>
      <c r="DA45" s="432" t="str">
        <f>IFERROR(VLOOKUP(BZ45,bhpc_data[],22,FALSE),"")</f>
        <v/>
      </c>
      <c r="DH45" s="296"/>
      <c r="EE45" s="202" t="str" cm="1">
        <f t="array" ref="EE45">IFERROR(IF($EC$9="",IF($EC$11="",IF($EC$13="",INDEX(bhpc_data[sku],SMALL(MATCH(ROW(bhpc_data[sku]),ROW(bhpc_data[sku])),ROWS($A$15:A50)+$B$3)),INDEX(bhpc_data[sku],SMALL(IF(ISNUMBER(MATCH(bhpc_data[size1],$EC$13,0)),MATCH(ROW(bhpc_data[sku]),ROW(bhpc_data[sku])),""),ROWS($A$15:A50)+$B$3))),IF($EC$13="",INDEX(bhpc_data[sku],SMALL(IF(ISNUMBER(MATCH(bhpc_data[sex],$EC$11,0)),MATCH(ROW(bhpc_data[sku]),ROW(bhpc_data[sku])),""),ROWS($A$15:A50)+$B$3)),INDEX(bhpc_data[sku],SMALL(IF(ISNUMBER(MATCH(bhpc_data[sex],$EC$11,0)*MATCH(bhpc_data[size1],$EC$13,0)),MATCH(ROW(bhpc_data[sku]),ROW(bhpc_data[sku])),""),ROWS($A$15:A50)+$B$3)))),IF($EC$11="",IF($EC$13="",INDEX(bhpc_data[sku],SMALL(IF(ISNUMBER(MATCH(bhpc_data[category],$EC$9,0)),MATCH(ROW(bhpc_data[sku]),ROW(bhpc_data[sku])),""),ROWS($A$15:A50)+$B$3)),INDEX(bhpc_data[sku],SMALL(IF(ISNUMBER(MATCH(bhpc_data[category],$EC$9,0)*MATCH(bhpc_data[size1],$EC$13,0)),MATCH(ROW(bhpc_data[sku]),ROW(bhpc_data[sku])),""),ROWS($A$15:A50)+$B$3))),IF($EC$13="",INDEX(bhpc_data[sku],SMALL(IF(ISNUMBER(MATCH(bhpc_data[category],$EC$9,0)*MATCH(bhpc_data[sex],$EC$11,0)),MATCH(ROW(bhpc_data[sku]),ROW(bhpc_data[sku])),""),ROWS($A$15:A50)+$B$3)),INDEX(bhpc_data[sku],SMALL(IF(ISNUMBER(MATCH(bhpc_data[category],$EC$9,0)*MATCH(bhpc_data[sex],$EC$11,0)*MATCH(bhpc_data[size1],$EC$13,0)),MATCH(ROW(bhpc_data[sku]),ROW(bhpc_data[sku])),""),ROWS($A$15:A50)+$B$3))))),"")</f>
        <v>P05001</v>
      </c>
      <c r="EF45" s="198" t="str" cm="1">
        <f t="array" ref="EF45">IFERROR(IF($EC$9="",IF($EC$11="",IF($EC$13="",INDEX(bhpc_data[description],SMALL(MATCH(ROW(bhpc_data[sku]),ROW(bhpc_data[sku])),ROWS($A$15:A50)+$B$3)),INDEX(bhpc_data[description],SMALL(IF(ISNUMBER(MATCH(bhpc_data[size1],$EC$13,0)),MATCH(ROW(bhpc_data[sku]),ROW(bhpc_data[sku])),""),ROWS($A$15:A50)+$B$3))),IF($EC$13="",INDEX(bhpc_data[description],SMALL(IF(ISNUMBER(MATCH(bhpc_data[sex],$EC$11,0)),MATCH(ROW(bhpc_data[sku]),ROW(bhpc_data[sku])),""),ROWS($A$15:A50)+$B$3)),INDEX(bhpc_data[description],SMALL(IF(ISNUMBER(MATCH(bhpc_data[sex],$EC$11,0)*MATCH(bhpc_data[size1],$EC$13,0)),MATCH(ROW(bhpc_data[sku]),ROW(bhpc_data[sku])),""),ROWS($A$15:A50)+$B$3)))),IF($EC$11="",IF($EC$13="",INDEX(bhpc_data[description],SMALL(IF(ISNUMBER(MATCH(bhpc_data[category],$EC$9,0)),MATCH(ROW(bhpc_data[sku]),ROW(bhpc_data[sku])),""),ROWS($A$15:A50)+$B$3)),INDEX(bhpc_data[description],SMALL(IF(ISNUMBER(MATCH(bhpc_data[category],$EC$9,0)*MATCH(bhpc_data[size1],$EC$13,0)),MATCH(ROW(bhpc_data[sku]),ROW(bhpc_data[sku])),""),ROWS($A$15:A50)+$B$3))),IF($EC$13="",INDEX(bhpc_data[description],SMALL(IF(ISNUMBER(MATCH(bhpc_data[category],$EC$9,0)*MATCH(bhpc_data[sex],$EC$11,0)),MATCH(ROW(bhpc_data[sku]),ROW(bhpc_data[sku])),""),ROWS($A$15:A50)+$B$3)),INDEX(bhpc_data[description],SMALL(IF(ISNUMBER(MATCH(bhpc_data[category],$EC$9,0)*MATCH(bhpc_data[sex],$EC$11,0)*MATCH(bhpc_data[size1],$EC$13,0)),MATCH(ROW(bhpc_data[sku]),ROW(bhpc_data[sku])),""),ROWS($A$15:A50)+$B$3))))),"")</f>
        <v>BHPC SPORT MEN 9 DEO 175ML</v>
      </c>
      <c r="EG45" s="263">
        <f>IFERROR(IF(warehouse[[#This Row],[SKU]]="","",INDEX(inventory[ESISTENZA],MATCH(warehouse[[#This Row],[SKU]],inventory[ARTICOLO],0))),"")</f>
        <v>9823</v>
      </c>
      <c r="EH45" s="328"/>
      <c r="EI45" s="328"/>
      <c r="EJ45" s="263"/>
      <c r="EK45" s="329"/>
      <c r="EO45" s="296" t="str">
        <f t="array" ref="EO45">IFERROR(INDEX(orderHistory[order_no],SMALL(IF(ISNUMBER(MATCH(orderHistory[status],$EO$7,0)),MATCH(ROW(orderHistory[order_no]),ROW(orderHistory[order_no])),""),ROWS($A$15:A50))),"")</f>
        <v/>
      </c>
    </row>
    <row r="46" spans="10:228" ht="15" customHeight="1" x14ac:dyDescent="0.35">
      <c r="L46" s="539" t="str">
        <f t="array" ref="L46">IFERROR(IF($D$9="",IF($D$11="",IF($D$13="",IF($D$15="",INDEX(orderHistory[customer],SMALL(MATCH(ROW(orderHistory[customer]),ROW(orderHistory[customer])),ROWS($A$15:A51)+$B$3)),INDEX(orderHistory[customer],SMALL(IF(ISNUMBER(MATCH(YEAR(orderHistory[invoice_date]),$D$15,0)),MATCH(ROW(orderHistory[customer]),ROW(orderHistory[customer])),""),ROWS($A$15:A51)+$B$3))),IF($D$15="",INDEX(orderHistory[customer],SMALL(IF(ISNUMBER(MATCH(orderHistory[order_type],$D$13,0)),MATCH(ROW(orderHistory[customer]),ROW(orderHistory[customer])),""),ROWS($A$15:A51)+$B$3)),INDEX(orderHistory[customer],SMALL(IF(ISNUMBER(MATCH(orderHistory[order_type],$D$13,0)*MATCH(YEAR(orderHistory[invoice_date]),$D$15,0)),MATCH(ROW(orderHistory[customer]),ROW(orderHistory[customer])),""),ROWS($A$15:A51)+$B$3)))),IF($D$13="",IF($D$15="",INDEX(orderHistory[customer],SMALL(IF(ISNUMBER(MATCH(orderHistory[status],$D$11,0)),MATCH(ROW(orderHistory[customer]),ROW(orderHistory[customer])),""),ROWS($A$15:A51)+$B$3)),INDEX(orderHistory[customer],SMALL(IF(ISNUMBER(MATCH(orderHistory[status],$D$11,0)*MATCH(YEAR(orderHistory[invoice_date]),$D$15,0)),MATCH(ROW(orderHistory[customer]),ROW(orderHistory[customer])),""),ROWS($A$15:A51)+$B$3))),IF($D$15="",INDEX(orderHistory[customer],SMALL(IF(ISNUMBER(MATCH(orderHistory[status],$D$11,0)*MATCH(orderHistory[order_type],$D$13,0)),MATCH(ROW(orderHistory[customer]),ROW(orderHistory[customer])),""),ROWS($A$15:A51)+$B$3)),INDEX(orderHistory[customer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customer],SMALL(IF(ISNUMBER(MATCH(orderHistory[customer],$D$9,0)),MATCH(ROW(orderHistory[customer]),ROW(orderHistory[customer])),""),ROWS($A$15:A51)+$B$3)),INDEX(orderHistory[customer],SMALL(IF(ISNUMBER(MATCH(orderHistory[customer],$D$9,0)*MATCH(YEAR(orderHistory[invoice_date]),$D$15,0)),MATCH(ROW(orderHistory[customer]),ROW(orderHistory[customer])),""),ROWS($A$15:A51)+$B$3))),IF($D$15="",INDEX(orderHistory[customer],SMALL(IF(ISNUMBER(MATCH(orderHistory[customer],$D$9,0)*MATCH(orderHistory[order_type],$D$13,0)),MATCH(ROW(orderHistory[customer]),ROW(orderHistory[customer])),""),ROWS($A$15:A51)+$B$3)),INDEX(orderHistory[customer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customer],SMALL(IF(ISNUMBER(MATCH(orderHistory[customer],$D$9,0)*MATCH(orderHistory[status],$D$11,0)),MATCH(ROW(orderHistory[customer]),ROW(orderHistory[customer])),""),ROWS($A$15:A51)+$B$3)),INDEX(orderHistory[customer],SMALL(IF(ISNUMBER(MATCH(orderHistory[customer],$D$9,0)*MATCH(orderHistory[status],$D$11,0)*MATCH(YEAR(orderHistory[invoice_date]),$D$15,0)),MATCH(ROW(orderHistory[customer]),ROW(orderHistory[customer])),""),ROWS($A$15:A51)+$B$3))),IF($D$15="",INDEX(orderHistory[customer],SMALL(IF(ISNUMBER(MATCH(orderHistory[customer],$D$9,0)*MATCH(orderHistory[status],$D$11,0)*MATCH(orderHistory[order_type],$D$13,0)),MATCH(ROW(orderHistory[customer]),ROW(orderHistory[customer])),""),ROWS($A$15:A51)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M46" s="540" t="str">
        <f t="array" ref="M46">IFERROR(IF($D$9="",IF($D$11="",IF($D$13="",IF($D$15="",INDEX(orderHistory[order_no],SMALL(MATCH(ROW(orderHistory[customer]),ROW(orderHistory[customer])),ROWS($A$15:A51)+$B$3)),INDEX(orderHistory[order_no],SMALL(IF(ISNUMBER(MATCH(YEAR(orderHistory[invoice_date]),$D$15,0)),MATCH(ROW(orderHistory[customer]),ROW(orderHistory[customer])),""),ROWS($A$15:A51)+$B$3))),IF($D$15="",INDEX(orderHistory[order_no],SMALL(IF(ISNUMBER(MATCH(orderHistory[order_type],$D$13,0)),MATCH(ROW(orderHistory[customer]),ROW(orderHistory[customer])),""),ROWS($A$15:A51)+$B$3)),INDEX(orderHistory[order_no],SMALL(IF(ISNUMBER(MATCH(orderHistory[order_type],$D$13,0)*MATCH(YEAR(orderHistory[invoice_date]),$D$15,0)),MATCH(ROW(orderHistory[customer]),ROW(orderHistory[customer])),""),ROWS($A$15:A51)+$B$3)))),IF($D$13="",IF($D$15="",INDEX(orderHistory[order_no],SMALL(IF(ISNUMBER(MATCH(orderHistory[status],$D$11,0)),MATCH(ROW(orderHistory[customer]),ROW(orderHistory[customer])),""),ROWS($A$15:A51)+$B$3)),INDEX(orderHistory[order_no],SMALL(IF(ISNUMBER(MATCH(orderHistory[status],$D$11,0)*MATCH(YEAR(orderHistory[invoice_date]),$D$15,0)),MATCH(ROW(orderHistory[customer]),ROW(orderHistory[customer])),""),ROWS($A$15:A51)+$B$3))),IF($D$15="",INDEX(orderHistory[order_no],SMALL(IF(ISNUMBER(MATCH(orderHistory[status],$D$11,0)*MATCH(orderHistory[order_type],$D$13,0)),MATCH(ROW(orderHistory[customer]),ROW(orderHistory[customer])),""),ROWS($A$15:A51)+$B$3)),INDEX(orderHistory[order_no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no],SMALL(IF(ISNUMBER(MATCH(orderHistory[customer],$D$9,0)),MATCH(ROW(orderHistory[customer]),ROW(orderHistory[customer])),""),ROWS($A$15:A51)+$B$3)),INDEX(orderHistory[order_no],SMALL(IF(ISNUMBER(MATCH(orderHistory[customer],$D$9,0)*MATCH(YEAR(orderHistory[invoice_date]),$D$15,0)),MATCH(ROW(orderHistory[customer]),ROW(orderHistory[customer])),""),ROWS($A$15:A51)+$B$3))),IF($D$15="",INDEX(orderHistory[order_no],SMALL(IF(ISNUMBER(MATCH(orderHistory[customer],$D$9,0)*MATCH(orderHistory[order_type],$D$13,0)),MATCH(ROW(orderHistory[customer]),ROW(orderHistory[customer])),""),ROWS($A$15:A51)+$B$3)),INDEX(orderHistory[order_no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no],SMALL(IF(ISNUMBER(MATCH(orderHistory[customer],$D$9,0)*MATCH(orderHistory[status],$D$11,0)),MATCH(ROW(orderHistory[customer]),ROW(orderHistory[customer])),""),ROWS($A$15:A51)+$B$3)),INDEX(orderHistory[order_no],SMALL(IF(ISNUMBER(MATCH(orderHistory[customer],$D$9,0)*MATCH(orderHistory[status],$D$11,0)*MATCH(YEAR(orderHistory[invoice_date]),$D$15,0)),MATCH(ROW(orderHistory[customer]),ROW(orderHistory[customer])),""),ROWS($A$15:A51)+$B$3))),IF($D$15="",INDEX(orderHistory[order_no],SMALL(IF(ISNUMBER(MATCH(orderHistory[customer],$D$9,0)*MATCH(orderHistory[status],$D$11,0)*MATCH(orderHistory[order_type],$D$13,0)),MATCH(ROW(orderHistory[customer]),ROW(orderHistory[customer])),""),ROWS($A$15:A51)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N46" s="541" t="str">
        <f t="array" ref="N46">IFERROR(IF($D$9="",IF($D$11="",IF($D$13="",IF($D$15="",INDEX(orderHistory[order_type],SMALL(MATCH(ROW(orderHistory[customer]),ROW(orderHistory[customer])),ROWS($A$15:A51)+$B$3)),INDEX(orderHistory[order_type],SMALL(IF(ISNUMBER(MATCH(YEAR(orderHistory[invoice_date]),$D$15,0)),MATCH(ROW(orderHistory[customer]),ROW(orderHistory[customer])),""),ROWS($A$15:A51)+$B$3))),IF($D$15="",INDEX(orderHistory[order_type],SMALL(IF(ISNUMBER(MATCH(orderHistory[order_type],$D$13,0)),MATCH(ROW(orderHistory[customer]),ROW(orderHistory[customer])),""),ROWS($A$15:A51)+$B$3)),INDEX(orderHistory[order_type],SMALL(IF(ISNUMBER(MATCH(orderHistory[order_type],$D$13,0)*MATCH(YEAR(orderHistory[invoice_date]),$D$15,0)),MATCH(ROW(orderHistory[customer]),ROW(orderHistory[customer])),""),ROWS($A$15:A51)+$B$3)))),IF($D$13="",IF($D$15="",INDEX(orderHistory[order_type],SMALL(IF(ISNUMBER(MATCH(orderHistory[status],$D$11,0)),MATCH(ROW(orderHistory[customer]),ROW(orderHistory[customer])),""),ROWS($A$15:A51)+$B$3)),INDEX(orderHistory[order_type],SMALL(IF(ISNUMBER(MATCH(orderHistory[status],$D$11,0)*MATCH(YEAR(orderHistory[invoice_date]),$D$15,0)),MATCH(ROW(orderHistory[customer]),ROW(orderHistory[customer])),""),ROWS($A$15:A51)+$B$3))),IF($D$15="",INDEX(orderHistory[order_type],SMALL(IF(ISNUMBER(MATCH(orderHistory[status],$D$11,0)*MATCH(orderHistory[order_type],$D$13,0)),MATCH(ROW(orderHistory[customer]),ROW(orderHistory[customer])),""),ROWS($A$15:A51)+$B$3)),INDEX(orderHistory[order_typ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type],SMALL(IF(ISNUMBER(MATCH(orderHistory[customer],$D$9,0)),MATCH(ROW(orderHistory[customer]),ROW(orderHistory[customer])),""),ROWS($A$15:A51)+$B$3)),INDEX(orderHistory[order_type],SMALL(IF(ISNUMBER(MATCH(orderHistory[customer],$D$9,0)*MATCH(YEAR(orderHistory[invoice_date]),$D$15,0)),MATCH(ROW(orderHistory[customer]),ROW(orderHistory[customer])),""),ROWS($A$15:A51)+$B$3))),IF($D$15="",INDEX(orderHistory[order_type],SMALL(IF(ISNUMBER(MATCH(orderHistory[customer],$D$9,0)*MATCH(orderHistory[order_type],$D$13,0)),MATCH(ROW(orderHistory[customer]),ROW(orderHistory[customer])),""),ROWS($A$15:A51)+$B$3)),INDEX(orderHistory[order_typ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type],SMALL(IF(ISNUMBER(MATCH(orderHistory[customer],$D$9,0)*MATCH(orderHistory[status],$D$11,0)),MATCH(ROW(orderHistory[customer]),ROW(orderHistory[customer])),""),ROWS($A$15:A51)+$B$3)),INDEX(orderHistory[order_type],SMALL(IF(ISNUMBER(MATCH(orderHistory[customer],$D$9,0)*MATCH(orderHistory[status],$D$11,0)*MATCH(YEAR(orderHistory[invoice_date]),$D$15,0)),MATCH(ROW(orderHistory[customer]),ROW(orderHistory[customer])),""),ROWS($A$15:A51)+$B$3))),IF($D$15="",INDEX(orderHistory[order_type],SMALL(IF(ISNUMBER(MATCH(orderHistory[customer],$D$9,0)*MATCH(orderHistory[status],$D$11,0)*MATCH(orderHistory[order_type],$D$13,0)),MATCH(ROW(orderHistory[customer]),ROW(orderHistory[customer])),""),ROWS($A$15:A51)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O46" s="542" t="str">
        <f t="array" ref="O46">IFERROR(IF($D$9="",IF($D$11="",IF($D$13="",IF($D$15="",INDEX(orderHistory[order_date],SMALL(MATCH(ROW(orderHistory[customer]),ROW(orderHistory[customer])),ROWS($A$15:A51)+$B$3)),INDEX(orderHistory[order_date],SMALL(IF(ISNUMBER(MATCH(YEAR(orderHistory[invoice_date]),$D$15,0)),MATCH(ROW(orderHistory[customer]),ROW(orderHistory[customer])),""),ROWS($A$15:A51)+$B$3))),IF($D$15="",INDEX(orderHistory[order_date],SMALL(IF(ISNUMBER(MATCH(orderHistory[order_type],$D$13,0)),MATCH(ROW(orderHistory[customer]),ROW(orderHistory[customer])),""),ROWS($A$15:A51)+$B$3)),INDEX(orderHistory[order_date],SMALL(IF(ISNUMBER(MATCH(orderHistory[order_type],$D$13,0)*MATCH(YEAR(orderHistory[invoice_date]),$D$15,0)),MATCH(ROW(orderHistory[customer]),ROW(orderHistory[customer])),""),ROWS($A$15:A51)+$B$3)))),IF($D$13="",IF($D$15="",INDEX(orderHistory[order_date],SMALL(IF(ISNUMBER(MATCH(orderHistory[status],$D$11,0)),MATCH(ROW(orderHistory[customer]),ROW(orderHistory[customer])),""),ROWS($A$15:A51)+$B$3)),INDEX(orderHistory[order_date],SMALL(IF(ISNUMBER(MATCH(orderHistory[status],$D$11,0)*MATCH(YEAR(orderHistory[invoice_date]),$D$15,0)),MATCH(ROW(orderHistory[customer]),ROW(orderHistory[customer])),""),ROWS($A$15:A51)+$B$3))),IF($D$15="",INDEX(orderHistory[order_date],SMALL(IF(ISNUMBER(MATCH(orderHistory[status],$D$11,0)*MATCH(orderHistory[order_type],$D$13,0)),MATCH(ROW(orderHistory[customer]),ROW(orderHistory[customer])),""),ROWS($A$15:A51)+$B$3)),INDEX(orderHistory[order_dat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date],SMALL(IF(ISNUMBER(MATCH(orderHistory[customer],$D$9,0)),MATCH(ROW(orderHistory[customer]),ROW(orderHistory[customer])),""),ROWS($A$15:A51)+$B$3)),INDEX(orderHistory[order_date],SMALL(IF(ISNUMBER(MATCH(orderHistory[customer],$D$9,0)*MATCH(YEAR(orderHistory[invoice_date]),$D$15,0)),MATCH(ROW(orderHistory[customer]),ROW(orderHistory[customer])),""),ROWS($A$15:A51)+$B$3))),IF($D$15="",INDEX(orderHistory[order_date],SMALL(IF(ISNUMBER(MATCH(orderHistory[customer],$D$9,0)*MATCH(orderHistory[order_type],$D$13,0)),MATCH(ROW(orderHistory[customer]),ROW(orderHistory[customer])),""),ROWS($A$15:A51)+$B$3)),INDEX(orderHistory[order_dat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date],SMALL(IF(ISNUMBER(MATCH(orderHistory[customer],$D$9,0)*MATCH(orderHistory[status],$D$11,0)),MATCH(ROW(orderHistory[customer]),ROW(orderHistory[customer])),""),ROWS($A$15:A51)+$B$3)),INDEX(orderHistory[order_date],SMALL(IF(ISNUMBER(MATCH(orderHistory[customer],$D$9,0)*MATCH(orderHistory[status],$D$11,0)*MATCH(YEAR(orderHistory[invoice_date]),$D$15,0)),MATCH(ROW(orderHistory[customer]),ROW(orderHistory[customer])),""),ROWS($A$15:A51)+$B$3))),IF($D$15="",INDEX(orderHistory[order_date],SMALL(IF(ISNUMBER(MATCH(orderHistory[customer],$D$9,0)*MATCH(orderHistory[status],$D$11,0)*MATCH(orderHistory[order_type],$D$13,0)),MATCH(ROW(orderHistory[customer]),ROW(orderHistory[customer])),""),ROWS($A$15:A51)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P46" s="543" t="str">
        <f t="array" ref="P46">IFERROR(IF($D$9="",IF($D$11="",IF($D$13="",IF($D$15="",INDEX(orderHistory[invoice_no],SMALL(MATCH(ROW(orderHistory[customer]),ROW(orderHistory[customer])),ROWS($A$15:A51)+$B$3)),INDEX(orderHistory[invoice_no],SMALL(IF(ISNUMBER(MATCH(YEAR(orderHistory[invoice_date]),$D$15,0)),MATCH(ROW(orderHistory[customer]),ROW(orderHistory[customer])),""),ROWS($A$15:A51)+$B$3))),IF($D$15="",INDEX(orderHistory[invoice_no],SMALL(IF(ISNUMBER(MATCH(orderHistory[order_type],$D$13,0)),MATCH(ROW(orderHistory[customer]),ROW(orderHistory[customer])),""),ROWS($A$15:A51)+$B$3)),INDEX(orderHistory[invoice_no],SMALL(IF(ISNUMBER(MATCH(orderHistory[order_type],$D$13,0)*MATCH(YEAR(orderHistory[invoice_date]),$D$15,0)),MATCH(ROW(orderHistory[customer]),ROW(orderHistory[customer])),""),ROWS($A$15:A51)+$B$3)))),IF($D$13="",IF($D$15="",INDEX(orderHistory[invoice_no],SMALL(IF(ISNUMBER(MATCH(orderHistory[status],$D$11,0)),MATCH(ROW(orderHistory[customer]),ROW(orderHistory[customer])),""),ROWS($A$15:A51)+$B$3)),INDEX(orderHistory[invoice_no],SMALL(IF(ISNUMBER(MATCH(orderHistory[status],$D$11,0)*MATCH(YEAR(orderHistory[invoice_date]),$D$15,0)),MATCH(ROW(orderHistory[customer]),ROW(orderHistory[customer])),""),ROWS($A$15:A51)+$B$3))),IF($D$15="",INDEX(orderHistory[invoice_no],SMALL(IF(ISNUMBER(MATCH(orderHistory[status],$D$11,0)*MATCH(orderHistory[order_type],$D$13,0)),MATCH(ROW(orderHistory[customer]),ROW(orderHistory[customer])),""),ROWS($A$15:A51)+$B$3)),INDEX(orderHistory[invoice_no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oice_no],SMALL(IF(ISNUMBER(MATCH(orderHistory[customer],$D$9,0)),MATCH(ROW(orderHistory[customer]),ROW(orderHistory[customer])),""),ROWS($A$15:A51)+$B$3)),INDEX(orderHistory[invoice_no],SMALL(IF(ISNUMBER(MATCH(orderHistory[customer],$D$9,0)*MATCH(YEAR(orderHistory[invoice_date]),$D$15,0)),MATCH(ROW(orderHistory[customer]),ROW(orderHistory[customer])),""),ROWS($A$15:A51)+$B$3))),IF($D$15="",INDEX(orderHistory[invoice_no],SMALL(IF(ISNUMBER(MATCH(orderHistory[customer],$D$9,0)*MATCH(orderHistory[order_type],$D$13,0)),MATCH(ROW(orderHistory[customer]),ROW(orderHistory[customer])),""),ROWS($A$15:A51)+$B$3)),INDEX(orderHistory[invoice_no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oice_no],SMALL(IF(ISNUMBER(MATCH(orderHistory[customer],$D$9,0)*MATCH(orderHistory[status],$D$11,0)),MATCH(ROW(orderHistory[customer]),ROW(orderHistory[customer])),""),ROWS($A$15:A51)+$B$3)),INDEX(orderHistory[invoice_no],SMALL(IF(ISNUMBER(MATCH(orderHistory[customer],$D$9,0)*MATCH(orderHistory[status],$D$11,0)*MATCH(YEAR(orderHistory[invoice_date]),$D$15,0)),MATCH(ROW(orderHistory[customer]),ROW(orderHistory[customer])),""),ROWS($A$15:A51)+$B$3))),IF($D$15="",INDEX(orderHistory[invoice_no],SMALL(IF(ISNUMBER(MATCH(orderHistory[customer],$D$9,0)*MATCH(orderHistory[status],$D$11,0)*MATCH(orderHistory[order_type],$D$13,0)),MATCH(ROW(orderHistory[customer]),ROW(orderHistory[customer])),""),ROWS($A$15:A51)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Q46" s="544" t="str">
        <f t="array" ref="Q46">IFERROR(IF($D$9="",IF($D$11="",IF($D$13="",IF($D$15="",INDEX(orderHistory[invoice_date],SMALL(MATCH(ROW(orderHistory[customer]),ROW(orderHistory[customer])),ROWS($A$15:A51)+$B$3)),INDEX(orderHistory[invoice_date],SMALL(IF(ISNUMBER(MATCH(YEAR(orderHistory[invoice_date]),$D$15,0)),MATCH(ROW(orderHistory[customer]),ROW(orderHistory[customer])),""),ROWS($A$15:A51)+$B$3))),IF($D$15="",INDEX(orderHistory[invoice_date],SMALL(IF(ISNUMBER(MATCH(orderHistory[order_type],$D$13,0)),MATCH(ROW(orderHistory[customer]),ROW(orderHistory[customer])),""),ROWS($A$15:A51)+$B$3)),INDEX(orderHistory[invoice_date],SMALL(IF(ISNUMBER(MATCH(orderHistory[order_type],$D$13,0)*MATCH(YEAR(orderHistory[invoice_date]),$D$15,0)),MATCH(ROW(orderHistory[customer]),ROW(orderHistory[customer])),""),ROWS($A$15:A51)+$B$3)))),IF($D$13="",IF($D$15="",INDEX(orderHistory[invoice_date],SMALL(IF(ISNUMBER(MATCH(orderHistory[status],$D$11,0)),MATCH(ROW(orderHistory[customer]),ROW(orderHistory[customer])),""),ROWS($A$15:A51)+$B$3)),INDEX(orderHistory[invoice_date],SMALL(IF(ISNUMBER(MATCH(orderHistory[status],$D$11,0)*MATCH(YEAR(orderHistory[invoice_date]),$D$15,0)),MATCH(ROW(orderHistory[customer]),ROW(orderHistory[customer])),""),ROWS($A$15:A51)+$B$3))),IF($D$15="",INDEX(orderHistory[invoice_date],SMALL(IF(ISNUMBER(MATCH(orderHistory[status],$D$11,0)*MATCH(orderHistory[order_type],$D$13,0)),MATCH(ROW(orderHistory[customer]),ROW(orderHistory[customer])),""),ROWS($A$15:A51)+$B$3)),INDEX(orderHistory[invoice_dat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oice_date],SMALL(IF(ISNUMBER(MATCH(orderHistory[customer],$D$9,0)),MATCH(ROW(orderHistory[customer]),ROW(orderHistory[customer])),""),ROWS($A$15:A51)+$B$3)),INDEX(orderHistory[invoice_date],SMALL(IF(ISNUMBER(MATCH(orderHistory[customer],$D$9,0)*MATCH(YEAR(orderHistory[invoice_date]),$D$15,0)),MATCH(ROW(orderHistory[customer]),ROW(orderHistory[customer])),""),ROWS($A$15:A51)+$B$3))),IF($D$15="",INDEX(orderHistory[invoice_date],SMALL(IF(ISNUMBER(MATCH(orderHistory[customer],$D$9,0)*MATCH(orderHistory[order_type],$D$13,0)),MATCH(ROW(orderHistory[customer]),ROW(orderHistory[customer])),""),ROWS($A$15:A51)+$B$3)),INDEX(orderHistory[invoice_dat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oice_date],SMALL(IF(ISNUMBER(MATCH(orderHistory[customer],$D$9,0)*MATCH(orderHistory[status],$D$11,0)),MATCH(ROW(orderHistory[customer]),ROW(orderHistory[customer])),""),ROWS($A$15:A51)+$B$3)),INDEX(orderHistory[invoice_date],SMALL(IF(ISNUMBER(MATCH(orderHistory[customer],$D$9,0)*MATCH(orderHistory[status],$D$11,0)*MATCH(YEAR(orderHistory[invoice_date]),$D$15,0)),MATCH(ROW(orderHistory[customer]),ROW(orderHistory[customer])),""),ROWS($A$15:A51)+$B$3))),IF($D$15="",INDEX(orderHistory[invoice_date],SMALL(IF(ISNUMBER(MATCH(orderHistory[customer],$D$9,0)*MATCH(orderHistory[status],$D$11,0)*MATCH(orderHistory[order_type],$D$13,0)),MATCH(ROW(orderHistory[customer]),ROW(orderHistory[customer])),""),ROWS($A$15:A51)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R46" s="545" t="str">
        <f t="array" ref="R46">IFERROR(IF($D$9="",IF($D$11="",IF($D$13="",IF($D$15="",INDEX(orderHistory[inv_amount],SMALL(MATCH(ROW(orderHistory[customer]),ROW(orderHistory[customer])),ROWS($A$15:A51)+$B$3)),INDEX(orderHistory[inv_amount],SMALL(IF(ISNUMBER(MATCH(YEAR(orderHistory[invoice_date]),$D$15,0)),MATCH(ROW(orderHistory[customer]),ROW(orderHistory[customer])),""),ROWS($A$15:A51)+$B$3))),IF($D$15="",INDEX(orderHistory[inv_amount],SMALL(IF(ISNUMBER(MATCH(orderHistory[order_type],$D$13,0)),MATCH(ROW(orderHistory[customer]),ROW(orderHistory[customer])),""),ROWS($A$15:A51)+$B$3)),INDEX(orderHistory[inv_amount],SMALL(IF(ISNUMBER(MATCH(orderHistory[order_type],$D$13,0)*MATCH(YEAR(orderHistory[invoice_date]),$D$15,0)),MATCH(ROW(orderHistory[customer]),ROW(orderHistory[customer])),""),ROWS($A$15:A51)+$B$3)))),IF($D$13="",IF($D$15="",INDEX(orderHistory[inv_amount],SMALL(IF(ISNUMBER(MATCH(orderHistory[status],$D$11,0)),MATCH(ROW(orderHistory[customer]),ROW(orderHistory[customer])),""),ROWS($A$15:A51)+$B$3)),INDEX(orderHistory[inv_amount],SMALL(IF(ISNUMBER(MATCH(orderHistory[status],$D$11,0)*MATCH(YEAR(orderHistory[invoice_date]),$D$15,0)),MATCH(ROW(orderHistory[customer]),ROW(orderHistory[customer])),""),ROWS($A$15:A51)+$B$3))),IF($D$15="",INDEX(orderHistory[inv_amount],SMALL(IF(ISNUMBER(MATCH(orderHistory[status],$D$11,0)*MATCH(orderHistory[order_type],$D$13,0)),MATCH(ROW(orderHistory[customer]),ROW(orderHistory[customer])),""),ROWS($A$15:A51)+$B$3)),INDEX(orderHistory[inv_amount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_amount],SMALL(IF(ISNUMBER(MATCH(orderHistory[customer],$D$9,0)),MATCH(ROW(orderHistory[customer]),ROW(orderHistory[customer])),""),ROWS($A$15:A51)+$B$3)),INDEX(orderHistory[inv_amount],SMALL(IF(ISNUMBER(MATCH(orderHistory[customer],$D$9,0)*MATCH(YEAR(orderHistory[invoice_date]),$D$15,0)),MATCH(ROW(orderHistory[customer]),ROW(orderHistory[customer])),""),ROWS($A$15:A51)+$B$3))),IF($D$15="",INDEX(orderHistory[inv_amount],SMALL(IF(ISNUMBER(MATCH(orderHistory[customer],$D$9,0)*MATCH(orderHistory[order_type],$D$13,0)),MATCH(ROW(orderHistory[customer]),ROW(orderHistory[customer])),""),ROWS($A$15:A51)+$B$3)),INDEX(orderHistory[inv_amount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_amount],SMALL(IF(ISNUMBER(MATCH(orderHistory[customer],$D$9,0)*MATCH(orderHistory[status],$D$11,0)),MATCH(ROW(orderHistory[customer]),ROW(orderHistory[customer])),""),ROWS($A$15:A51)+$B$3)),INDEX(orderHistory[inv_amount],SMALL(IF(ISNUMBER(MATCH(orderHistory[customer],$D$9,0)*MATCH(orderHistory[status],$D$11,0)*MATCH(YEAR(orderHistory[inv_amount]),$D$15,0)),MATCH(ROW(orderHistory[customer]),ROW(orderHistory[customer])),""),ROWS($A$15:A51)+$B$3))),IF($D$15="",INDEX(orderHistory[inv_amount],SMALL(IF(ISNUMBER(MATCH(orderHistory[customer],$D$9,0)*MATCH(orderHistory[status],$D$11,0)*MATCH(orderHistory[order_type],$D$13,0)),MATCH(ROW(orderHistory[customer]),ROW(orderHistory[customer])),""),ROWS($A$15:A51)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S46" s="546" t="str">
        <f t="shared" si="2"/>
        <v/>
      </c>
      <c r="T46" s="547" t="str">
        <f t="array" ref="T46">IFERROR(IF($D$9="",IF($D$11="",IF($D$13="",IF($D$15="",INDEX(orderHistory[payed],SMALL(MATCH(ROW(orderHistory[customer]),ROW(orderHistory[customer])),ROWS($A$15:A51)+$B$3)),INDEX(orderHistory[payed],SMALL(IF(ISNUMBER(MATCH(YEAR(orderHistory[invoice_date]),$D$15,0)),MATCH(ROW(orderHistory[customer]),ROW(orderHistory[customer])),""),ROWS($A$15:A51)+$B$3))),IF($D$15="",INDEX(orderHistory[payed],SMALL(IF(ISNUMBER(MATCH(orderHistory[order_type],$D$13,0)),MATCH(ROW(orderHistory[customer]),ROW(orderHistory[customer])),""),ROWS($A$15:A51)+$B$3)),INDEX(orderHistory[payed],SMALL(IF(ISNUMBER(MATCH(orderHistory[order_type],$D$13,0)*MATCH(YEAR(orderHistory[invoice_date]),$D$15,0)),MATCH(ROW(orderHistory[customer]),ROW(orderHistory[customer])),""),ROWS($A$15:A51)+$B$3)))),IF($D$13="",IF($D$15="",INDEX(orderHistory[payed],SMALL(IF(ISNUMBER(MATCH(orderHistory[status],$D$11,0)),MATCH(ROW(orderHistory[customer]),ROW(orderHistory[customer])),""),ROWS($A$15:A51)+$B$3)),INDEX(orderHistory[payed],SMALL(IF(ISNUMBER(MATCH(orderHistory[status],$D$11,0)*MATCH(YEAR(orderHistory[invoice_date]),$D$15,0)),MATCH(ROW(orderHistory[customer]),ROW(orderHistory[customer])),""),ROWS($A$15:A51)+$B$3))),IF($D$15="",INDEX(orderHistory[payed],SMALL(IF(ISNUMBER(MATCH(orderHistory[status],$D$11,0)*MATCH(orderHistory[order_type],$D$13,0)),MATCH(ROW(orderHistory[customer]),ROW(orderHistory[customer])),""),ROWS($A$15:A51)+$B$3)),INDEX(orderHistory[payed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payed],SMALL(IF(ISNUMBER(MATCH(orderHistory[customer],$D$9,0)),MATCH(ROW(orderHistory[customer]),ROW(orderHistory[customer])),""),ROWS($A$15:A51)+$B$3)),INDEX(orderHistory[payed],SMALL(IF(ISNUMBER(MATCH(orderHistory[customer],$D$9,0)*MATCH(YEAR(orderHistory[invoice_date]),$D$15,0)),MATCH(ROW(orderHistory[customer]),ROW(orderHistory[customer])),""),ROWS($A$15:A51)+$B$3))),IF($D$15="",INDEX(orderHistory[payed],SMALL(IF(ISNUMBER(MATCH(orderHistory[customer],$D$9,0)*MATCH(orderHistory[order_type],$D$13,0)),MATCH(ROW(orderHistory[customer]),ROW(orderHistory[customer])),""),ROWS($A$15:A51)+$B$3)),INDEX(orderHistory[payed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payed],SMALL(IF(ISNUMBER(MATCH(orderHistory[customer],$D$9,0)*MATCH(orderHistory[status],$D$11,0)),MATCH(ROW(orderHistory[customer]),ROW(orderHistory[customer])),""),ROWS($A$15:A51)+$B$3)),INDEX(orderHistory[payed],SMALL(IF(ISNUMBER(MATCH(orderHistory[customer],$D$9,0)*MATCH(orderHistory[status],$D$11,0)*MATCH(YEAR(orderHistory[payed]),$D$15,0)),MATCH(ROW(orderHistory[customer]),ROW(orderHistory[customer])),""),ROWS($A$15:A51)+$B$3))),IF($D$15="",INDEX(orderHistory[payed],SMALL(IF(ISNUMBER(MATCH(orderHistory[customer],$D$9,0)*MATCH(orderHistory[status],$D$11,0)*MATCH(orderHistory[order_type],$D$13,0)),MATCH(ROW(orderHistory[customer]),ROW(orderHistory[customer])),""),ROWS($A$15:A51)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U46" s="541" t="str">
        <f t="array" ref="U46">IFERROR(IF($D$9="",IF($D$11="",IF($D$13="",IF($D$15="",INDEX(orderHistory[shipping_method],SMALL(MATCH(ROW(orderHistory[customer]),ROW(orderHistory[customer])),ROWS($A$15:A51)+$B$3)),INDEX(orderHistory[shipping_method],SMALL(IF(ISNUMBER(MATCH(YEAR(orderHistory[invoice_date]),$D$15,0)),MATCH(ROW(orderHistory[customer]),ROW(orderHistory[customer])),""),ROWS($A$15:A51)+$B$3))),IF($D$15="",INDEX(orderHistory[shipping_method],SMALL(IF(ISNUMBER(MATCH(orderHistory[order_type],$D$13,0)),MATCH(ROW(orderHistory[customer]),ROW(orderHistory[customer])),""),ROWS($A$15:A51)+$B$3)),INDEX(orderHistory[shipping_method],SMALL(IF(ISNUMBER(MATCH(orderHistory[order_type],$D$13,0)*MATCH(YEAR(orderHistory[invoice_date]),$D$15,0)),MATCH(ROW(orderHistory[customer]),ROW(orderHistory[customer])),""),ROWS($A$15:A51)+$B$3)))),IF($D$13="",IF($D$15="",INDEX(orderHistory[shipping_method],SMALL(IF(ISNUMBER(MATCH(orderHistory[status],$D$11,0)),MATCH(ROW(orderHistory[customer]),ROW(orderHistory[customer])),""),ROWS($A$15:A51)+$B$3)),INDEX(orderHistory[shipping_method],SMALL(IF(ISNUMBER(MATCH(orderHistory[status],$D$11,0)*MATCH(YEAR(orderHistory[invoice_date]),$D$15,0)),MATCH(ROW(orderHistory[customer]),ROW(orderHistory[customer])),""),ROWS($A$15:A51)+$B$3))),IF($D$15="",INDEX(orderHistory[shipping_method],SMALL(IF(ISNUMBER(MATCH(orderHistory[status],$D$11,0)*MATCH(orderHistory[order_type],$D$13,0)),MATCH(ROW(orderHistory[customer]),ROW(orderHistory[customer])),""),ROWS($A$15:A51)+$B$3)),INDEX(orderHistory[shipping_method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shipping_method],SMALL(IF(ISNUMBER(MATCH(orderHistory[customer],$D$9,0)),MATCH(ROW(orderHistory[customer]),ROW(orderHistory[customer])),""),ROWS($A$15:A51)+$B$3)),INDEX(orderHistory[shipping_method],SMALL(IF(ISNUMBER(MATCH(orderHistory[customer],$D$9,0)*MATCH(YEAR(orderHistory[invoice_date]),$D$15,0)),MATCH(ROW(orderHistory[customer]),ROW(orderHistory[customer])),""),ROWS($A$15:A51)+$B$3))),IF($D$15="",INDEX(orderHistory[shipping_method],SMALL(IF(ISNUMBER(MATCH(orderHistory[customer],$D$9,0)*MATCH(orderHistory[order_type],$D$13,0)),MATCH(ROW(orderHistory[customer]),ROW(orderHistory[customer])),""),ROWS($A$15:A51)+$B$3)),INDEX(orderHistory[shipping_method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shipping_method],SMALL(IF(ISNUMBER(MATCH(orderHistory[customer],$D$9,0)*MATCH(orderHistory[status],$D$11,0)),MATCH(ROW(orderHistory[customer]),ROW(orderHistory[customer])),""),ROWS($A$15:A51)+$B$3)),INDEX(orderHistory[shipping_method],SMALL(IF(ISNUMBER(MATCH(orderHistory[customer],$D$9,0)*MATCH(orderHistory[status],$D$11,0)*MATCH(YEAR(orderHistory[shipping_method]),$D$15,0)),MATCH(ROW(orderHistory[customer]),ROW(orderHistory[customer])),""),ROWS($A$15:A51)+$B$3))),IF($D$15="",INDEX(orderHistory[shipping_method],SMALL(IF(ISNUMBER(MATCH(orderHistory[customer],$D$9,0)*MATCH(orderHistory[status],$D$11,0)*MATCH(orderHistory[order_type],$D$13,0)),MATCH(ROW(orderHistory[customer]),ROW(orderHistory[customer])),""),ROWS($A$15:A51)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V46" s="548" t="str">
        <f t="array" ref="V46">IFERROR(IF($D$9="",IF($D$11="",IF($D$13="",IF($D$15="",INDEX(orderHistory[status],SMALL(MATCH(ROW(orderHistory[customer]),ROW(orderHistory[customer])),ROWS($A$15:A51)+$B$3)),INDEX(orderHistory[status],SMALL(IF(ISNUMBER(MATCH(YEAR(orderHistory[invoice_date]),$D$15,0)),MATCH(ROW(orderHistory[customer]),ROW(orderHistory[customer])),""),ROWS($A$15:A51)+$B$3))),IF($D$15="",INDEX(orderHistory[status],SMALL(IF(ISNUMBER(MATCH(orderHistory[order_type],$D$13,0)),MATCH(ROW(orderHistory[customer]),ROW(orderHistory[customer])),""),ROWS($A$15:A51)+$B$3)),INDEX(orderHistory[status],SMALL(IF(ISNUMBER(MATCH(orderHistory[order_type],$D$13,0)*MATCH(YEAR(orderHistory[invoice_date]),$D$15,0)),MATCH(ROW(orderHistory[customer]),ROW(orderHistory[customer])),""),ROWS($A$15:A51)+$B$3)))),IF($D$13="",IF($D$15="",INDEX(orderHistory[status],SMALL(IF(ISNUMBER(MATCH(orderHistory[status],$D$11,0)),MATCH(ROW(orderHistory[customer]),ROW(orderHistory[customer])),""),ROWS($A$15:A51)+$B$3)),INDEX(orderHistory[status],SMALL(IF(ISNUMBER(MATCH(orderHistory[status],$D$11,0)*MATCH(YEAR(orderHistory[invoice_date]),$D$15,0)),MATCH(ROW(orderHistory[customer]),ROW(orderHistory[customer])),""),ROWS($A$15:A51)+$B$3))),IF($D$15="",INDEX(orderHistory[status],SMALL(IF(ISNUMBER(MATCH(orderHistory[status],$D$11,0)*MATCH(orderHistory[order_type],$D$13,0)),MATCH(ROW(orderHistory[customer]),ROW(orderHistory[customer])),""),ROWS($A$15:A51)+$B$3)),INDEX(orderHistory[status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status],SMALL(IF(ISNUMBER(MATCH(orderHistory[customer],$D$9,0)),MATCH(ROW(orderHistory[customer]),ROW(orderHistory[customer])),""),ROWS($A$15:A51)+$B$3)),INDEX(orderHistory[status],SMALL(IF(ISNUMBER(MATCH(orderHistory[customer],$D$9,0)*MATCH(YEAR(orderHistory[invoice_date]),$D$15,0)),MATCH(ROW(orderHistory[customer]),ROW(orderHistory[customer])),""),ROWS($A$15:A51)+$B$3))),IF($D$15="",INDEX(orderHistory[status],SMALL(IF(ISNUMBER(MATCH(orderHistory[customer],$D$9,0)*MATCH(orderHistory[order_type],$D$13,0)),MATCH(ROW(orderHistory[customer]),ROW(orderHistory[customer])),""),ROWS($A$15:A51)+$B$3)),INDEX(orderHistory[status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status],SMALL(IF(ISNUMBER(MATCH(orderHistory[customer],$D$9,0)*MATCH(orderHistory[status],$D$11,0)),MATCH(ROW(orderHistory[customer]),ROW(orderHistory[customer])),""),ROWS($A$15:A51)+$B$3)),INDEX(orderHistory[status],SMALL(IF(ISNUMBER(MATCH(orderHistory[customer],$D$9,0)*MATCH(orderHistory[status],$D$11,0)*MATCH(YEAR(orderHistory[status]),$D$15,0)),MATCH(ROW(orderHistory[customer]),ROW(orderHistory[customer])),""),ROWS($A$15:A51)+$B$3))),IF($D$15="",INDEX(orderHistory[status],SMALL(IF(ISNUMBER(MATCH(orderHistory[customer],$D$9,0)*MATCH(orderHistory[status],$D$11,0)*MATCH(orderHistory[order_type],$D$13,0)),MATCH(ROW(orderHistory[customer]),ROW(orderHistory[customer])),""),ROWS($A$15:A51)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W46" s="107"/>
      <c r="BK46" s="450"/>
      <c r="BL46" s="451"/>
      <c r="BM46" s="452"/>
      <c r="BN46" s="451"/>
      <c r="BO46" s="452"/>
      <c r="BZ46" s="158"/>
      <c r="CA46" s="154" t="str">
        <f>IF(BZ46="","",INDEX(bhpc_data[description],MATCH(BZ46,bhpc_data[sku],0)))</f>
        <v/>
      </c>
      <c r="CB46" s="159"/>
      <c r="CC46" s="357"/>
      <c r="CD46" s="160"/>
      <c r="CE46" s="360"/>
      <c r="CF46" s="161"/>
      <c r="CG46" s="164" t="str">
        <f>IFERROR(ROUNDUP(CB46/INDEX(bhpc_data[units_per_carton],MATCH(BZ46,bhpc_data[sku],0)),0),"")</f>
        <v/>
      </c>
      <c r="CH46" s="165" t="str">
        <f>IFERROR(ROUNDUP(CD46/INDEX(bhpc_data[units_per_carton],MATCH(BZ46,bhpc_data[sku],0)),0),"")</f>
        <v/>
      </c>
      <c r="CI46" s="165" t="str">
        <f>IFERROR(ROUNDUP(CF46/INDEX(bhpc_data[units_per_carton],MATCH(BZ46,bhpc_data[sku])),0),"")</f>
        <v/>
      </c>
      <c r="CJ46" s="165" t="str">
        <f>IFERROR(((CB46+CD46+CF46)/INDEX(bhpc_data[units_per_carton],MATCH(BZ46,bhpc_data[sku],0)))*INDEX(bhpc_data[net_weight],MATCH(BZ46,bhpc_data[sku],0)),"")</f>
        <v/>
      </c>
      <c r="CK46" s="165" t="str">
        <f>IFERROR(((CB46+CD46+CF46)/INDEX(bhpc_data[units_per_carton],MATCH(BZ46,bhpc_data[sku],0)))*INDEX(bhpc_data[gross_weight],MATCH(BZ46,bhpc_data[sku],0)),"")</f>
        <v/>
      </c>
      <c r="CL46" s="180" t="str">
        <f>IFERROR((CB46+CD46+CF46)/INDEX(bhpc_data[units_per_carton],MATCH(BZ46,bhpc_data[sku],0))*INDEX(bhpc_data[lenght],MATCH(BZ46,bhpc_data[sku],0))*INDEX(bhpc_data[width],MATCH(BZ46,bhpc_data[sku],0))*INDEX(bhpc_data[height],MATCH(BZ46,bhpc_data[sku],0))/1000000000,"")</f>
        <v/>
      </c>
      <c r="CM46" s="189" t="str">
        <f>IFERROR(INDEX(bhpc_data[category],MATCH(BZ46,bhpc_data[sku],0)),"")</f>
        <v/>
      </c>
      <c r="CN46" s="189" t="str">
        <f>IFERROR(INDEX(bhpc_data[size1],MATCH(BZ46,bhpc_data[sku],0)),"")</f>
        <v/>
      </c>
      <c r="CO46" s="388" t="str">
        <f>IFERROR(INDEX(bhpc_data[hs_code],MATCH(BZ46,bhpc_data[sku],0)),"")</f>
        <v/>
      </c>
      <c r="CP46" s="377" t="str">
        <f>IFERROR(INDEX(inventory[ESISTENZA],MATCH(BZ46,inventory[ARTICOLO],0)),"")</f>
        <v/>
      </c>
      <c r="CQ46" s="364" t="str">
        <f>IFERROR(IF(BZ46="","",IF($BX$15="SALE",INDEX(inventory[COSTO UNITARIO],MATCH(BZ46,inventory[ARTICOLO],0)),IF($BX$15="SAMPLING",INDEX(inventory[COSTO UNITARIO],MATCH(BZ46,inventory[ARTICOLO],0)),""))),"")</f>
        <v/>
      </c>
      <c r="CR46" s="365" t="str">
        <f t="shared" si="3"/>
        <v/>
      </c>
      <c r="CS46" s="264" t="str">
        <f t="shared" si="4"/>
        <v/>
      </c>
      <c r="CU46" s="432"/>
      <c r="CV46" s="515"/>
      <c r="CW46" s="432"/>
      <c r="CX46" s="432"/>
      <c r="CY46" s="432"/>
      <c r="CZ46" s="432"/>
      <c r="DA46" s="432" t="str">
        <f>IFERROR(VLOOKUP(BZ46,bhpc_data[],22,FALSE),"")</f>
        <v/>
      </c>
      <c r="EE46" s="202" t="str" cm="1">
        <f t="array" ref="EE46">IFERROR(IF($EC$9="",IF($EC$11="",IF($EC$13="",INDEX(bhpc_data[sku],SMALL(MATCH(ROW(bhpc_data[sku]),ROW(bhpc_data[sku])),ROWS($A$15:A51)+$B$3)),INDEX(bhpc_data[sku],SMALL(IF(ISNUMBER(MATCH(bhpc_data[size1],$EC$13,0)),MATCH(ROW(bhpc_data[sku]),ROW(bhpc_data[sku])),""),ROWS($A$15:A51)+$B$3))),IF($EC$13="",INDEX(bhpc_data[sku],SMALL(IF(ISNUMBER(MATCH(bhpc_data[sex],$EC$11,0)),MATCH(ROW(bhpc_data[sku]),ROW(bhpc_data[sku])),""),ROWS($A$15:A51)+$B$3)),INDEX(bhpc_data[sku],SMALL(IF(ISNUMBER(MATCH(bhpc_data[sex],$EC$11,0)*MATCH(bhpc_data[size1],$EC$13,0)),MATCH(ROW(bhpc_data[sku]),ROW(bhpc_data[sku])),""),ROWS($A$15:A51)+$B$3)))),IF($EC$11="",IF($EC$13="",INDEX(bhpc_data[sku],SMALL(IF(ISNUMBER(MATCH(bhpc_data[category],$EC$9,0)),MATCH(ROW(bhpc_data[sku]),ROW(bhpc_data[sku])),""),ROWS($A$15:A51)+$B$3)),INDEX(bhpc_data[sku],SMALL(IF(ISNUMBER(MATCH(bhpc_data[category],$EC$9,0)*MATCH(bhpc_data[size1],$EC$13,0)),MATCH(ROW(bhpc_data[sku]),ROW(bhpc_data[sku])),""),ROWS($A$15:A51)+$B$3))),IF($EC$13="",INDEX(bhpc_data[sku],SMALL(IF(ISNUMBER(MATCH(bhpc_data[category],$EC$9,0)*MATCH(bhpc_data[sex],$EC$11,0)),MATCH(ROW(bhpc_data[sku]),ROW(bhpc_data[sku])),""),ROWS($A$15:A51)+$B$3)),INDEX(bhpc_data[sku],SMALL(IF(ISNUMBER(MATCH(bhpc_data[category],$EC$9,0)*MATCH(bhpc_data[sex],$EC$11,0)*MATCH(bhpc_data[size1],$EC$13,0)),MATCH(ROW(bhpc_data[sku]),ROW(bhpc_data[sku])),""),ROWS($A$15:A51)+$B$3))))),"")</f>
        <v>P05002</v>
      </c>
      <c r="EF46" s="198" t="str" cm="1">
        <f t="array" ref="EF46">IFERROR(IF($EC$9="",IF($EC$11="",IF($EC$13="",INDEX(bhpc_data[description],SMALL(MATCH(ROW(bhpc_data[sku]),ROW(bhpc_data[sku])),ROWS($A$15:A51)+$B$3)),INDEX(bhpc_data[description],SMALL(IF(ISNUMBER(MATCH(bhpc_data[size1],$EC$13,0)),MATCH(ROW(bhpc_data[sku]),ROW(bhpc_data[sku])),""),ROWS($A$15:A51)+$B$3))),IF($EC$13="",INDEX(bhpc_data[description],SMALL(IF(ISNUMBER(MATCH(bhpc_data[sex],$EC$11,0)),MATCH(ROW(bhpc_data[sku]),ROW(bhpc_data[sku])),""),ROWS($A$15:A51)+$B$3)),INDEX(bhpc_data[description],SMALL(IF(ISNUMBER(MATCH(bhpc_data[sex],$EC$11,0)*MATCH(bhpc_data[size1],$EC$13,0)),MATCH(ROW(bhpc_data[sku]),ROW(bhpc_data[sku])),""),ROWS($A$15:A51)+$B$3)))),IF($EC$11="",IF($EC$13="",INDEX(bhpc_data[description],SMALL(IF(ISNUMBER(MATCH(bhpc_data[category],$EC$9,0)),MATCH(ROW(bhpc_data[sku]),ROW(bhpc_data[sku])),""),ROWS($A$15:A51)+$B$3)),INDEX(bhpc_data[description],SMALL(IF(ISNUMBER(MATCH(bhpc_data[category],$EC$9,0)*MATCH(bhpc_data[size1],$EC$13,0)),MATCH(ROW(bhpc_data[sku]),ROW(bhpc_data[sku])),""),ROWS($A$15:A51)+$B$3))),IF($EC$13="",INDEX(bhpc_data[description],SMALL(IF(ISNUMBER(MATCH(bhpc_data[category],$EC$9,0)*MATCH(bhpc_data[sex],$EC$11,0)),MATCH(ROW(bhpc_data[sku]),ROW(bhpc_data[sku])),""),ROWS($A$15:A51)+$B$3)),INDEX(bhpc_data[description],SMALL(IF(ISNUMBER(MATCH(bhpc_data[category],$EC$9,0)*MATCH(bhpc_data[sex],$EC$11,0)*MATCH(bhpc_data[size1],$EC$13,0)),MATCH(ROW(bhpc_data[sku]),ROW(bhpc_data[sku])),""),ROWS($A$15:A51)+$B$3))))),"")</f>
        <v>BHPC SPORT MEN 8 DEO 175ML</v>
      </c>
      <c r="EG46" s="263">
        <f>IFERROR(IF(warehouse[[#This Row],[SKU]]="","",INDEX(inventory[ESISTENZA],MATCH(warehouse[[#This Row],[SKU]],inventory[ARTICOLO],0))),"")</f>
        <v>9828</v>
      </c>
      <c r="EH46" s="328"/>
      <c r="EI46" s="328"/>
      <c r="EJ46" s="263"/>
      <c r="EK46" s="329"/>
      <c r="EO46" s="296" t="str">
        <f t="array" ref="EO46">IFERROR(INDEX(orderHistory[order_no],SMALL(IF(ISNUMBER(MATCH(orderHistory[status],$EO$7,0)),MATCH(ROW(orderHistory[order_no]),ROW(orderHistory[order_no])),""),ROWS($A$15:A51))),"")</f>
        <v/>
      </c>
    </row>
    <row r="47" spans="10:228" ht="15" customHeight="1" x14ac:dyDescent="0.35">
      <c r="J47" s="414"/>
      <c r="K47" s="414"/>
      <c r="L47" s="539" t="str">
        <f t="array" ref="L47">IFERROR(IF($D$9="",IF($D$11="",IF($D$13="",IF($D$15="",INDEX(orderHistory[customer],SMALL(MATCH(ROW(orderHistory[customer]),ROW(orderHistory[customer])),ROWS($A$15:A52)+$B$3)),INDEX(orderHistory[customer],SMALL(IF(ISNUMBER(MATCH(YEAR(orderHistory[invoice_date]),$D$15,0)),MATCH(ROW(orderHistory[customer]),ROW(orderHistory[customer])),""),ROWS($A$15:A52)+$B$3))),IF($D$15="",INDEX(orderHistory[customer],SMALL(IF(ISNUMBER(MATCH(orderHistory[order_type],$D$13,0)),MATCH(ROW(orderHistory[customer]),ROW(orderHistory[customer])),""),ROWS($A$15:A52)+$B$3)),INDEX(orderHistory[customer],SMALL(IF(ISNUMBER(MATCH(orderHistory[order_type],$D$13,0)*MATCH(YEAR(orderHistory[invoice_date]),$D$15,0)),MATCH(ROW(orderHistory[customer]),ROW(orderHistory[customer])),""),ROWS($A$15:A52)+$B$3)))),IF($D$13="",IF($D$15="",INDEX(orderHistory[customer],SMALL(IF(ISNUMBER(MATCH(orderHistory[status],$D$11,0)),MATCH(ROW(orderHistory[customer]),ROW(orderHistory[customer])),""),ROWS($A$15:A52)+$B$3)),INDEX(orderHistory[customer],SMALL(IF(ISNUMBER(MATCH(orderHistory[status],$D$11,0)*MATCH(YEAR(orderHistory[invoice_date]),$D$15,0)),MATCH(ROW(orderHistory[customer]),ROW(orderHistory[customer])),""),ROWS($A$15:A52)+$B$3))),IF($D$15="",INDEX(orderHistory[customer],SMALL(IF(ISNUMBER(MATCH(orderHistory[status],$D$11,0)*MATCH(orderHistory[order_type],$D$13,0)),MATCH(ROW(orderHistory[customer]),ROW(orderHistory[customer])),""),ROWS($A$15:A52)+$B$3)),INDEX(orderHistory[customer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customer],SMALL(IF(ISNUMBER(MATCH(orderHistory[customer],$D$9,0)),MATCH(ROW(orderHistory[customer]),ROW(orderHistory[customer])),""),ROWS($A$15:A52)+$B$3)),INDEX(orderHistory[customer],SMALL(IF(ISNUMBER(MATCH(orderHistory[customer],$D$9,0)*MATCH(YEAR(orderHistory[invoice_date]),$D$15,0)),MATCH(ROW(orderHistory[customer]),ROW(orderHistory[customer])),""),ROWS($A$15:A52)+$B$3))),IF($D$15="",INDEX(orderHistory[customer],SMALL(IF(ISNUMBER(MATCH(orderHistory[customer],$D$9,0)*MATCH(orderHistory[order_type],$D$13,0)),MATCH(ROW(orderHistory[customer]),ROW(orderHistory[customer])),""),ROWS($A$15:A52)+$B$3)),INDEX(orderHistory[customer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customer],SMALL(IF(ISNUMBER(MATCH(orderHistory[customer],$D$9,0)*MATCH(orderHistory[status],$D$11,0)),MATCH(ROW(orderHistory[customer]),ROW(orderHistory[customer])),""),ROWS($A$15:A52)+$B$3)),INDEX(orderHistory[customer],SMALL(IF(ISNUMBER(MATCH(orderHistory[customer],$D$9,0)*MATCH(orderHistory[status],$D$11,0)*MATCH(YEAR(orderHistory[invoice_date]),$D$15,0)),MATCH(ROW(orderHistory[customer]),ROW(orderHistory[customer])),""),ROWS($A$15:A52)+$B$3))),IF($D$15="",INDEX(orderHistory[customer],SMALL(IF(ISNUMBER(MATCH(orderHistory[customer],$D$9,0)*MATCH(orderHistory[status],$D$11,0)*MATCH(orderHistory[order_type],$D$13,0)),MATCH(ROW(orderHistory[customer]),ROW(orderHistory[customer])),""),ROWS($A$15:A52)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M47" s="540" t="str">
        <f t="array" ref="M47">IFERROR(IF($D$9="",IF($D$11="",IF($D$13="",IF($D$15="",INDEX(orderHistory[order_no],SMALL(MATCH(ROW(orderHistory[customer]),ROW(orderHistory[customer])),ROWS($A$15:A52)+$B$3)),INDEX(orderHistory[order_no],SMALL(IF(ISNUMBER(MATCH(YEAR(orderHistory[invoice_date]),$D$15,0)),MATCH(ROW(orderHistory[customer]),ROW(orderHistory[customer])),""),ROWS($A$15:A52)+$B$3))),IF($D$15="",INDEX(orderHistory[order_no],SMALL(IF(ISNUMBER(MATCH(orderHistory[order_type],$D$13,0)),MATCH(ROW(orderHistory[customer]),ROW(orderHistory[customer])),""),ROWS($A$15:A52)+$B$3)),INDEX(orderHistory[order_no],SMALL(IF(ISNUMBER(MATCH(orderHistory[order_type],$D$13,0)*MATCH(YEAR(orderHistory[invoice_date]),$D$15,0)),MATCH(ROW(orderHistory[customer]),ROW(orderHistory[customer])),""),ROWS($A$15:A52)+$B$3)))),IF($D$13="",IF($D$15="",INDEX(orderHistory[order_no],SMALL(IF(ISNUMBER(MATCH(orderHistory[status],$D$11,0)),MATCH(ROW(orderHistory[customer]),ROW(orderHistory[customer])),""),ROWS($A$15:A52)+$B$3)),INDEX(orderHistory[order_no],SMALL(IF(ISNUMBER(MATCH(orderHistory[status],$D$11,0)*MATCH(YEAR(orderHistory[invoice_date]),$D$15,0)),MATCH(ROW(orderHistory[customer]),ROW(orderHistory[customer])),""),ROWS($A$15:A52)+$B$3))),IF($D$15="",INDEX(orderHistory[order_no],SMALL(IF(ISNUMBER(MATCH(orderHistory[status],$D$11,0)*MATCH(orderHistory[order_type],$D$13,0)),MATCH(ROW(orderHistory[customer]),ROW(orderHistory[customer])),""),ROWS($A$15:A52)+$B$3)),INDEX(orderHistory[order_no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no],SMALL(IF(ISNUMBER(MATCH(orderHistory[customer],$D$9,0)),MATCH(ROW(orderHistory[customer]),ROW(orderHistory[customer])),""),ROWS($A$15:A52)+$B$3)),INDEX(orderHistory[order_no],SMALL(IF(ISNUMBER(MATCH(orderHistory[customer],$D$9,0)*MATCH(YEAR(orderHistory[invoice_date]),$D$15,0)),MATCH(ROW(orderHistory[customer]),ROW(orderHistory[customer])),""),ROWS($A$15:A52)+$B$3))),IF($D$15="",INDEX(orderHistory[order_no],SMALL(IF(ISNUMBER(MATCH(orderHistory[customer],$D$9,0)*MATCH(orderHistory[order_type],$D$13,0)),MATCH(ROW(orderHistory[customer]),ROW(orderHistory[customer])),""),ROWS($A$15:A52)+$B$3)),INDEX(orderHistory[order_no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no],SMALL(IF(ISNUMBER(MATCH(orderHistory[customer],$D$9,0)*MATCH(orderHistory[status],$D$11,0)),MATCH(ROW(orderHistory[customer]),ROW(orderHistory[customer])),""),ROWS($A$15:A52)+$B$3)),INDEX(orderHistory[order_no],SMALL(IF(ISNUMBER(MATCH(orderHistory[customer],$D$9,0)*MATCH(orderHistory[status],$D$11,0)*MATCH(YEAR(orderHistory[invoice_date]),$D$15,0)),MATCH(ROW(orderHistory[customer]),ROW(orderHistory[customer])),""),ROWS($A$15:A52)+$B$3))),IF($D$15="",INDEX(orderHistory[order_no],SMALL(IF(ISNUMBER(MATCH(orderHistory[customer],$D$9,0)*MATCH(orderHistory[status],$D$11,0)*MATCH(orderHistory[order_type],$D$13,0)),MATCH(ROW(orderHistory[customer]),ROW(orderHistory[customer])),""),ROWS($A$15:A52)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N47" s="541" t="str">
        <f t="array" ref="N47">IFERROR(IF($D$9="",IF($D$11="",IF($D$13="",IF($D$15="",INDEX(orderHistory[order_type],SMALL(MATCH(ROW(orderHistory[customer]),ROW(orderHistory[customer])),ROWS($A$15:A52)+$B$3)),INDEX(orderHistory[order_type],SMALL(IF(ISNUMBER(MATCH(YEAR(orderHistory[invoice_date]),$D$15,0)),MATCH(ROW(orderHistory[customer]),ROW(orderHistory[customer])),""),ROWS($A$15:A52)+$B$3))),IF($D$15="",INDEX(orderHistory[order_type],SMALL(IF(ISNUMBER(MATCH(orderHistory[order_type],$D$13,0)),MATCH(ROW(orderHistory[customer]),ROW(orderHistory[customer])),""),ROWS($A$15:A52)+$B$3)),INDEX(orderHistory[order_type],SMALL(IF(ISNUMBER(MATCH(orderHistory[order_type],$D$13,0)*MATCH(YEAR(orderHistory[invoice_date]),$D$15,0)),MATCH(ROW(orderHistory[customer]),ROW(orderHistory[customer])),""),ROWS($A$15:A52)+$B$3)))),IF($D$13="",IF($D$15="",INDEX(orderHistory[order_type],SMALL(IF(ISNUMBER(MATCH(orderHistory[status],$D$11,0)),MATCH(ROW(orderHistory[customer]),ROW(orderHistory[customer])),""),ROWS($A$15:A52)+$B$3)),INDEX(orderHistory[order_type],SMALL(IF(ISNUMBER(MATCH(orderHistory[status],$D$11,0)*MATCH(YEAR(orderHistory[invoice_date]),$D$15,0)),MATCH(ROW(orderHistory[customer]),ROW(orderHistory[customer])),""),ROWS($A$15:A52)+$B$3))),IF($D$15="",INDEX(orderHistory[order_type],SMALL(IF(ISNUMBER(MATCH(orderHistory[status],$D$11,0)*MATCH(orderHistory[order_type],$D$13,0)),MATCH(ROW(orderHistory[customer]),ROW(orderHistory[customer])),""),ROWS($A$15:A52)+$B$3)),INDEX(orderHistory[order_typ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type],SMALL(IF(ISNUMBER(MATCH(orderHistory[customer],$D$9,0)),MATCH(ROW(orderHistory[customer]),ROW(orderHistory[customer])),""),ROWS($A$15:A52)+$B$3)),INDEX(orderHistory[order_type],SMALL(IF(ISNUMBER(MATCH(orderHistory[customer],$D$9,0)*MATCH(YEAR(orderHistory[invoice_date]),$D$15,0)),MATCH(ROW(orderHistory[customer]),ROW(orderHistory[customer])),""),ROWS($A$15:A52)+$B$3))),IF($D$15="",INDEX(orderHistory[order_type],SMALL(IF(ISNUMBER(MATCH(orderHistory[customer],$D$9,0)*MATCH(orderHistory[order_type],$D$13,0)),MATCH(ROW(orderHistory[customer]),ROW(orderHistory[customer])),""),ROWS($A$15:A52)+$B$3)),INDEX(orderHistory[order_typ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type],SMALL(IF(ISNUMBER(MATCH(orderHistory[customer],$D$9,0)*MATCH(orderHistory[status],$D$11,0)),MATCH(ROW(orderHistory[customer]),ROW(orderHistory[customer])),""),ROWS($A$15:A52)+$B$3)),INDEX(orderHistory[order_type],SMALL(IF(ISNUMBER(MATCH(orderHistory[customer],$D$9,0)*MATCH(orderHistory[status],$D$11,0)*MATCH(YEAR(orderHistory[invoice_date]),$D$15,0)),MATCH(ROW(orderHistory[customer]),ROW(orderHistory[customer])),""),ROWS($A$15:A52)+$B$3))),IF($D$15="",INDEX(orderHistory[order_type],SMALL(IF(ISNUMBER(MATCH(orderHistory[customer],$D$9,0)*MATCH(orderHistory[status],$D$11,0)*MATCH(orderHistory[order_type],$D$13,0)),MATCH(ROW(orderHistory[customer]),ROW(orderHistory[customer])),""),ROWS($A$15:A52)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O47" s="542" t="str">
        <f t="array" ref="O47">IFERROR(IF($D$9="",IF($D$11="",IF($D$13="",IF($D$15="",INDEX(orderHistory[order_date],SMALL(MATCH(ROW(orderHistory[customer]),ROW(orderHistory[customer])),ROWS($A$15:A52)+$B$3)),INDEX(orderHistory[order_date],SMALL(IF(ISNUMBER(MATCH(YEAR(orderHistory[invoice_date]),$D$15,0)),MATCH(ROW(orderHistory[customer]),ROW(orderHistory[customer])),""),ROWS($A$15:A52)+$B$3))),IF($D$15="",INDEX(orderHistory[order_date],SMALL(IF(ISNUMBER(MATCH(orderHistory[order_type],$D$13,0)),MATCH(ROW(orderHistory[customer]),ROW(orderHistory[customer])),""),ROWS($A$15:A52)+$B$3)),INDEX(orderHistory[order_date],SMALL(IF(ISNUMBER(MATCH(orderHistory[order_type],$D$13,0)*MATCH(YEAR(orderHistory[invoice_date]),$D$15,0)),MATCH(ROW(orderHistory[customer]),ROW(orderHistory[customer])),""),ROWS($A$15:A52)+$B$3)))),IF($D$13="",IF($D$15="",INDEX(orderHistory[order_date],SMALL(IF(ISNUMBER(MATCH(orderHistory[status],$D$11,0)),MATCH(ROW(orderHistory[customer]),ROW(orderHistory[customer])),""),ROWS($A$15:A52)+$B$3)),INDEX(orderHistory[order_date],SMALL(IF(ISNUMBER(MATCH(orderHistory[status],$D$11,0)*MATCH(YEAR(orderHistory[invoice_date]),$D$15,0)),MATCH(ROW(orderHistory[customer]),ROW(orderHistory[customer])),""),ROWS($A$15:A52)+$B$3))),IF($D$15="",INDEX(orderHistory[order_date],SMALL(IF(ISNUMBER(MATCH(orderHistory[status],$D$11,0)*MATCH(orderHistory[order_type],$D$13,0)),MATCH(ROW(orderHistory[customer]),ROW(orderHistory[customer])),""),ROWS($A$15:A52)+$B$3)),INDEX(orderHistory[order_dat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date],SMALL(IF(ISNUMBER(MATCH(orderHistory[customer],$D$9,0)),MATCH(ROW(orderHistory[customer]),ROW(orderHistory[customer])),""),ROWS($A$15:A52)+$B$3)),INDEX(orderHistory[order_date],SMALL(IF(ISNUMBER(MATCH(orderHistory[customer],$D$9,0)*MATCH(YEAR(orderHistory[invoice_date]),$D$15,0)),MATCH(ROW(orderHistory[customer]),ROW(orderHistory[customer])),""),ROWS($A$15:A52)+$B$3))),IF($D$15="",INDEX(orderHistory[order_date],SMALL(IF(ISNUMBER(MATCH(orderHistory[customer],$D$9,0)*MATCH(orderHistory[order_type],$D$13,0)),MATCH(ROW(orderHistory[customer]),ROW(orderHistory[customer])),""),ROWS($A$15:A52)+$B$3)),INDEX(orderHistory[order_dat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date],SMALL(IF(ISNUMBER(MATCH(orderHistory[customer],$D$9,0)*MATCH(orderHistory[status],$D$11,0)),MATCH(ROW(orderHistory[customer]),ROW(orderHistory[customer])),""),ROWS($A$15:A52)+$B$3)),INDEX(orderHistory[order_date],SMALL(IF(ISNUMBER(MATCH(orderHistory[customer],$D$9,0)*MATCH(orderHistory[status],$D$11,0)*MATCH(YEAR(orderHistory[invoice_date]),$D$15,0)),MATCH(ROW(orderHistory[customer]),ROW(orderHistory[customer])),""),ROWS($A$15:A52)+$B$3))),IF($D$15="",INDEX(orderHistory[order_date],SMALL(IF(ISNUMBER(MATCH(orderHistory[customer],$D$9,0)*MATCH(orderHistory[status],$D$11,0)*MATCH(orderHistory[order_type],$D$13,0)),MATCH(ROW(orderHistory[customer]),ROW(orderHistory[customer])),""),ROWS($A$15:A52)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P47" s="543" t="str">
        <f t="array" ref="P47">IFERROR(IF($D$9="",IF($D$11="",IF($D$13="",IF($D$15="",INDEX(orderHistory[invoice_no],SMALL(MATCH(ROW(orderHistory[customer]),ROW(orderHistory[customer])),ROWS($A$15:A52)+$B$3)),INDEX(orderHistory[invoice_no],SMALL(IF(ISNUMBER(MATCH(YEAR(orderHistory[invoice_date]),$D$15,0)),MATCH(ROW(orderHistory[customer]),ROW(orderHistory[customer])),""),ROWS($A$15:A52)+$B$3))),IF($D$15="",INDEX(orderHistory[invoice_no],SMALL(IF(ISNUMBER(MATCH(orderHistory[order_type],$D$13,0)),MATCH(ROW(orderHistory[customer]),ROW(orderHistory[customer])),""),ROWS($A$15:A52)+$B$3)),INDEX(orderHistory[invoice_no],SMALL(IF(ISNUMBER(MATCH(orderHistory[order_type],$D$13,0)*MATCH(YEAR(orderHistory[invoice_date]),$D$15,0)),MATCH(ROW(orderHistory[customer]),ROW(orderHistory[customer])),""),ROWS($A$15:A52)+$B$3)))),IF($D$13="",IF($D$15="",INDEX(orderHistory[invoice_no],SMALL(IF(ISNUMBER(MATCH(orderHistory[status],$D$11,0)),MATCH(ROW(orderHistory[customer]),ROW(orderHistory[customer])),""),ROWS($A$15:A52)+$B$3)),INDEX(orderHistory[invoice_no],SMALL(IF(ISNUMBER(MATCH(orderHistory[status],$D$11,0)*MATCH(YEAR(orderHistory[invoice_date]),$D$15,0)),MATCH(ROW(orderHistory[customer]),ROW(orderHistory[customer])),""),ROWS($A$15:A52)+$B$3))),IF($D$15="",INDEX(orderHistory[invoice_no],SMALL(IF(ISNUMBER(MATCH(orderHistory[status],$D$11,0)*MATCH(orderHistory[order_type],$D$13,0)),MATCH(ROW(orderHistory[customer]),ROW(orderHistory[customer])),""),ROWS($A$15:A52)+$B$3)),INDEX(orderHistory[invoice_no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oice_no],SMALL(IF(ISNUMBER(MATCH(orderHistory[customer],$D$9,0)),MATCH(ROW(orderHistory[customer]),ROW(orderHistory[customer])),""),ROWS($A$15:A52)+$B$3)),INDEX(orderHistory[invoice_no],SMALL(IF(ISNUMBER(MATCH(orderHistory[customer],$D$9,0)*MATCH(YEAR(orderHistory[invoice_date]),$D$15,0)),MATCH(ROW(orderHistory[customer]),ROW(orderHistory[customer])),""),ROWS($A$15:A52)+$B$3))),IF($D$15="",INDEX(orderHistory[invoice_no],SMALL(IF(ISNUMBER(MATCH(orderHistory[customer],$D$9,0)*MATCH(orderHistory[order_type],$D$13,0)),MATCH(ROW(orderHistory[customer]),ROW(orderHistory[customer])),""),ROWS($A$15:A52)+$B$3)),INDEX(orderHistory[invoice_no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oice_no],SMALL(IF(ISNUMBER(MATCH(orderHistory[customer],$D$9,0)*MATCH(orderHistory[status],$D$11,0)),MATCH(ROW(orderHistory[customer]),ROW(orderHistory[customer])),""),ROWS($A$15:A52)+$B$3)),INDEX(orderHistory[invoice_no],SMALL(IF(ISNUMBER(MATCH(orderHistory[customer],$D$9,0)*MATCH(orderHistory[status],$D$11,0)*MATCH(YEAR(orderHistory[invoice_date]),$D$15,0)),MATCH(ROW(orderHistory[customer]),ROW(orderHistory[customer])),""),ROWS($A$15:A52)+$B$3))),IF($D$15="",INDEX(orderHistory[invoice_no],SMALL(IF(ISNUMBER(MATCH(orderHistory[customer],$D$9,0)*MATCH(orderHistory[status],$D$11,0)*MATCH(orderHistory[order_type],$D$13,0)),MATCH(ROW(orderHistory[customer]),ROW(orderHistory[customer])),""),ROWS($A$15:A52)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Q47" s="544" t="str">
        <f t="array" ref="Q47">IFERROR(IF($D$9="",IF($D$11="",IF($D$13="",IF($D$15="",INDEX(orderHistory[invoice_date],SMALL(MATCH(ROW(orderHistory[customer]),ROW(orderHistory[customer])),ROWS($A$15:A52)+$B$3)),INDEX(orderHistory[invoice_date],SMALL(IF(ISNUMBER(MATCH(YEAR(orderHistory[invoice_date]),$D$15,0)),MATCH(ROW(orderHistory[customer]),ROW(orderHistory[customer])),""),ROWS($A$15:A52)+$B$3))),IF($D$15="",INDEX(orderHistory[invoice_date],SMALL(IF(ISNUMBER(MATCH(orderHistory[order_type],$D$13,0)),MATCH(ROW(orderHistory[customer]),ROW(orderHistory[customer])),""),ROWS($A$15:A52)+$B$3)),INDEX(orderHistory[invoice_date],SMALL(IF(ISNUMBER(MATCH(orderHistory[order_type],$D$13,0)*MATCH(YEAR(orderHistory[invoice_date]),$D$15,0)),MATCH(ROW(orderHistory[customer]),ROW(orderHistory[customer])),""),ROWS($A$15:A52)+$B$3)))),IF($D$13="",IF($D$15="",INDEX(orderHistory[invoice_date],SMALL(IF(ISNUMBER(MATCH(orderHistory[status],$D$11,0)),MATCH(ROW(orderHistory[customer]),ROW(orderHistory[customer])),""),ROWS($A$15:A52)+$B$3)),INDEX(orderHistory[invoice_date],SMALL(IF(ISNUMBER(MATCH(orderHistory[status],$D$11,0)*MATCH(YEAR(orderHistory[invoice_date]),$D$15,0)),MATCH(ROW(orderHistory[customer]),ROW(orderHistory[customer])),""),ROWS($A$15:A52)+$B$3))),IF($D$15="",INDEX(orderHistory[invoice_date],SMALL(IF(ISNUMBER(MATCH(orderHistory[status],$D$11,0)*MATCH(orderHistory[order_type],$D$13,0)),MATCH(ROW(orderHistory[customer]),ROW(orderHistory[customer])),""),ROWS($A$15:A52)+$B$3)),INDEX(orderHistory[invoice_dat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oice_date],SMALL(IF(ISNUMBER(MATCH(orderHistory[customer],$D$9,0)),MATCH(ROW(orderHistory[customer]),ROW(orderHistory[customer])),""),ROWS($A$15:A52)+$B$3)),INDEX(orderHistory[invoice_date],SMALL(IF(ISNUMBER(MATCH(orderHistory[customer],$D$9,0)*MATCH(YEAR(orderHistory[invoice_date]),$D$15,0)),MATCH(ROW(orderHistory[customer]),ROW(orderHistory[customer])),""),ROWS($A$15:A52)+$B$3))),IF($D$15="",INDEX(orderHistory[invoice_date],SMALL(IF(ISNUMBER(MATCH(orderHistory[customer],$D$9,0)*MATCH(orderHistory[order_type],$D$13,0)),MATCH(ROW(orderHistory[customer]),ROW(orderHistory[customer])),""),ROWS($A$15:A52)+$B$3)),INDEX(orderHistory[invoice_dat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oice_date],SMALL(IF(ISNUMBER(MATCH(orderHistory[customer],$D$9,0)*MATCH(orderHistory[status],$D$11,0)),MATCH(ROW(orderHistory[customer]),ROW(orderHistory[customer])),""),ROWS($A$15:A52)+$B$3)),INDEX(orderHistory[invoice_date],SMALL(IF(ISNUMBER(MATCH(orderHistory[customer],$D$9,0)*MATCH(orderHistory[status],$D$11,0)*MATCH(YEAR(orderHistory[invoice_date]),$D$15,0)),MATCH(ROW(orderHistory[customer]),ROW(orderHistory[customer])),""),ROWS($A$15:A52)+$B$3))),IF($D$15="",INDEX(orderHistory[invoice_date],SMALL(IF(ISNUMBER(MATCH(orderHistory[customer],$D$9,0)*MATCH(orderHistory[status],$D$11,0)*MATCH(orderHistory[order_type],$D$13,0)),MATCH(ROW(orderHistory[customer]),ROW(orderHistory[customer])),""),ROWS($A$15:A52)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R47" s="545" t="str">
        <f t="array" ref="R47">IFERROR(IF($D$9="",IF($D$11="",IF($D$13="",IF($D$15="",INDEX(orderHistory[inv_amount],SMALL(MATCH(ROW(orderHistory[customer]),ROW(orderHistory[customer])),ROWS($A$15:A52)+$B$3)),INDEX(orderHistory[inv_amount],SMALL(IF(ISNUMBER(MATCH(YEAR(orderHistory[invoice_date]),$D$15,0)),MATCH(ROW(orderHistory[customer]),ROW(orderHistory[customer])),""),ROWS($A$15:A52)+$B$3))),IF($D$15="",INDEX(orderHistory[inv_amount],SMALL(IF(ISNUMBER(MATCH(orderHistory[order_type],$D$13,0)),MATCH(ROW(orderHistory[customer]),ROW(orderHistory[customer])),""),ROWS($A$15:A52)+$B$3)),INDEX(orderHistory[inv_amount],SMALL(IF(ISNUMBER(MATCH(orderHistory[order_type],$D$13,0)*MATCH(YEAR(orderHistory[invoice_date]),$D$15,0)),MATCH(ROW(orderHistory[customer]),ROW(orderHistory[customer])),""),ROWS($A$15:A52)+$B$3)))),IF($D$13="",IF($D$15="",INDEX(orderHistory[inv_amount],SMALL(IF(ISNUMBER(MATCH(orderHistory[status],$D$11,0)),MATCH(ROW(orderHistory[customer]),ROW(orderHistory[customer])),""),ROWS($A$15:A52)+$B$3)),INDEX(orderHistory[inv_amount],SMALL(IF(ISNUMBER(MATCH(orderHistory[status],$D$11,0)*MATCH(YEAR(orderHistory[invoice_date]),$D$15,0)),MATCH(ROW(orderHistory[customer]),ROW(orderHistory[customer])),""),ROWS($A$15:A52)+$B$3))),IF($D$15="",INDEX(orderHistory[inv_amount],SMALL(IF(ISNUMBER(MATCH(orderHistory[status],$D$11,0)*MATCH(orderHistory[order_type],$D$13,0)),MATCH(ROW(orderHistory[customer]),ROW(orderHistory[customer])),""),ROWS($A$15:A52)+$B$3)),INDEX(orderHistory[inv_amount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_amount],SMALL(IF(ISNUMBER(MATCH(orderHistory[customer],$D$9,0)),MATCH(ROW(orderHistory[customer]),ROW(orderHistory[customer])),""),ROWS($A$15:A52)+$B$3)),INDEX(orderHistory[inv_amount],SMALL(IF(ISNUMBER(MATCH(orderHistory[customer],$D$9,0)*MATCH(YEAR(orderHistory[invoice_date]),$D$15,0)),MATCH(ROW(orderHistory[customer]),ROW(orderHistory[customer])),""),ROWS($A$15:A52)+$B$3))),IF($D$15="",INDEX(orderHistory[inv_amount],SMALL(IF(ISNUMBER(MATCH(orderHistory[customer],$D$9,0)*MATCH(orderHistory[order_type],$D$13,0)),MATCH(ROW(orderHistory[customer]),ROW(orderHistory[customer])),""),ROWS($A$15:A52)+$B$3)),INDEX(orderHistory[inv_amount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_amount],SMALL(IF(ISNUMBER(MATCH(orderHistory[customer],$D$9,0)*MATCH(orderHistory[status],$D$11,0)),MATCH(ROW(orderHistory[customer]),ROW(orderHistory[customer])),""),ROWS($A$15:A52)+$B$3)),INDEX(orderHistory[inv_amount],SMALL(IF(ISNUMBER(MATCH(orderHistory[customer],$D$9,0)*MATCH(orderHistory[status],$D$11,0)*MATCH(YEAR(orderHistory[inv_amount]),$D$15,0)),MATCH(ROW(orderHistory[customer]),ROW(orderHistory[customer])),""),ROWS($A$15:A52)+$B$3))),IF($D$15="",INDEX(orderHistory[inv_amount],SMALL(IF(ISNUMBER(MATCH(orderHistory[customer],$D$9,0)*MATCH(orderHistory[status],$D$11,0)*MATCH(orderHistory[order_type],$D$13,0)),MATCH(ROW(orderHistory[customer]),ROW(orderHistory[customer])),""),ROWS($A$15:A52)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S47" s="546" t="str">
        <f t="shared" si="2"/>
        <v/>
      </c>
      <c r="T47" s="547" t="str">
        <f t="array" ref="T47">IFERROR(IF($D$9="",IF($D$11="",IF($D$13="",IF($D$15="",INDEX(orderHistory[payed],SMALL(MATCH(ROW(orderHistory[customer]),ROW(orderHistory[customer])),ROWS($A$15:A52)+$B$3)),INDEX(orderHistory[payed],SMALL(IF(ISNUMBER(MATCH(YEAR(orderHistory[invoice_date]),$D$15,0)),MATCH(ROW(orderHistory[customer]),ROW(orderHistory[customer])),""),ROWS($A$15:A52)+$B$3))),IF($D$15="",INDEX(orderHistory[payed],SMALL(IF(ISNUMBER(MATCH(orderHistory[order_type],$D$13,0)),MATCH(ROW(orderHistory[customer]),ROW(orderHistory[customer])),""),ROWS($A$15:A52)+$B$3)),INDEX(orderHistory[payed],SMALL(IF(ISNUMBER(MATCH(orderHistory[order_type],$D$13,0)*MATCH(YEAR(orderHistory[invoice_date]),$D$15,0)),MATCH(ROW(orderHistory[customer]),ROW(orderHistory[customer])),""),ROWS($A$15:A52)+$B$3)))),IF($D$13="",IF($D$15="",INDEX(orderHistory[payed],SMALL(IF(ISNUMBER(MATCH(orderHistory[status],$D$11,0)),MATCH(ROW(orderHistory[customer]),ROW(orderHistory[customer])),""),ROWS($A$15:A52)+$B$3)),INDEX(orderHistory[payed],SMALL(IF(ISNUMBER(MATCH(orderHistory[status],$D$11,0)*MATCH(YEAR(orderHistory[invoice_date]),$D$15,0)),MATCH(ROW(orderHistory[customer]),ROW(orderHistory[customer])),""),ROWS($A$15:A52)+$B$3))),IF($D$15="",INDEX(orderHistory[payed],SMALL(IF(ISNUMBER(MATCH(orderHistory[status],$D$11,0)*MATCH(orderHistory[order_type],$D$13,0)),MATCH(ROW(orderHistory[customer]),ROW(orderHistory[customer])),""),ROWS($A$15:A52)+$B$3)),INDEX(orderHistory[payed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payed],SMALL(IF(ISNUMBER(MATCH(orderHistory[customer],$D$9,0)),MATCH(ROW(orderHistory[customer]),ROW(orderHistory[customer])),""),ROWS($A$15:A52)+$B$3)),INDEX(orderHistory[payed],SMALL(IF(ISNUMBER(MATCH(orderHistory[customer],$D$9,0)*MATCH(YEAR(orderHistory[invoice_date]),$D$15,0)),MATCH(ROW(orderHistory[customer]),ROW(orderHistory[customer])),""),ROWS($A$15:A52)+$B$3))),IF($D$15="",INDEX(orderHistory[payed],SMALL(IF(ISNUMBER(MATCH(orderHistory[customer],$D$9,0)*MATCH(orderHistory[order_type],$D$13,0)),MATCH(ROW(orderHistory[customer]),ROW(orderHistory[customer])),""),ROWS($A$15:A52)+$B$3)),INDEX(orderHistory[payed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payed],SMALL(IF(ISNUMBER(MATCH(orderHistory[customer],$D$9,0)*MATCH(orderHistory[status],$D$11,0)),MATCH(ROW(orderHistory[customer]),ROW(orderHistory[customer])),""),ROWS($A$15:A52)+$B$3)),INDEX(orderHistory[payed],SMALL(IF(ISNUMBER(MATCH(orderHistory[customer],$D$9,0)*MATCH(orderHistory[status],$D$11,0)*MATCH(YEAR(orderHistory[payed]),$D$15,0)),MATCH(ROW(orderHistory[customer]),ROW(orderHistory[customer])),""),ROWS($A$15:A52)+$B$3))),IF($D$15="",INDEX(orderHistory[payed],SMALL(IF(ISNUMBER(MATCH(orderHistory[customer],$D$9,0)*MATCH(orderHistory[status],$D$11,0)*MATCH(orderHistory[order_type],$D$13,0)),MATCH(ROW(orderHistory[customer]),ROW(orderHistory[customer])),""),ROWS($A$15:A52)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U47" s="541" t="str">
        <f t="array" ref="U47">IFERROR(IF($D$9="",IF($D$11="",IF($D$13="",IF($D$15="",INDEX(orderHistory[shipping_method],SMALL(MATCH(ROW(orderHistory[customer]),ROW(orderHistory[customer])),ROWS($A$15:A52)+$B$3)),INDEX(orderHistory[shipping_method],SMALL(IF(ISNUMBER(MATCH(YEAR(orderHistory[invoice_date]),$D$15,0)),MATCH(ROW(orderHistory[customer]),ROW(orderHistory[customer])),""),ROWS($A$15:A52)+$B$3))),IF($D$15="",INDEX(orderHistory[shipping_method],SMALL(IF(ISNUMBER(MATCH(orderHistory[order_type],$D$13,0)),MATCH(ROW(orderHistory[customer]),ROW(orderHistory[customer])),""),ROWS($A$15:A52)+$B$3)),INDEX(orderHistory[shipping_method],SMALL(IF(ISNUMBER(MATCH(orderHistory[order_type],$D$13,0)*MATCH(YEAR(orderHistory[invoice_date]),$D$15,0)),MATCH(ROW(orderHistory[customer]),ROW(orderHistory[customer])),""),ROWS($A$15:A52)+$B$3)))),IF($D$13="",IF($D$15="",INDEX(orderHistory[shipping_method],SMALL(IF(ISNUMBER(MATCH(orderHistory[status],$D$11,0)),MATCH(ROW(orderHistory[customer]),ROW(orderHistory[customer])),""),ROWS($A$15:A52)+$B$3)),INDEX(orderHistory[shipping_method],SMALL(IF(ISNUMBER(MATCH(orderHistory[status],$D$11,0)*MATCH(YEAR(orderHistory[invoice_date]),$D$15,0)),MATCH(ROW(orderHistory[customer]),ROW(orderHistory[customer])),""),ROWS($A$15:A52)+$B$3))),IF($D$15="",INDEX(orderHistory[shipping_method],SMALL(IF(ISNUMBER(MATCH(orderHistory[status],$D$11,0)*MATCH(orderHistory[order_type],$D$13,0)),MATCH(ROW(orderHistory[customer]),ROW(orderHistory[customer])),""),ROWS($A$15:A52)+$B$3)),INDEX(orderHistory[shipping_method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shipping_method],SMALL(IF(ISNUMBER(MATCH(orderHistory[customer],$D$9,0)),MATCH(ROW(orderHistory[customer]),ROW(orderHistory[customer])),""),ROWS($A$15:A52)+$B$3)),INDEX(orderHistory[shipping_method],SMALL(IF(ISNUMBER(MATCH(orderHistory[customer],$D$9,0)*MATCH(YEAR(orderHistory[invoice_date]),$D$15,0)),MATCH(ROW(orderHistory[customer]),ROW(orderHistory[customer])),""),ROWS($A$15:A52)+$B$3))),IF($D$15="",INDEX(orderHistory[shipping_method],SMALL(IF(ISNUMBER(MATCH(orderHistory[customer],$D$9,0)*MATCH(orderHistory[order_type],$D$13,0)),MATCH(ROW(orderHistory[customer]),ROW(orderHistory[customer])),""),ROWS($A$15:A52)+$B$3)),INDEX(orderHistory[shipping_method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shipping_method],SMALL(IF(ISNUMBER(MATCH(orderHistory[customer],$D$9,0)*MATCH(orderHistory[status],$D$11,0)),MATCH(ROW(orderHistory[customer]),ROW(orderHistory[customer])),""),ROWS($A$15:A52)+$B$3)),INDEX(orderHistory[shipping_method],SMALL(IF(ISNUMBER(MATCH(orderHistory[customer],$D$9,0)*MATCH(orderHistory[status],$D$11,0)*MATCH(YEAR(orderHistory[shipping_method]),$D$15,0)),MATCH(ROW(orderHistory[customer]),ROW(orderHistory[customer])),""),ROWS($A$15:A52)+$B$3))),IF($D$15="",INDEX(orderHistory[shipping_method],SMALL(IF(ISNUMBER(MATCH(orderHistory[customer],$D$9,0)*MATCH(orderHistory[status],$D$11,0)*MATCH(orderHistory[order_type],$D$13,0)),MATCH(ROW(orderHistory[customer]),ROW(orderHistory[customer])),""),ROWS($A$15:A52)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V47" s="548" t="str">
        <f t="array" ref="V47">IFERROR(IF($D$9="",IF($D$11="",IF($D$13="",IF($D$15="",INDEX(orderHistory[status],SMALL(MATCH(ROW(orderHistory[customer]),ROW(orderHistory[customer])),ROWS($A$15:A52)+$B$3)),INDEX(orderHistory[status],SMALL(IF(ISNUMBER(MATCH(YEAR(orderHistory[invoice_date]),$D$15,0)),MATCH(ROW(orderHistory[customer]),ROW(orderHistory[customer])),""),ROWS($A$15:A52)+$B$3))),IF($D$15="",INDEX(orderHistory[status],SMALL(IF(ISNUMBER(MATCH(orderHistory[order_type],$D$13,0)),MATCH(ROW(orderHistory[customer]),ROW(orderHistory[customer])),""),ROWS($A$15:A52)+$B$3)),INDEX(orderHistory[status],SMALL(IF(ISNUMBER(MATCH(orderHistory[order_type],$D$13,0)*MATCH(YEAR(orderHistory[invoice_date]),$D$15,0)),MATCH(ROW(orderHistory[customer]),ROW(orderHistory[customer])),""),ROWS($A$15:A52)+$B$3)))),IF($D$13="",IF($D$15="",INDEX(orderHistory[status],SMALL(IF(ISNUMBER(MATCH(orderHistory[status],$D$11,0)),MATCH(ROW(orderHistory[customer]),ROW(orderHistory[customer])),""),ROWS($A$15:A52)+$B$3)),INDEX(orderHistory[status],SMALL(IF(ISNUMBER(MATCH(orderHistory[status],$D$11,0)*MATCH(YEAR(orderHistory[invoice_date]),$D$15,0)),MATCH(ROW(orderHistory[customer]),ROW(orderHistory[customer])),""),ROWS($A$15:A52)+$B$3))),IF($D$15="",INDEX(orderHistory[status],SMALL(IF(ISNUMBER(MATCH(orderHistory[status],$D$11,0)*MATCH(orderHistory[order_type],$D$13,0)),MATCH(ROW(orderHistory[customer]),ROW(orderHistory[customer])),""),ROWS($A$15:A52)+$B$3)),INDEX(orderHistory[status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status],SMALL(IF(ISNUMBER(MATCH(orderHistory[customer],$D$9,0)),MATCH(ROW(orderHistory[customer]),ROW(orderHistory[customer])),""),ROWS($A$15:A52)+$B$3)),INDEX(orderHistory[status],SMALL(IF(ISNUMBER(MATCH(orderHistory[customer],$D$9,0)*MATCH(YEAR(orderHistory[invoice_date]),$D$15,0)),MATCH(ROW(orderHistory[customer]),ROW(orderHistory[customer])),""),ROWS($A$15:A52)+$B$3))),IF($D$15="",INDEX(orderHistory[status],SMALL(IF(ISNUMBER(MATCH(orderHistory[customer],$D$9,0)*MATCH(orderHistory[order_type],$D$13,0)),MATCH(ROW(orderHistory[customer]),ROW(orderHistory[customer])),""),ROWS($A$15:A52)+$B$3)),INDEX(orderHistory[status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status],SMALL(IF(ISNUMBER(MATCH(orderHistory[customer],$D$9,0)*MATCH(orderHistory[status],$D$11,0)),MATCH(ROW(orderHistory[customer]),ROW(orderHistory[customer])),""),ROWS($A$15:A52)+$B$3)),INDEX(orderHistory[status],SMALL(IF(ISNUMBER(MATCH(orderHistory[customer],$D$9,0)*MATCH(orderHistory[status],$D$11,0)*MATCH(YEAR(orderHistory[status]),$D$15,0)),MATCH(ROW(orderHistory[customer]),ROW(orderHistory[customer])),""),ROWS($A$15:A52)+$B$3))),IF($D$15="",INDEX(orderHistory[status],SMALL(IF(ISNUMBER(MATCH(orderHistory[customer],$D$9,0)*MATCH(orderHistory[status],$D$11,0)*MATCH(orderHistory[order_type],$D$13,0)),MATCH(ROW(orderHistory[customer]),ROW(orderHistory[customer])),""),ROWS($A$15:A52)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W47" s="327"/>
      <c r="X47" s="414"/>
      <c r="BG47" s="296"/>
      <c r="BK47" s="450"/>
      <c r="BL47" s="451"/>
      <c r="BM47" s="452"/>
      <c r="BN47" s="451"/>
      <c r="BO47" s="452"/>
      <c r="BZ47" s="158"/>
      <c r="CA47" s="154" t="str">
        <f>IF(BZ47="","",INDEX(bhpc_data[description],MATCH(BZ47,bhpc_data[sku],0)))</f>
        <v/>
      </c>
      <c r="CB47" s="159"/>
      <c r="CC47" s="358"/>
      <c r="CD47" s="160"/>
      <c r="CE47" s="360"/>
      <c r="CF47" s="161"/>
      <c r="CG47" s="164" t="str">
        <f>IFERROR(ROUNDUP(CB47/INDEX(bhpc_data[units_per_carton],MATCH(BZ47,bhpc_data[sku],0)),0),"")</f>
        <v/>
      </c>
      <c r="CH47" s="165" t="str">
        <f>IFERROR(ROUNDUP(CD47/INDEX(bhpc_data[units_per_carton],MATCH(BZ47,bhpc_data[sku],0)),0),"")</f>
        <v/>
      </c>
      <c r="CI47" s="165" t="str">
        <f>IFERROR(ROUNDUP(CF47/INDEX(bhpc_data[units_per_carton],MATCH(BZ47,bhpc_data[sku])),0),"")</f>
        <v/>
      </c>
      <c r="CJ47" s="165" t="str">
        <f>IFERROR(((CB47+CD47+CF47)/INDEX(bhpc_data[units_per_carton],MATCH(BZ47,bhpc_data[sku],0)))*INDEX(bhpc_data[net_weight],MATCH(BZ47,bhpc_data[sku],0)),"")</f>
        <v/>
      </c>
      <c r="CK47" s="165" t="str">
        <f>IFERROR(((CB47+CD47+CF47)/INDEX(bhpc_data[units_per_carton],MATCH(BZ47,bhpc_data[sku],0)))*INDEX(bhpc_data[gross_weight],MATCH(BZ47,bhpc_data[sku],0)),"")</f>
        <v/>
      </c>
      <c r="CL47" s="180" t="str">
        <f>IFERROR((CB47+CD47+CF47)/INDEX(bhpc_data[units_per_carton],MATCH(BZ47,bhpc_data[sku],0))*INDEX(bhpc_data[lenght],MATCH(BZ47,bhpc_data[sku],0))*INDEX(bhpc_data[width],MATCH(BZ47,bhpc_data[sku],0))*INDEX(bhpc_data[height],MATCH(BZ47,bhpc_data[sku],0))/1000000000,"")</f>
        <v/>
      </c>
      <c r="CM47" s="189" t="str">
        <f>IFERROR(INDEX(bhpc_data[category],MATCH(BZ47,bhpc_data[sku],0)),"")</f>
        <v/>
      </c>
      <c r="CN47" s="189" t="str">
        <f>IFERROR(INDEX(bhpc_data[size1],MATCH(BZ47,bhpc_data[sku],0)),"")</f>
        <v/>
      </c>
      <c r="CO47" s="388" t="str">
        <f>IFERROR(INDEX(bhpc_data[hs_code],MATCH(BZ47,bhpc_data[sku],0)),"")</f>
        <v/>
      </c>
      <c r="CP47" s="377" t="str">
        <f>IFERROR(INDEX(inventory[ESISTENZA],MATCH(BZ47,inventory[ARTICOLO],0)),"")</f>
        <v/>
      </c>
      <c r="CQ47" s="364" t="str">
        <f>IFERROR(IF(BZ47="","",IF($BX$15="SALE",INDEX(inventory[COSTO UNITARIO],MATCH(BZ47,inventory[ARTICOLO],0)),IF($BX$15="SAMPLING",INDEX(inventory[COSTO UNITARIO],MATCH(BZ47,inventory[ARTICOLO],0)),""))),"")</f>
        <v/>
      </c>
      <c r="CR47" s="368" t="str">
        <f t="shared" si="3"/>
        <v/>
      </c>
      <c r="CS47" s="264" t="str">
        <f t="shared" si="4"/>
        <v/>
      </c>
      <c r="CU47" s="432"/>
      <c r="CV47" s="432"/>
      <c r="CW47" s="432"/>
      <c r="CX47" s="432"/>
      <c r="CY47" s="432"/>
      <c r="CZ47" s="432"/>
      <c r="DA47" s="432" t="str">
        <f>IFERROR(VLOOKUP(BZ47,bhpc_data[],22,FALSE),"")</f>
        <v/>
      </c>
      <c r="EE47" s="202" t="str" cm="1">
        <f t="array" ref="EE47">IFERROR(IF($EC$9="",IF($EC$11="",IF($EC$13="",INDEX(bhpc_data[sku],SMALL(MATCH(ROW(bhpc_data[sku]),ROW(bhpc_data[sku])),ROWS($A$15:A52)+$B$3)),INDEX(bhpc_data[sku],SMALL(IF(ISNUMBER(MATCH(bhpc_data[size1],$EC$13,0)),MATCH(ROW(bhpc_data[sku]),ROW(bhpc_data[sku])),""),ROWS($A$15:A52)+$B$3))),IF($EC$13="",INDEX(bhpc_data[sku],SMALL(IF(ISNUMBER(MATCH(bhpc_data[sex],$EC$11,0)),MATCH(ROW(bhpc_data[sku]),ROW(bhpc_data[sku])),""),ROWS($A$15:A52)+$B$3)),INDEX(bhpc_data[sku],SMALL(IF(ISNUMBER(MATCH(bhpc_data[sex],$EC$11,0)*MATCH(bhpc_data[size1],$EC$13,0)),MATCH(ROW(bhpc_data[sku]),ROW(bhpc_data[sku])),""),ROWS($A$15:A52)+$B$3)))),IF($EC$11="",IF($EC$13="",INDEX(bhpc_data[sku],SMALL(IF(ISNUMBER(MATCH(bhpc_data[category],$EC$9,0)),MATCH(ROW(bhpc_data[sku]),ROW(bhpc_data[sku])),""),ROWS($A$15:A52)+$B$3)),INDEX(bhpc_data[sku],SMALL(IF(ISNUMBER(MATCH(bhpc_data[category],$EC$9,0)*MATCH(bhpc_data[size1],$EC$13,0)),MATCH(ROW(bhpc_data[sku]),ROW(bhpc_data[sku])),""),ROWS($A$15:A52)+$B$3))),IF($EC$13="",INDEX(bhpc_data[sku],SMALL(IF(ISNUMBER(MATCH(bhpc_data[category],$EC$9,0)*MATCH(bhpc_data[sex],$EC$11,0)),MATCH(ROW(bhpc_data[sku]),ROW(bhpc_data[sku])),""),ROWS($A$15:A52)+$B$3)),INDEX(bhpc_data[sku],SMALL(IF(ISNUMBER(MATCH(bhpc_data[category],$EC$9,0)*MATCH(bhpc_data[sex],$EC$11,0)*MATCH(bhpc_data[size1],$EC$13,0)),MATCH(ROW(bhpc_data[sku]),ROW(bhpc_data[sku])),""),ROWS($A$15:A52)+$B$3))))),"")</f>
        <v>P05003</v>
      </c>
      <c r="EF47" s="198" t="str" cm="1">
        <f t="array" ref="EF47">IFERROR(IF($EC$9="",IF($EC$11="",IF($EC$13="",INDEX(bhpc_data[description],SMALL(MATCH(ROW(bhpc_data[sku]),ROW(bhpc_data[sku])),ROWS($A$15:A52)+$B$3)),INDEX(bhpc_data[description],SMALL(IF(ISNUMBER(MATCH(bhpc_data[size1],$EC$13,0)),MATCH(ROW(bhpc_data[sku]),ROW(bhpc_data[sku])),""),ROWS($A$15:A52)+$B$3))),IF($EC$13="",INDEX(bhpc_data[description],SMALL(IF(ISNUMBER(MATCH(bhpc_data[sex],$EC$11,0)),MATCH(ROW(bhpc_data[sku]),ROW(bhpc_data[sku])),""),ROWS($A$15:A52)+$B$3)),INDEX(bhpc_data[description],SMALL(IF(ISNUMBER(MATCH(bhpc_data[sex],$EC$11,0)*MATCH(bhpc_data[size1],$EC$13,0)),MATCH(ROW(bhpc_data[sku]),ROW(bhpc_data[sku])),""),ROWS($A$15:A52)+$B$3)))),IF($EC$11="",IF($EC$13="",INDEX(bhpc_data[description],SMALL(IF(ISNUMBER(MATCH(bhpc_data[category],$EC$9,0)),MATCH(ROW(bhpc_data[sku]),ROW(bhpc_data[sku])),""),ROWS($A$15:A52)+$B$3)),INDEX(bhpc_data[description],SMALL(IF(ISNUMBER(MATCH(bhpc_data[category],$EC$9,0)*MATCH(bhpc_data[size1],$EC$13,0)),MATCH(ROW(bhpc_data[sku]),ROW(bhpc_data[sku])),""),ROWS($A$15:A52)+$B$3))),IF($EC$13="",INDEX(bhpc_data[description],SMALL(IF(ISNUMBER(MATCH(bhpc_data[category],$EC$9,0)*MATCH(bhpc_data[sex],$EC$11,0)),MATCH(ROW(bhpc_data[sku]),ROW(bhpc_data[sku])),""),ROWS($A$15:A52)+$B$3)),INDEX(bhpc_data[description],SMALL(IF(ISNUMBER(MATCH(bhpc_data[category],$EC$9,0)*MATCH(bhpc_data[sex],$EC$11,0)*MATCH(bhpc_data[size1],$EC$13,0)),MATCH(ROW(bhpc_data[sku]),ROW(bhpc_data[sku])),""),ROWS($A$15:A52)+$B$3))))),"")</f>
        <v>BHPC SPORT MEN 2 DEO 175ML</v>
      </c>
      <c r="EG47" s="263">
        <f>IFERROR(IF(warehouse[[#This Row],[SKU]]="","",INDEX(inventory[ESISTENZA],MATCH(warehouse[[#This Row],[SKU]],inventory[ARTICOLO],0))),"")</f>
        <v>9401</v>
      </c>
      <c r="EH47" s="328"/>
      <c r="EI47" s="328"/>
      <c r="EJ47" s="263"/>
      <c r="EK47" s="329"/>
      <c r="EO47" s="296" t="str">
        <f t="array" ref="EO47">IFERROR(INDEX(orderHistory[order_no],SMALL(IF(ISNUMBER(MATCH(orderHistory[status],$EO$7,0)),MATCH(ROW(orderHistory[order_no]),ROW(orderHistory[order_no])),""),ROWS($A$15:A52))),"")</f>
        <v/>
      </c>
    </row>
    <row r="48" spans="10:228" ht="15" customHeight="1" x14ac:dyDescent="0.35">
      <c r="J48" s="414"/>
      <c r="K48" s="414"/>
      <c r="L48" s="539" t="str">
        <f t="array" ref="L48">IFERROR(IF($D$9="",IF($D$11="",IF($D$13="",IF($D$15="",INDEX(orderHistory[customer],SMALL(MATCH(ROW(orderHistory[customer]),ROW(orderHistory[customer])),ROWS($A$15:A53)+$B$3)),INDEX(orderHistory[customer],SMALL(IF(ISNUMBER(MATCH(YEAR(orderHistory[invoice_date]),$D$15,0)),MATCH(ROW(orderHistory[customer]),ROW(orderHistory[customer])),""),ROWS($A$15:A53)+$B$3))),IF($D$15="",INDEX(orderHistory[customer],SMALL(IF(ISNUMBER(MATCH(orderHistory[order_type],$D$13,0)),MATCH(ROW(orderHistory[customer]),ROW(orderHistory[customer])),""),ROWS($A$15:A53)+$B$3)),INDEX(orderHistory[customer],SMALL(IF(ISNUMBER(MATCH(orderHistory[order_type],$D$13,0)*MATCH(YEAR(orderHistory[invoice_date]),$D$15,0)),MATCH(ROW(orderHistory[customer]),ROW(orderHistory[customer])),""),ROWS($A$15:A53)+$B$3)))),IF($D$13="",IF($D$15="",INDEX(orderHistory[customer],SMALL(IF(ISNUMBER(MATCH(orderHistory[status],$D$11,0)),MATCH(ROW(orderHistory[customer]),ROW(orderHistory[customer])),""),ROWS($A$15:A53)+$B$3)),INDEX(orderHistory[customer],SMALL(IF(ISNUMBER(MATCH(orderHistory[status],$D$11,0)*MATCH(YEAR(orderHistory[invoice_date]),$D$15,0)),MATCH(ROW(orderHistory[customer]),ROW(orderHistory[customer])),""),ROWS($A$15:A53)+$B$3))),IF($D$15="",INDEX(orderHistory[customer],SMALL(IF(ISNUMBER(MATCH(orderHistory[status],$D$11,0)*MATCH(orderHistory[order_type],$D$13,0)),MATCH(ROW(orderHistory[customer]),ROW(orderHistory[customer])),""),ROWS($A$15:A53)+$B$3)),INDEX(orderHistory[customer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customer],SMALL(IF(ISNUMBER(MATCH(orderHistory[customer],$D$9,0)),MATCH(ROW(orderHistory[customer]),ROW(orderHistory[customer])),""),ROWS($A$15:A53)+$B$3)),INDEX(orderHistory[customer],SMALL(IF(ISNUMBER(MATCH(orderHistory[customer],$D$9,0)*MATCH(YEAR(orderHistory[invoice_date]),$D$15,0)),MATCH(ROW(orderHistory[customer]),ROW(orderHistory[customer])),""),ROWS($A$15:A53)+$B$3))),IF($D$15="",INDEX(orderHistory[customer],SMALL(IF(ISNUMBER(MATCH(orderHistory[customer],$D$9,0)*MATCH(orderHistory[order_type],$D$13,0)),MATCH(ROW(orderHistory[customer]),ROW(orderHistory[customer])),""),ROWS($A$15:A53)+$B$3)),INDEX(orderHistory[customer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customer],SMALL(IF(ISNUMBER(MATCH(orderHistory[customer],$D$9,0)*MATCH(orderHistory[status],$D$11,0)),MATCH(ROW(orderHistory[customer]),ROW(orderHistory[customer])),""),ROWS($A$15:A53)+$B$3)),INDEX(orderHistory[customer],SMALL(IF(ISNUMBER(MATCH(orderHistory[customer],$D$9,0)*MATCH(orderHistory[status],$D$11,0)*MATCH(YEAR(orderHistory[invoice_date]),$D$15,0)),MATCH(ROW(orderHistory[customer]),ROW(orderHistory[customer])),""),ROWS($A$15:A53)+$B$3))),IF($D$15="",INDEX(orderHistory[customer],SMALL(IF(ISNUMBER(MATCH(orderHistory[customer],$D$9,0)*MATCH(orderHistory[status],$D$11,0)*MATCH(orderHistory[order_type],$D$13,0)),MATCH(ROW(orderHistory[customer]),ROW(orderHistory[customer])),""),ROWS($A$15:A53)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M48" s="540" t="str">
        <f t="array" ref="M48">IFERROR(IF($D$9="",IF($D$11="",IF($D$13="",IF($D$15="",INDEX(orderHistory[order_no],SMALL(MATCH(ROW(orderHistory[customer]),ROW(orderHistory[customer])),ROWS($A$15:A53)+$B$3)),INDEX(orderHistory[order_no],SMALL(IF(ISNUMBER(MATCH(YEAR(orderHistory[invoice_date]),$D$15,0)),MATCH(ROW(orderHistory[customer]),ROW(orderHistory[customer])),""),ROWS($A$15:A53)+$B$3))),IF($D$15="",INDEX(orderHistory[order_no],SMALL(IF(ISNUMBER(MATCH(orderHistory[order_type],$D$13,0)),MATCH(ROW(orderHistory[customer]),ROW(orderHistory[customer])),""),ROWS($A$15:A53)+$B$3)),INDEX(orderHistory[order_no],SMALL(IF(ISNUMBER(MATCH(orderHistory[order_type],$D$13,0)*MATCH(YEAR(orderHistory[invoice_date]),$D$15,0)),MATCH(ROW(orderHistory[customer]),ROW(orderHistory[customer])),""),ROWS($A$15:A53)+$B$3)))),IF($D$13="",IF($D$15="",INDEX(orderHistory[order_no],SMALL(IF(ISNUMBER(MATCH(orderHistory[status],$D$11,0)),MATCH(ROW(orderHistory[customer]),ROW(orderHistory[customer])),""),ROWS($A$15:A53)+$B$3)),INDEX(orderHistory[order_no],SMALL(IF(ISNUMBER(MATCH(orderHistory[status],$D$11,0)*MATCH(YEAR(orderHistory[invoice_date]),$D$15,0)),MATCH(ROW(orderHistory[customer]),ROW(orderHistory[customer])),""),ROWS($A$15:A53)+$B$3))),IF($D$15="",INDEX(orderHistory[order_no],SMALL(IF(ISNUMBER(MATCH(orderHistory[status],$D$11,0)*MATCH(orderHistory[order_type],$D$13,0)),MATCH(ROW(orderHistory[customer]),ROW(orderHistory[customer])),""),ROWS($A$15:A53)+$B$3)),INDEX(orderHistory[order_no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no],SMALL(IF(ISNUMBER(MATCH(orderHistory[customer],$D$9,0)),MATCH(ROW(orderHistory[customer]),ROW(orderHistory[customer])),""),ROWS($A$15:A53)+$B$3)),INDEX(orderHistory[order_no],SMALL(IF(ISNUMBER(MATCH(orderHistory[customer],$D$9,0)*MATCH(YEAR(orderHistory[invoice_date]),$D$15,0)),MATCH(ROW(orderHistory[customer]),ROW(orderHistory[customer])),""),ROWS($A$15:A53)+$B$3))),IF($D$15="",INDEX(orderHistory[order_no],SMALL(IF(ISNUMBER(MATCH(orderHistory[customer],$D$9,0)*MATCH(orderHistory[order_type],$D$13,0)),MATCH(ROW(orderHistory[customer]),ROW(orderHistory[customer])),""),ROWS($A$15:A53)+$B$3)),INDEX(orderHistory[order_no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no],SMALL(IF(ISNUMBER(MATCH(orderHistory[customer],$D$9,0)*MATCH(orderHistory[status],$D$11,0)),MATCH(ROW(orderHistory[customer]),ROW(orderHistory[customer])),""),ROWS($A$15:A53)+$B$3)),INDEX(orderHistory[order_no],SMALL(IF(ISNUMBER(MATCH(orderHistory[customer],$D$9,0)*MATCH(orderHistory[status],$D$11,0)*MATCH(YEAR(orderHistory[invoice_date]),$D$15,0)),MATCH(ROW(orderHistory[customer]),ROW(orderHistory[customer])),""),ROWS($A$15:A53)+$B$3))),IF($D$15="",INDEX(orderHistory[order_no],SMALL(IF(ISNUMBER(MATCH(orderHistory[customer],$D$9,0)*MATCH(orderHistory[status],$D$11,0)*MATCH(orderHistory[order_type],$D$13,0)),MATCH(ROW(orderHistory[customer]),ROW(orderHistory[customer])),""),ROWS($A$15:A53)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N48" s="541" t="str">
        <f t="array" ref="N48">IFERROR(IF($D$9="",IF($D$11="",IF($D$13="",IF($D$15="",INDEX(orderHistory[order_type],SMALL(MATCH(ROW(orderHistory[customer]),ROW(orderHistory[customer])),ROWS($A$15:A53)+$B$3)),INDEX(orderHistory[order_type],SMALL(IF(ISNUMBER(MATCH(YEAR(orderHistory[invoice_date]),$D$15,0)),MATCH(ROW(orderHistory[customer]),ROW(orderHistory[customer])),""),ROWS($A$15:A53)+$B$3))),IF($D$15="",INDEX(orderHistory[order_type],SMALL(IF(ISNUMBER(MATCH(orderHistory[order_type],$D$13,0)),MATCH(ROW(orderHistory[customer]),ROW(orderHistory[customer])),""),ROWS($A$15:A53)+$B$3)),INDEX(orderHistory[order_type],SMALL(IF(ISNUMBER(MATCH(orderHistory[order_type],$D$13,0)*MATCH(YEAR(orderHistory[invoice_date]),$D$15,0)),MATCH(ROW(orderHistory[customer]),ROW(orderHistory[customer])),""),ROWS($A$15:A53)+$B$3)))),IF($D$13="",IF($D$15="",INDEX(orderHistory[order_type],SMALL(IF(ISNUMBER(MATCH(orderHistory[status],$D$11,0)),MATCH(ROW(orderHistory[customer]),ROW(orderHistory[customer])),""),ROWS($A$15:A53)+$B$3)),INDEX(orderHistory[order_type],SMALL(IF(ISNUMBER(MATCH(orderHistory[status],$D$11,0)*MATCH(YEAR(orderHistory[invoice_date]),$D$15,0)),MATCH(ROW(orderHistory[customer]),ROW(orderHistory[customer])),""),ROWS($A$15:A53)+$B$3))),IF($D$15="",INDEX(orderHistory[order_type],SMALL(IF(ISNUMBER(MATCH(orderHistory[status],$D$11,0)*MATCH(orderHistory[order_type],$D$13,0)),MATCH(ROW(orderHistory[customer]),ROW(orderHistory[customer])),""),ROWS($A$15:A53)+$B$3)),INDEX(orderHistory[order_typ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type],SMALL(IF(ISNUMBER(MATCH(orderHistory[customer],$D$9,0)),MATCH(ROW(orderHistory[customer]),ROW(orderHistory[customer])),""),ROWS($A$15:A53)+$B$3)),INDEX(orderHistory[order_type],SMALL(IF(ISNUMBER(MATCH(orderHistory[customer],$D$9,0)*MATCH(YEAR(orderHistory[invoice_date]),$D$15,0)),MATCH(ROW(orderHistory[customer]),ROW(orderHistory[customer])),""),ROWS($A$15:A53)+$B$3))),IF($D$15="",INDEX(orderHistory[order_type],SMALL(IF(ISNUMBER(MATCH(orderHistory[customer],$D$9,0)*MATCH(orderHistory[order_type],$D$13,0)),MATCH(ROW(orderHistory[customer]),ROW(orderHistory[customer])),""),ROWS($A$15:A53)+$B$3)),INDEX(orderHistory[order_typ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type],SMALL(IF(ISNUMBER(MATCH(orderHistory[customer],$D$9,0)*MATCH(orderHistory[status],$D$11,0)),MATCH(ROW(orderHistory[customer]),ROW(orderHistory[customer])),""),ROWS($A$15:A53)+$B$3)),INDEX(orderHistory[order_type],SMALL(IF(ISNUMBER(MATCH(orderHistory[customer],$D$9,0)*MATCH(orderHistory[status],$D$11,0)*MATCH(YEAR(orderHistory[invoice_date]),$D$15,0)),MATCH(ROW(orderHistory[customer]),ROW(orderHistory[customer])),""),ROWS($A$15:A53)+$B$3))),IF($D$15="",INDEX(orderHistory[order_type],SMALL(IF(ISNUMBER(MATCH(orderHistory[customer],$D$9,0)*MATCH(orderHistory[status],$D$11,0)*MATCH(orderHistory[order_type],$D$13,0)),MATCH(ROW(orderHistory[customer]),ROW(orderHistory[customer])),""),ROWS($A$15:A53)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O48" s="542" t="str">
        <f t="array" ref="O48">IFERROR(IF($D$9="",IF($D$11="",IF($D$13="",IF($D$15="",INDEX(orderHistory[order_date],SMALL(MATCH(ROW(orderHistory[customer]),ROW(orderHistory[customer])),ROWS($A$15:A53)+$B$3)),INDEX(orderHistory[order_date],SMALL(IF(ISNUMBER(MATCH(YEAR(orderHistory[invoice_date]),$D$15,0)),MATCH(ROW(orderHistory[customer]),ROW(orderHistory[customer])),""),ROWS($A$15:A53)+$B$3))),IF($D$15="",INDEX(orderHistory[order_date],SMALL(IF(ISNUMBER(MATCH(orderHistory[order_type],$D$13,0)),MATCH(ROW(orderHistory[customer]),ROW(orderHistory[customer])),""),ROWS($A$15:A53)+$B$3)),INDEX(orderHistory[order_date],SMALL(IF(ISNUMBER(MATCH(orderHistory[order_type],$D$13,0)*MATCH(YEAR(orderHistory[invoice_date]),$D$15,0)),MATCH(ROW(orderHistory[customer]),ROW(orderHistory[customer])),""),ROWS($A$15:A53)+$B$3)))),IF($D$13="",IF($D$15="",INDEX(orderHistory[order_date],SMALL(IF(ISNUMBER(MATCH(orderHistory[status],$D$11,0)),MATCH(ROW(orderHistory[customer]),ROW(orderHistory[customer])),""),ROWS($A$15:A53)+$B$3)),INDEX(orderHistory[order_date],SMALL(IF(ISNUMBER(MATCH(orderHistory[status],$D$11,0)*MATCH(YEAR(orderHistory[invoice_date]),$D$15,0)),MATCH(ROW(orderHistory[customer]),ROW(orderHistory[customer])),""),ROWS($A$15:A53)+$B$3))),IF($D$15="",INDEX(orderHistory[order_date],SMALL(IF(ISNUMBER(MATCH(orderHistory[status],$D$11,0)*MATCH(orderHistory[order_type],$D$13,0)),MATCH(ROW(orderHistory[customer]),ROW(orderHistory[customer])),""),ROWS($A$15:A53)+$B$3)),INDEX(orderHistory[order_dat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date],SMALL(IF(ISNUMBER(MATCH(orderHistory[customer],$D$9,0)),MATCH(ROW(orderHistory[customer]),ROW(orderHistory[customer])),""),ROWS($A$15:A53)+$B$3)),INDEX(orderHistory[order_date],SMALL(IF(ISNUMBER(MATCH(orderHistory[customer],$D$9,0)*MATCH(YEAR(orderHistory[invoice_date]),$D$15,0)),MATCH(ROW(orderHistory[customer]),ROW(orderHistory[customer])),""),ROWS($A$15:A53)+$B$3))),IF($D$15="",INDEX(orderHistory[order_date],SMALL(IF(ISNUMBER(MATCH(orderHistory[customer],$D$9,0)*MATCH(orderHistory[order_type],$D$13,0)),MATCH(ROW(orderHistory[customer]),ROW(orderHistory[customer])),""),ROWS($A$15:A53)+$B$3)),INDEX(orderHistory[order_dat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date],SMALL(IF(ISNUMBER(MATCH(orderHistory[customer],$D$9,0)*MATCH(orderHistory[status],$D$11,0)),MATCH(ROW(orderHistory[customer]),ROW(orderHistory[customer])),""),ROWS($A$15:A53)+$B$3)),INDEX(orderHistory[order_date],SMALL(IF(ISNUMBER(MATCH(orderHistory[customer],$D$9,0)*MATCH(orderHistory[status],$D$11,0)*MATCH(YEAR(orderHistory[invoice_date]),$D$15,0)),MATCH(ROW(orderHistory[customer]),ROW(orderHistory[customer])),""),ROWS($A$15:A53)+$B$3))),IF($D$15="",INDEX(orderHistory[order_date],SMALL(IF(ISNUMBER(MATCH(orderHistory[customer],$D$9,0)*MATCH(orderHistory[status],$D$11,0)*MATCH(orderHistory[order_type],$D$13,0)),MATCH(ROW(orderHistory[customer]),ROW(orderHistory[customer])),""),ROWS($A$15:A53)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P48" s="543" t="str">
        <f t="array" ref="P48">IFERROR(IF($D$9="",IF($D$11="",IF($D$13="",IF($D$15="",INDEX(orderHistory[invoice_no],SMALL(MATCH(ROW(orderHistory[customer]),ROW(orderHistory[customer])),ROWS($A$15:A53)+$B$3)),INDEX(orderHistory[invoice_no],SMALL(IF(ISNUMBER(MATCH(YEAR(orderHistory[invoice_date]),$D$15,0)),MATCH(ROW(orderHistory[customer]),ROW(orderHistory[customer])),""),ROWS($A$15:A53)+$B$3))),IF($D$15="",INDEX(orderHistory[invoice_no],SMALL(IF(ISNUMBER(MATCH(orderHistory[order_type],$D$13,0)),MATCH(ROW(orderHistory[customer]),ROW(orderHistory[customer])),""),ROWS($A$15:A53)+$B$3)),INDEX(orderHistory[invoice_no],SMALL(IF(ISNUMBER(MATCH(orderHistory[order_type],$D$13,0)*MATCH(YEAR(orderHistory[invoice_date]),$D$15,0)),MATCH(ROW(orderHistory[customer]),ROW(orderHistory[customer])),""),ROWS($A$15:A53)+$B$3)))),IF($D$13="",IF($D$15="",INDEX(orderHistory[invoice_no],SMALL(IF(ISNUMBER(MATCH(orderHistory[status],$D$11,0)),MATCH(ROW(orderHistory[customer]),ROW(orderHistory[customer])),""),ROWS($A$15:A53)+$B$3)),INDEX(orderHistory[invoice_no],SMALL(IF(ISNUMBER(MATCH(orderHistory[status],$D$11,0)*MATCH(YEAR(orderHistory[invoice_date]),$D$15,0)),MATCH(ROW(orderHistory[customer]),ROW(orderHistory[customer])),""),ROWS($A$15:A53)+$B$3))),IF($D$15="",INDEX(orderHistory[invoice_no],SMALL(IF(ISNUMBER(MATCH(orderHistory[status],$D$11,0)*MATCH(orderHistory[order_type],$D$13,0)),MATCH(ROW(orderHistory[customer]),ROW(orderHistory[customer])),""),ROWS($A$15:A53)+$B$3)),INDEX(orderHistory[invoice_no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oice_no],SMALL(IF(ISNUMBER(MATCH(orderHistory[customer],$D$9,0)),MATCH(ROW(orderHistory[customer]),ROW(orderHistory[customer])),""),ROWS($A$15:A53)+$B$3)),INDEX(orderHistory[invoice_no],SMALL(IF(ISNUMBER(MATCH(orderHistory[customer],$D$9,0)*MATCH(YEAR(orderHistory[invoice_date]),$D$15,0)),MATCH(ROW(orderHistory[customer]),ROW(orderHistory[customer])),""),ROWS($A$15:A53)+$B$3))),IF($D$15="",INDEX(orderHistory[invoice_no],SMALL(IF(ISNUMBER(MATCH(orderHistory[customer],$D$9,0)*MATCH(orderHistory[order_type],$D$13,0)),MATCH(ROW(orderHistory[customer]),ROW(orderHistory[customer])),""),ROWS($A$15:A53)+$B$3)),INDEX(orderHistory[invoice_no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oice_no],SMALL(IF(ISNUMBER(MATCH(orderHistory[customer],$D$9,0)*MATCH(orderHistory[status],$D$11,0)),MATCH(ROW(orderHistory[customer]),ROW(orderHistory[customer])),""),ROWS($A$15:A53)+$B$3)),INDEX(orderHistory[invoice_no],SMALL(IF(ISNUMBER(MATCH(orderHistory[customer],$D$9,0)*MATCH(orderHistory[status],$D$11,0)*MATCH(YEAR(orderHistory[invoice_date]),$D$15,0)),MATCH(ROW(orderHistory[customer]),ROW(orderHistory[customer])),""),ROWS($A$15:A53)+$B$3))),IF($D$15="",INDEX(orderHistory[invoice_no],SMALL(IF(ISNUMBER(MATCH(orderHistory[customer],$D$9,0)*MATCH(orderHistory[status],$D$11,0)*MATCH(orderHistory[order_type],$D$13,0)),MATCH(ROW(orderHistory[customer]),ROW(orderHistory[customer])),""),ROWS($A$15:A53)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Q48" s="544" t="str">
        <f t="array" ref="Q48">IFERROR(IF($D$9="",IF($D$11="",IF($D$13="",IF($D$15="",INDEX(orderHistory[invoice_date],SMALL(MATCH(ROW(orderHistory[customer]),ROW(orderHistory[customer])),ROWS($A$15:A53)+$B$3)),INDEX(orderHistory[invoice_date],SMALL(IF(ISNUMBER(MATCH(YEAR(orderHistory[invoice_date]),$D$15,0)),MATCH(ROW(orderHistory[customer]),ROW(orderHistory[customer])),""),ROWS($A$15:A53)+$B$3))),IF($D$15="",INDEX(orderHistory[invoice_date],SMALL(IF(ISNUMBER(MATCH(orderHistory[order_type],$D$13,0)),MATCH(ROW(orderHistory[customer]),ROW(orderHistory[customer])),""),ROWS($A$15:A53)+$B$3)),INDEX(orderHistory[invoice_date],SMALL(IF(ISNUMBER(MATCH(orderHistory[order_type],$D$13,0)*MATCH(YEAR(orderHistory[invoice_date]),$D$15,0)),MATCH(ROW(orderHistory[customer]),ROW(orderHistory[customer])),""),ROWS($A$15:A53)+$B$3)))),IF($D$13="",IF($D$15="",INDEX(orderHistory[invoice_date],SMALL(IF(ISNUMBER(MATCH(orderHistory[status],$D$11,0)),MATCH(ROW(orderHistory[customer]),ROW(orderHistory[customer])),""),ROWS($A$15:A53)+$B$3)),INDEX(orderHistory[invoice_date],SMALL(IF(ISNUMBER(MATCH(orderHistory[status],$D$11,0)*MATCH(YEAR(orderHistory[invoice_date]),$D$15,0)),MATCH(ROW(orderHistory[customer]),ROW(orderHistory[customer])),""),ROWS($A$15:A53)+$B$3))),IF($D$15="",INDEX(orderHistory[invoice_date],SMALL(IF(ISNUMBER(MATCH(orderHistory[status],$D$11,0)*MATCH(orderHistory[order_type],$D$13,0)),MATCH(ROW(orderHistory[customer]),ROW(orderHistory[customer])),""),ROWS($A$15:A53)+$B$3)),INDEX(orderHistory[invoice_dat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oice_date],SMALL(IF(ISNUMBER(MATCH(orderHistory[customer],$D$9,0)),MATCH(ROW(orderHistory[customer]),ROW(orderHistory[customer])),""),ROWS($A$15:A53)+$B$3)),INDEX(orderHistory[invoice_date],SMALL(IF(ISNUMBER(MATCH(orderHistory[customer],$D$9,0)*MATCH(YEAR(orderHistory[invoice_date]),$D$15,0)),MATCH(ROW(orderHistory[customer]),ROW(orderHistory[customer])),""),ROWS($A$15:A53)+$B$3))),IF($D$15="",INDEX(orderHistory[invoice_date],SMALL(IF(ISNUMBER(MATCH(orderHistory[customer],$D$9,0)*MATCH(orderHistory[order_type],$D$13,0)),MATCH(ROW(orderHistory[customer]),ROW(orderHistory[customer])),""),ROWS($A$15:A53)+$B$3)),INDEX(orderHistory[invoice_dat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oice_date],SMALL(IF(ISNUMBER(MATCH(orderHistory[customer],$D$9,0)*MATCH(orderHistory[status],$D$11,0)),MATCH(ROW(orderHistory[customer]),ROW(orderHistory[customer])),""),ROWS($A$15:A53)+$B$3)),INDEX(orderHistory[invoice_date],SMALL(IF(ISNUMBER(MATCH(orderHistory[customer],$D$9,0)*MATCH(orderHistory[status],$D$11,0)*MATCH(YEAR(orderHistory[invoice_date]),$D$15,0)),MATCH(ROW(orderHistory[customer]),ROW(orderHistory[customer])),""),ROWS($A$15:A53)+$B$3))),IF($D$15="",INDEX(orderHistory[invoice_date],SMALL(IF(ISNUMBER(MATCH(orderHistory[customer],$D$9,0)*MATCH(orderHistory[status],$D$11,0)*MATCH(orderHistory[order_type],$D$13,0)),MATCH(ROW(orderHistory[customer]),ROW(orderHistory[customer])),""),ROWS($A$15:A53)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R48" s="545" t="str">
        <f t="array" ref="R48">IFERROR(IF($D$9="",IF($D$11="",IF($D$13="",IF($D$15="",INDEX(orderHistory[inv_amount],SMALL(MATCH(ROW(orderHistory[customer]),ROW(orderHistory[customer])),ROWS($A$15:A53)+$B$3)),INDEX(orderHistory[inv_amount],SMALL(IF(ISNUMBER(MATCH(YEAR(orderHistory[invoice_date]),$D$15,0)),MATCH(ROW(orderHistory[customer]),ROW(orderHistory[customer])),""),ROWS($A$15:A53)+$B$3))),IF($D$15="",INDEX(orderHistory[inv_amount],SMALL(IF(ISNUMBER(MATCH(orderHistory[order_type],$D$13,0)),MATCH(ROW(orderHistory[customer]),ROW(orderHistory[customer])),""),ROWS($A$15:A53)+$B$3)),INDEX(orderHistory[inv_amount],SMALL(IF(ISNUMBER(MATCH(orderHistory[order_type],$D$13,0)*MATCH(YEAR(orderHistory[invoice_date]),$D$15,0)),MATCH(ROW(orderHistory[customer]),ROW(orderHistory[customer])),""),ROWS($A$15:A53)+$B$3)))),IF($D$13="",IF($D$15="",INDEX(orderHistory[inv_amount],SMALL(IF(ISNUMBER(MATCH(orderHistory[status],$D$11,0)),MATCH(ROW(orderHistory[customer]),ROW(orderHistory[customer])),""),ROWS($A$15:A53)+$B$3)),INDEX(orderHistory[inv_amount],SMALL(IF(ISNUMBER(MATCH(orderHistory[status],$D$11,0)*MATCH(YEAR(orderHistory[invoice_date]),$D$15,0)),MATCH(ROW(orderHistory[customer]),ROW(orderHistory[customer])),""),ROWS($A$15:A53)+$B$3))),IF($D$15="",INDEX(orderHistory[inv_amount],SMALL(IF(ISNUMBER(MATCH(orderHistory[status],$D$11,0)*MATCH(orderHistory[order_type],$D$13,0)),MATCH(ROW(orderHistory[customer]),ROW(orderHistory[customer])),""),ROWS($A$15:A53)+$B$3)),INDEX(orderHistory[inv_amount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_amount],SMALL(IF(ISNUMBER(MATCH(orderHistory[customer],$D$9,0)),MATCH(ROW(orderHistory[customer]),ROW(orderHistory[customer])),""),ROWS($A$15:A53)+$B$3)),INDEX(orderHistory[inv_amount],SMALL(IF(ISNUMBER(MATCH(orderHistory[customer],$D$9,0)*MATCH(YEAR(orderHistory[invoice_date]),$D$15,0)),MATCH(ROW(orderHistory[customer]),ROW(orderHistory[customer])),""),ROWS($A$15:A53)+$B$3))),IF($D$15="",INDEX(orderHistory[inv_amount],SMALL(IF(ISNUMBER(MATCH(orderHistory[customer],$D$9,0)*MATCH(orderHistory[order_type],$D$13,0)),MATCH(ROW(orderHistory[customer]),ROW(orderHistory[customer])),""),ROWS($A$15:A53)+$B$3)),INDEX(orderHistory[inv_amount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_amount],SMALL(IF(ISNUMBER(MATCH(orderHistory[customer],$D$9,0)*MATCH(orderHistory[status],$D$11,0)),MATCH(ROW(orderHistory[customer]),ROW(orderHistory[customer])),""),ROWS($A$15:A53)+$B$3)),INDEX(orderHistory[inv_amount],SMALL(IF(ISNUMBER(MATCH(orderHistory[customer],$D$9,0)*MATCH(orderHistory[status],$D$11,0)*MATCH(YEAR(orderHistory[inv_amount]),$D$15,0)),MATCH(ROW(orderHistory[customer]),ROW(orderHistory[customer])),""),ROWS($A$15:A53)+$B$3))),IF($D$15="",INDEX(orderHistory[inv_amount],SMALL(IF(ISNUMBER(MATCH(orderHistory[customer],$D$9,0)*MATCH(orderHistory[status],$D$11,0)*MATCH(orderHistory[order_type],$D$13,0)),MATCH(ROW(orderHistory[customer]),ROW(orderHistory[customer])),""),ROWS($A$15:A53)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S48" s="546" t="str">
        <f t="shared" si="2"/>
        <v/>
      </c>
      <c r="T48" s="547" t="str">
        <f t="array" ref="T48">IFERROR(IF($D$9="",IF($D$11="",IF($D$13="",IF($D$15="",INDEX(orderHistory[payed],SMALL(MATCH(ROW(orderHistory[customer]),ROW(orderHistory[customer])),ROWS($A$15:A53)+$B$3)),INDEX(orderHistory[payed],SMALL(IF(ISNUMBER(MATCH(YEAR(orderHistory[invoice_date]),$D$15,0)),MATCH(ROW(orderHistory[customer]),ROW(orderHistory[customer])),""),ROWS($A$15:A53)+$B$3))),IF($D$15="",INDEX(orderHistory[payed],SMALL(IF(ISNUMBER(MATCH(orderHistory[order_type],$D$13,0)),MATCH(ROW(orderHistory[customer]),ROW(orderHistory[customer])),""),ROWS($A$15:A53)+$B$3)),INDEX(orderHistory[payed],SMALL(IF(ISNUMBER(MATCH(orderHistory[order_type],$D$13,0)*MATCH(YEAR(orderHistory[invoice_date]),$D$15,0)),MATCH(ROW(orderHistory[customer]),ROW(orderHistory[customer])),""),ROWS($A$15:A53)+$B$3)))),IF($D$13="",IF($D$15="",INDEX(orderHistory[payed],SMALL(IF(ISNUMBER(MATCH(orderHistory[status],$D$11,0)),MATCH(ROW(orderHistory[customer]),ROW(orderHistory[customer])),""),ROWS($A$15:A53)+$B$3)),INDEX(orderHistory[payed],SMALL(IF(ISNUMBER(MATCH(orderHistory[status],$D$11,0)*MATCH(YEAR(orderHistory[invoice_date]),$D$15,0)),MATCH(ROW(orderHistory[customer]),ROW(orderHistory[customer])),""),ROWS($A$15:A53)+$B$3))),IF($D$15="",INDEX(orderHistory[payed],SMALL(IF(ISNUMBER(MATCH(orderHistory[status],$D$11,0)*MATCH(orderHistory[order_type],$D$13,0)),MATCH(ROW(orderHistory[customer]),ROW(orderHistory[customer])),""),ROWS($A$15:A53)+$B$3)),INDEX(orderHistory[payed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payed],SMALL(IF(ISNUMBER(MATCH(orderHistory[customer],$D$9,0)),MATCH(ROW(orderHistory[customer]),ROW(orderHistory[customer])),""),ROWS($A$15:A53)+$B$3)),INDEX(orderHistory[payed],SMALL(IF(ISNUMBER(MATCH(orderHistory[customer],$D$9,0)*MATCH(YEAR(orderHistory[invoice_date]),$D$15,0)),MATCH(ROW(orderHistory[customer]),ROW(orderHistory[customer])),""),ROWS($A$15:A53)+$B$3))),IF($D$15="",INDEX(orderHistory[payed],SMALL(IF(ISNUMBER(MATCH(orderHistory[customer],$D$9,0)*MATCH(orderHistory[order_type],$D$13,0)),MATCH(ROW(orderHistory[customer]),ROW(orderHistory[customer])),""),ROWS($A$15:A53)+$B$3)),INDEX(orderHistory[payed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payed],SMALL(IF(ISNUMBER(MATCH(orderHistory[customer],$D$9,0)*MATCH(orderHistory[status],$D$11,0)),MATCH(ROW(orderHistory[customer]),ROW(orderHistory[customer])),""),ROWS($A$15:A53)+$B$3)),INDEX(orderHistory[payed],SMALL(IF(ISNUMBER(MATCH(orderHistory[customer],$D$9,0)*MATCH(orderHistory[status],$D$11,0)*MATCH(YEAR(orderHistory[payed]),$D$15,0)),MATCH(ROW(orderHistory[customer]),ROW(orderHistory[customer])),""),ROWS($A$15:A53)+$B$3))),IF($D$15="",INDEX(orderHistory[payed],SMALL(IF(ISNUMBER(MATCH(orderHistory[customer],$D$9,0)*MATCH(orderHistory[status],$D$11,0)*MATCH(orderHistory[order_type],$D$13,0)),MATCH(ROW(orderHistory[customer]),ROW(orderHistory[customer])),""),ROWS($A$15:A53)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U48" s="541" t="str">
        <f t="array" ref="U48">IFERROR(IF($D$9="",IF($D$11="",IF($D$13="",IF($D$15="",INDEX(orderHistory[shipping_method],SMALL(MATCH(ROW(orderHistory[customer]),ROW(orderHistory[customer])),ROWS($A$15:A53)+$B$3)),INDEX(orderHistory[shipping_method],SMALL(IF(ISNUMBER(MATCH(YEAR(orderHistory[invoice_date]),$D$15,0)),MATCH(ROW(orderHistory[customer]),ROW(orderHistory[customer])),""),ROWS($A$15:A53)+$B$3))),IF($D$15="",INDEX(orderHistory[shipping_method],SMALL(IF(ISNUMBER(MATCH(orderHistory[order_type],$D$13,0)),MATCH(ROW(orderHistory[customer]),ROW(orderHistory[customer])),""),ROWS($A$15:A53)+$B$3)),INDEX(orderHistory[shipping_method],SMALL(IF(ISNUMBER(MATCH(orderHistory[order_type],$D$13,0)*MATCH(YEAR(orderHistory[invoice_date]),$D$15,0)),MATCH(ROW(orderHistory[customer]),ROW(orderHistory[customer])),""),ROWS($A$15:A53)+$B$3)))),IF($D$13="",IF($D$15="",INDEX(orderHistory[shipping_method],SMALL(IF(ISNUMBER(MATCH(orderHistory[status],$D$11,0)),MATCH(ROW(orderHistory[customer]),ROW(orderHistory[customer])),""),ROWS($A$15:A53)+$B$3)),INDEX(orderHistory[shipping_method],SMALL(IF(ISNUMBER(MATCH(orderHistory[status],$D$11,0)*MATCH(YEAR(orderHistory[invoice_date]),$D$15,0)),MATCH(ROW(orderHistory[customer]),ROW(orderHistory[customer])),""),ROWS($A$15:A53)+$B$3))),IF($D$15="",INDEX(orderHistory[shipping_method],SMALL(IF(ISNUMBER(MATCH(orderHistory[status],$D$11,0)*MATCH(orderHistory[order_type],$D$13,0)),MATCH(ROW(orderHistory[customer]),ROW(orderHistory[customer])),""),ROWS($A$15:A53)+$B$3)),INDEX(orderHistory[shipping_method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shipping_method],SMALL(IF(ISNUMBER(MATCH(orderHistory[customer],$D$9,0)),MATCH(ROW(orderHistory[customer]),ROW(orderHistory[customer])),""),ROWS($A$15:A53)+$B$3)),INDEX(orderHistory[shipping_method],SMALL(IF(ISNUMBER(MATCH(orderHistory[customer],$D$9,0)*MATCH(YEAR(orderHistory[invoice_date]),$D$15,0)),MATCH(ROW(orderHistory[customer]),ROW(orderHistory[customer])),""),ROWS($A$15:A53)+$B$3))),IF($D$15="",INDEX(orderHistory[shipping_method],SMALL(IF(ISNUMBER(MATCH(orderHistory[customer],$D$9,0)*MATCH(orderHistory[order_type],$D$13,0)),MATCH(ROW(orderHistory[customer]),ROW(orderHistory[customer])),""),ROWS($A$15:A53)+$B$3)),INDEX(orderHistory[shipping_method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shipping_method],SMALL(IF(ISNUMBER(MATCH(orderHistory[customer],$D$9,0)*MATCH(orderHistory[status],$D$11,0)),MATCH(ROW(orderHistory[customer]),ROW(orderHistory[customer])),""),ROWS($A$15:A53)+$B$3)),INDEX(orderHistory[shipping_method],SMALL(IF(ISNUMBER(MATCH(orderHistory[customer],$D$9,0)*MATCH(orderHistory[status],$D$11,0)*MATCH(YEAR(orderHistory[shipping_method]),$D$15,0)),MATCH(ROW(orderHistory[customer]),ROW(orderHistory[customer])),""),ROWS($A$15:A53)+$B$3))),IF($D$15="",INDEX(orderHistory[shipping_method],SMALL(IF(ISNUMBER(MATCH(orderHistory[customer],$D$9,0)*MATCH(orderHistory[status],$D$11,0)*MATCH(orderHistory[order_type],$D$13,0)),MATCH(ROW(orderHistory[customer]),ROW(orderHistory[customer])),""),ROWS($A$15:A53)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V48" s="548" t="str">
        <f t="array" ref="V48">IFERROR(IF($D$9="",IF($D$11="",IF($D$13="",IF($D$15="",INDEX(orderHistory[status],SMALL(MATCH(ROW(orderHistory[customer]),ROW(orderHistory[customer])),ROWS($A$15:A53)+$B$3)),INDEX(orderHistory[status],SMALL(IF(ISNUMBER(MATCH(YEAR(orderHistory[invoice_date]),$D$15,0)),MATCH(ROW(orderHistory[customer]),ROW(orderHistory[customer])),""),ROWS($A$15:A53)+$B$3))),IF($D$15="",INDEX(orderHistory[status],SMALL(IF(ISNUMBER(MATCH(orderHistory[order_type],$D$13,0)),MATCH(ROW(orderHistory[customer]),ROW(orderHistory[customer])),""),ROWS($A$15:A53)+$B$3)),INDEX(orderHistory[status],SMALL(IF(ISNUMBER(MATCH(orderHistory[order_type],$D$13,0)*MATCH(YEAR(orderHistory[invoice_date]),$D$15,0)),MATCH(ROW(orderHistory[customer]),ROW(orderHistory[customer])),""),ROWS($A$15:A53)+$B$3)))),IF($D$13="",IF($D$15="",INDEX(orderHistory[status],SMALL(IF(ISNUMBER(MATCH(orderHistory[status],$D$11,0)),MATCH(ROW(orderHistory[customer]),ROW(orderHistory[customer])),""),ROWS($A$15:A53)+$B$3)),INDEX(orderHistory[status],SMALL(IF(ISNUMBER(MATCH(orderHistory[status],$D$11,0)*MATCH(YEAR(orderHistory[invoice_date]),$D$15,0)),MATCH(ROW(orderHistory[customer]),ROW(orderHistory[customer])),""),ROWS($A$15:A53)+$B$3))),IF($D$15="",INDEX(orderHistory[status],SMALL(IF(ISNUMBER(MATCH(orderHistory[status],$D$11,0)*MATCH(orderHistory[order_type],$D$13,0)),MATCH(ROW(orderHistory[customer]),ROW(orderHistory[customer])),""),ROWS($A$15:A53)+$B$3)),INDEX(orderHistory[status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status],SMALL(IF(ISNUMBER(MATCH(orderHistory[customer],$D$9,0)),MATCH(ROW(orderHistory[customer]),ROW(orderHistory[customer])),""),ROWS($A$15:A53)+$B$3)),INDEX(orderHistory[status],SMALL(IF(ISNUMBER(MATCH(orderHistory[customer],$D$9,0)*MATCH(YEAR(orderHistory[invoice_date]),$D$15,0)),MATCH(ROW(orderHistory[customer]),ROW(orderHistory[customer])),""),ROWS($A$15:A53)+$B$3))),IF($D$15="",INDEX(orderHistory[status],SMALL(IF(ISNUMBER(MATCH(orderHistory[customer],$D$9,0)*MATCH(orderHistory[order_type],$D$13,0)),MATCH(ROW(orderHistory[customer]),ROW(orderHistory[customer])),""),ROWS($A$15:A53)+$B$3)),INDEX(orderHistory[status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status],SMALL(IF(ISNUMBER(MATCH(orderHistory[customer],$D$9,0)*MATCH(orderHistory[status],$D$11,0)),MATCH(ROW(orderHistory[customer]),ROW(orderHistory[customer])),""),ROWS($A$15:A53)+$B$3)),INDEX(orderHistory[status],SMALL(IF(ISNUMBER(MATCH(orderHistory[customer],$D$9,0)*MATCH(orderHistory[status],$D$11,0)*MATCH(YEAR(orderHistory[status]),$D$15,0)),MATCH(ROW(orderHistory[customer]),ROW(orderHistory[customer])),""),ROWS($A$15:A53)+$B$3))),IF($D$15="",INDEX(orderHistory[status],SMALL(IF(ISNUMBER(MATCH(orderHistory[customer],$D$9,0)*MATCH(orderHistory[status],$D$11,0)*MATCH(orderHistory[order_type],$D$13,0)),MATCH(ROW(orderHistory[customer]),ROW(orderHistory[customer])),""),ROWS($A$15:A53)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W48" s="327"/>
      <c r="X48" s="414"/>
      <c r="BG48" s="296"/>
      <c r="BK48" s="450"/>
      <c r="BL48" s="451"/>
      <c r="BM48" s="452"/>
      <c r="BN48" s="451"/>
      <c r="BO48" s="452"/>
      <c r="BZ48" s="167"/>
      <c r="CA48" s="154" t="str">
        <f>IF(BZ48="","",INDEX(bhpc_data[description],MATCH(BZ48,bhpc_data[sku],0)))</f>
        <v/>
      </c>
      <c r="CB48" s="166"/>
      <c r="CC48" s="357"/>
      <c r="CD48" s="160"/>
      <c r="CE48" s="360"/>
      <c r="CF48" s="161"/>
      <c r="CG48" s="164" t="str">
        <f>IFERROR(ROUNDUP(CB48/INDEX(bhpc_data[units_per_carton],MATCH(BZ48,bhpc_data[sku],0)),0),"")</f>
        <v/>
      </c>
      <c r="CH48" s="165" t="str">
        <f>IFERROR(ROUNDUP(CD48/INDEX(bhpc_data[units_per_carton],MATCH(BZ48,bhpc_data[sku],0)),0),"")</f>
        <v/>
      </c>
      <c r="CI48" s="165" t="str">
        <f>IFERROR(ROUNDUP(CF48/INDEX(bhpc_data[units_per_carton],MATCH(BZ48,bhpc_data[sku])),0),"")</f>
        <v/>
      </c>
      <c r="CJ48" s="165" t="str">
        <f>IFERROR(((CB48+CD48+CF48)/INDEX(bhpc_data[units_per_carton],MATCH(BZ48,bhpc_data[sku],0)))*INDEX(bhpc_data[net_weight],MATCH(BZ48,bhpc_data[sku],0)),"")</f>
        <v/>
      </c>
      <c r="CK48" s="165" t="str">
        <f>IFERROR(((CB48+CD48+CF48)/INDEX(bhpc_data[units_per_carton],MATCH(BZ48,bhpc_data[sku],0)))*INDEX(bhpc_data[gross_weight],MATCH(BZ48,bhpc_data[sku],0)),"")</f>
        <v/>
      </c>
      <c r="CL48" s="180" t="str">
        <f>IFERROR((CB48+CD48+CF48)/INDEX(bhpc_data[units_per_carton],MATCH(BZ48,bhpc_data[sku],0))*INDEX(bhpc_data[lenght],MATCH(BZ48,bhpc_data[sku],0))*INDEX(bhpc_data[width],MATCH(BZ48,bhpc_data[sku],0))*INDEX(bhpc_data[height],MATCH(BZ48,bhpc_data[sku],0))/1000000000,"")</f>
        <v/>
      </c>
      <c r="CM48" s="189" t="str">
        <f>IFERROR(INDEX(bhpc_data[category],MATCH(BZ48,bhpc_data[sku],0)),"")</f>
        <v/>
      </c>
      <c r="CN48" s="189" t="str">
        <f>IFERROR(INDEX(bhpc_data[size1],MATCH(BZ48,bhpc_data[sku],0)),"")</f>
        <v/>
      </c>
      <c r="CO48" s="388" t="str">
        <f>IFERROR(INDEX(bhpc_data[hs_code],MATCH(BZ48,bhpc_data[sku],0)),"")</f>
        <v/>
      </c>
      <c r="CP48" s="377" t="str">
        <f>IFERROR(INDEX(inventory[ESISTENZA],MATCH(BZ48,inventory[ARTICOLO],0)),"")</f>
        <v/>
      </c>
      <c r="CQ48" s="364" t="str">
        <f>IFERROR(IF(BZ48="","",IF($BX$15="SALE",INDEX(inventory[COSTO UNITARIO],MATCH(BZ48,inventory[ARTICOLO],0)),IF($BX$15="SAMPLING",INDEX(inventory[COSTO UNITARIO],MATCH(BZ48,inventory[ARTICOLO],0)),""))),"")</f>
        <v/>
      </c>
      <c r="CR48" s="365" t="str">
        <f t="shared" si="3"/>
        <v/>
      </c>
      <c r="CS48" s="264" t="str">
        <f t="shared" si="4"/>
        <v/>
      </c>
      <c r="CU48" s="432"/>
      <c r="CV48" s="432"/>
      <c r="CW48" s="432"/>
      <c r="CX48" s="432"/>
      <c r="CY48" s="432"/>
      <c r="CZ48" s="432"/>
      <c r="DA48" s="432" t="str">
        <f>IFERROR(VLOOKUP(BZ48,bhpc_data[],22,FALSE),"")</f>
        <v/>
      </c>
      <c r="EE48" s="202" t="str" cm="1">
        <f t="array" ref="EE48">IFERROR(IF($EC$9="",IF($EC$11="",IF($EC$13="",INDEX(bhpc_data[sku],SMALL(MATCH(ROW(bhpc_data[sku]),ROW(bhpc_data[sku])),ROWS($A$15:A53)+$B$3)),INDEX(bhpc_data[sku],SMALL(IF(ISNUMBER(MATCH(bhpc_data[size1],$EC$13,0)),MATCH(ROW(bhpc_data[sku]),ROW(bhpc_data[sku])),""),ROWS($A$15:A53)+$B$3))),IF($EC$13="",INDEX(bhpc_data[sku],SMALL(IF(ISNUMBER(MATCH(bhpc_data[sex],$EC$11,0)),MATCH(ROW(bhpc_data[sku]),ROW(bhpc_data[sku])),""),ROWS($A$15:A53)+$B$3)),INDEX(bhpc_data[sku],SMALL(IF(ISNUMBER(MATCH(bhpc_data[sex],$EC$11,0)*MATCH(bhpc_data[size1],$EC$13,0)),MATCH(ROW(bhpc_data[sku]),ROW(bhpc_data[sku])),""),ROWS($A$15:A53)+$B$3)))),IF($EC$11="",IF($EC$13="",INDEX(bhpc_data[sku],SMALL(IF(ISNUMBER(MATCH(bhpc_data[category],$EC$9,0)),MATCH(ROW(bhpc_data[sku]),ROW(bhpc_data[sku])),""),ROWS($A$15:A53)+$B$3)),INDEX(bhpc_data[sku],SMALL(IF(ISNUMBER(MATCH(bhpc_data[category],$EC$9,0)*MATCH(bhpc_data[size1],$EC$13,0)),MATCH(ROW(bhpc_data[sku]),ROW(bhpc_data[sku])),""),ROWS($A$15:A53)+$B$3))),IF($EC$13="",INDEX(bhpc_data[sku],SMALL(IF(ISNUMBER(MATCH(bhpc_data[category],$EC$9,0)*MATCH(bhpc_data[sex],$EC$11,0)),MATCH(ROW(bhpc_data[sku]),ROW(bhpc_data[sku])),""),ROWS($A$15:A53)+$B$3)),INDEX(bhpc_data[sku],SMALL(IF(ISNUMBER(MATCH(bhpc_data[category],$EC$9,0)*MATCH(bhpc_data[sex],$EC$11,0)*MATCH(bhpc_data[size1],$EC$13,0)),MATCH(ROW(bhpc_data[sku]),ROW(bhpc_data[sku])),""),ROWS($A$15:A53)+$B$3))))),"")</f>
        <v>P05004</v>
      </c>
      <c r="EF48" s="198" t="str" cm="1">
        <f t="array" ref="EF48">IFERROR(IF($EC$9="",IF($EC$11="",IF($EC$13="",INDEX(bhpc_data[description],SMALL(MATCH(ROW(bhpc_data[sku]),ROW(bhpc_data[sku])),ROWS($A$15:A53)+$B$3)),INDEX(bhpc_data[description],SMALL(IF(ISNUMBER(MATCH(bhpc_data[size1],$EC$13,0)),MATCH(ROW(bhpc_data[sku]),ROW(bhpc_data[sku])),""),ROWS($A$15:A53)+$B$3))),IF($EC$13="",INDEX(bhpc_data[description],SMALL(IF(ISNUMBER(MATCH(bhpc_data[sex],$EC$11,0)),MATCH(ROW(bhpc_data[sku]),ROW(bhpc_data[sku])),""),ROWS($A$15:A53)+$B$3)),INDEX(bhpc_data[description],SMALL(IF(ISNUMBER(MATCH(bhpc_data[sex],$EC$11,0)*MATCH(bhpc_data[size1],$EC$13,0)),MATCH(ROW(bhpc_data[sku]),ROW(bhpc_data[sku])),""),ROWS($A$15:A53)+$B$3)))),IF($EC$11="",IF($EC$13="",INDEX(bhpc_data[description],SMALL(IF(ISNUMBER(MATCH(bhpc_data[category],$EC$9,0)),MATCH(ROW(bhpc_data[sku]),ROW(bhpc_data[sku])),""),ROWS($A$15:A53)+$B$3)),INDEX(bhpc_data[description],SMALL(IF(ISNUMBER(MATCH(bhpc_data[category],$EC$9,0)*MATCH(bhpc_data[size1],$EC$13,0)),MATCH(ROW(bhpc_data[sku]),ROW(bhpc_data[sku])),""),ROWS($A$15:A53)+$B$3))),IF($EC$13="",INDEX(bhpc_data[description],SMALL(IF(ISNUMBER(MATCH(bhpc_data[category],$EC$9,0)*MATCH(bhpc_data[sex],$EC$11,0)),MATCH(ROW(bhpc_data[sku]),ROW(bhpc_data[sku])),""),ROWS($A$15:A53)+$B$3)),INDEX(bhpc_data[description],SMALL(IF(ISNUMBER(MATCH(bhpc_data[category],$EC$9,0)*MATCH(bhpc_data[sex],$EC$11,0)*MATCH(bhpc_data[size1],$EC$13,0)),MATCH(ROW(bhpc_data[sku]),ROW(bhpc_data[sku])),""),ROWS($A$15:A53)+$B$3))))),"")</f>
        <v>BHPC SPORT MEN 1 EDT 100ML</v>
      </c>
      <c r="EG48" s="263">
        <f>IFERROR(IF(warehouse[[#This Row],[SKU]]="","",INDEX(inventory[ESISTENZA],MATCH(warehouse[[#This Row],[SKU]],inventory[ARTICOLO],0))),"")</f>
        <v>13057</v>
      </c>
      <c r="EH48" s="328"/>
      <c r="EI48" s="328"/>
      <c r="EJ48" s="263"/>
      <c r="EK48" s="329"/>
      <c r="EO48" s="296" t="str">
        <f t="array" ref="EO48">IFERROR(INDEX(orderHistory[order_no],SMALL(IF(ISNUMBER(MATCH(orderHistory[status],$EO$7,0)),MATCH(ROW(orderHistory[order_no]),ROW(orderHistory[order_no])),""),ROWS($A$15:A53))),"")</f>
        <v/>
      </c>
    </row>
    <row r="49" spans="10:145" ht="15" customHeight="1" x14ac:dyDescent="0.35">
      <c r="J49" s="414"/>
      <c r="K49" s="414"/>
      <c r="L49" s="539" t="str">
        <f t="array" ref="L49">IFERROR(IF($D$9="",IF($D$11="",IF($D$13="",IF($D$15="",INDEX(orderHistory[customer],SMALL(MATCH(ROW(orderHistory[customer]),ROW(orderHistory[customer])),ROWS($A$15:A54)+$B$3)),INDEX(orderHistory[customer],SMALL(IF(ISNUMBER(MATCH(YEAR(orderHistory[invoice_date]),$D$15,0)),MATCH(ROW(orderHistory[customer]),ROW(orderHistory[customer])),""),ROWS($A$15:A54)+$B$3))),IF($D$15="",INDEX(orderHistory[customer],SMALL(IF(ISNUMBER(MATCH(orderHistory[order_type],$D$13,0)),MATCH(ROW(orderHistory[customer]),ROW(orderHistory[customer])),""),ROWS($A$15:A54)+$B$3)),INDEX(orderHistory[customer],SMALL(IF(ISNUMBER(MATCH(orderHistory[order_type],$D$13,0)*MATCH(YEAR(orderHistory[invoice_date]),$D$15,0)),MATCH(ROW(orderHistory[customer]),ROW(orderHistory[customer])),""),ROWS($A$15:A54)+$B$3)))),IF($D$13="",IF($D$15="",INDEX(orderHistory[customer],SMALL(IF(ISNUMBER(MATCH(orderHistory[status],$D$11,0)),MATCH(ROW(orderHistory[customer]),ROW(orderHistory[customer])),""),ROWS($A$15:A54)+$B$3)),INDEX(orderHistory[customer],SMALL(IF(ISNUMBER(MATCH(orderHistory[status],$D$11,0)*MATCH(YEAR(orderHistory[invoice_date]),$D$15,0)),MATCH(ROW(orderHistory[customer]),ROW(orderHistory[customer])),""),ROWS($A$15:A54)+$B$3))),IF($D$15="",INDEX(orderHistory[customer],SMALL(IF(ISNUMBER(MATCH(orderHistory[status],$D$11,0)*MATCH(orderHistory[order_type],$D$13,0)),MATCH(ROW(orderHistory[customer]),ROW(orderHistory[customer])),""),ROWS($A$15:A54)+$B$3)),INDEX(orderHistory[customer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customer],SMALL(IF(ISNUMBER(MATCH(orderHistory[customer],$D$9,0)),MATCH(ROW(orderHistory[customer]),ROW(orderHistory[customer])),""),ROWS($A$15:A54)+$B$3)),INDEX(orderHistory[customer],SMALL(IF(ISNUMBER(MATCH(orderHistory[customer],$D$9,0)*MATCH(YEAR(orderHistory[invoice_date]),$D$15,0)),MATCH(ROW(orderHistory[customer]),ROW(orderHistory[customer])),""),ROWS($A$15:A54)+$B$3))),IF($D$15="",INDEX(orderHistory[customer],SMALL(IF(ISNUMBER(MATCH(orderHistory[customer],$D$9,0)*MATCH(orderHistory[order_type],$D$13,0)),MATCH(ROW(orderHistory[customer]),ROW(orderHistory[customer])),""),ROWS($A$15:A54)+$B$3)),INDEX(orderHistory[customer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customer],SMALL(IF(ISNUMBER(MATCH(orderHistory[customer],$D$9,0)*MATCH(orderHistory[status],$D$11,0)),MATCH(ROW(orderHistory[customer]),ROW(orderHistory[customer])),""),ROWS($A$15:A54)+$B$3)),INDEX(orderHistory[customer],SMALL(IF(ISNUMBER(MATCH(orderHistory[customer],$D$9,0)*MATCH(orderHistory[status],$D$11,0)*MATCH(YEAR(orderHistory[invoice_date]),$D$15,0)),MATCH(ROW(orderHistory[customer]),ROW(orderHistory[customer])),""),ROWS($A$15:A54)+$B$3))),IF($D$15="",INDEX(orderHistory[customer],SMALL(IF(ISNUMBER(MATCH(orderHistory[customer],$D$9,0)*MATCH(orderHistory[status],$D$11,0)*MATCH(orderHistory[order_type],$D$13,0)),MATCH(ROW(orderHistory[customer]),ROW(orderHistory[customer])),""),ROWS($A$15:A54)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M49" s="540" t="str">
        <f t="array" ref="M49">IFERROR(IF($D$9="",IF($D$11="",IF($D$13="",IF($D$15="",INDEX(orderHistory[order_no],SMALL(MATCH(ROW(orderHistory[customer]),ROW(orderHistory[customer])),ROWS($A$15:A54)+$B$3)),INDEX(orderHistory[order_no],SMALL(IF(ISNUMBER(MATCH(YEAR(orderHistory[invoice_date]),$D$15,0)),MATCH(ROW(orderHistory[customer]),ROW(orderHistory[customer])),""),ROWS($A$15:A54)+$B$3))),IF($D$15="",INDEX(orderHistory[order_no],SMALL(IF(ISNUMBER(MATCH(orderHistory[order_type],$D$13,0)),MATCH(ROW(orderHistory[customer]),ROW(orderHistory[customer])),""),ROWS($A$15:A54)+$B$3)),INDEX(orderHistory[order_no],SMALL(IF(ISNUMBER(MATCH(orderHistory[order_type],$D$13,0)*MATCH(YEAR(orderHistory[invoice_date]),$D$15,0)),MATCH(ROW(orderHistory[customer]),ROW(orderHistory[customer])),""),ROWS($A$15:A54)+$B$3)))),IF($D$13="",IF($D$15="",INDEX(orderHistory[order_no],SMALL(IF(ISNUMBER(MATCH(orderHistory[status],$D$11,0)),MATCH(ROW(orderHistory[customer]),ROW(orderHistory[customer])),""),ROWS($A$15:A54)+$B$3)),INDEX(orderHistory[order_no],SMALL(IF(ISNUMBER(MATCH(orderHistory[status],$D$11,0)*MATCH(YEAR(orderHistory[invoice_date]),$D$15,0)),MATCH(ROW(orderHistory[customer]),ROW(orderHistory[customer])),""),ROWS($A$15:A54)+$B$3))),IF($D$15="",INDEX(orderHistory[order_no],SMALL(IF(ISNUMBER(MATCH(orderHistory[status],$D$11,0)*MATCH(orderHistory[order_type],$D$13,0)),MATCH(ROW(orderHistory[customer]),ROW(orderHistory[customer])),""),ROWS($A$15:A54)+$B$3)),INDEX(orderHistory[order_no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no],SMALL(IF(ISNUMBER(MATCH(orderHistory[customer],$D$9,0)),MATCH(ROW(orderHistory[customer]),ROW(orderHistory[customer])),""),ROWS($A$15:A54)+$B$3)),INDEX(orderHistory[order_no],SMALL(IF(ISNUMBER(MATCH(orderHistory[customer],$D$9,0)*MATCH(YEAR(orderHistory[invoice_date]),$D$15,0)),MATCH(ROW(orderHistory[customer]),ROW(orderHistory[customer])),""),ROWS($A$15:A54)+$B$3))),IF($D$15="",INDEX(orderHistory[order_no],SMALL(IF(ISNUMBER(MATCH(orderHistory[customer],$D$9,0)*MATCH(orderHistory[order_type],$D$13,0)),MATCH(ROW(orderHistory[customer]),ROW(orderHistory[customer])),""),ROWS($A$15:A54)+$B$3)),INDEX(orderHistory[order_no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no],SMALL(IF(ISNUMBER(MATCH(orderHistory[customer],$D$9,0)*MATCH(orderHistory[status],$D$11,0)),MATCH(ROW(orderHistory[customer]),ROW(orderHistory[customer])),""),ROWS($A$15:A54)+$B$3)),INDEX(orderHistory[order_no],SMALL(IF(ISNUMBER(MATCH(orderHistory[customer],$D$9,0)*MATCH(orderHistory[status],$D$11,0)*MATCH(YEAR(orderHistory[invoice_date]),$D$15,0)),MATCH(ROW(orderHistory[customer]),ROW(orderHistory[customer])),""),ROWS($A$15:A54)+$B$3))),IF($D$15="",INDEX(orderHistory[order_no],SMALL(IF(ISNUMBER(MATCH(orderHistory[customer],$D$9,0)*MATCH(orderHistory[status],$D$11,0)*MATCH(orderHistory[order_type],$D$13,0)),MATCH(ROW(orderHistory[customer]),ROW(orderHistory[customer])),""),ROWS($A$15:A54)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N49" s="541" t="str">
        <f t="array" ref="N49">IFERROR(IF($D$9="",IF($D$11="",IF($D$13="",IF($D$15="",INDEX(orderHistory[order_type],SMALL(MATCH(ROW(orderHistory[customer]),ROW(orderHistory[customer])),ROWS($A$15:A54)+$B$3)),INDEX(orderHistory[order_type],SMALL(IF(ISNUMBER(MATCH(YEAR(orderHistory[invoice_date]),$D$15,0)),MATCH(ROW(orderHistory[customer]),ROW(orderHistory[customer])),""),ROWS($A$15:A54)+$B$3))),IF($D$15="",INDEX(orderHistory[order_type],SMALL(IF(ISNUMBER(MATCH(orderHistory[order_type],$D$13,0)),MATCH(ROW(orderHistory[customer]),ROW(orderHistory[customer])),""),ROWS($A$15:A54)+$B$3)),INDEX(orderHistory[order_type],SMALL(IF(ISNUMBER(MATCH(orderHistory[order_type],$D$13,0)*MATCH(YEAR(orderHistory[invoice_date]),$D$15,0)),MATCH(ROW(orderHistory[customer]),ROW(orderHistory[customer])),""),ROWS($A$15:A54)+$B$3)))),IF($D$13="",IF($D$15="",INDEX(orderHistory[order_type],SMALL(IF(ISNUMBER(MATCH(orderHistory[status],$D$11,0)),MATCH(ROW(orderHistory[customer]),ROW(orderHistory[customer])),""),ROWS($A$15:A54)+$B$3)),INDEX(orderHistory[order_type],SMALL(IF(ISNUMBER(MATCH(orderHistory[status],$D$11,0)*MATCH(YEAR(orderHistory[invoice_date]),$D$15,0)),MATCH(ROW(orderHistory[customer]),ROW(orderHistory[customer])),""),ROWS($A$15:A54)+$B$3))),IF($D$15="",INDEX(orderHistory[order_type],SMALL(IF(ISNUMBER(MATCH(orderHistory[status],$D$11,0)*MATCH(orderHistory[order_type],$D$13,0)),MATCH(ROW(orderHistory[customer]),ROW(orderHistory[customer])),""),ROWS($A$15:A54)+$B$3)),INDEX(orderHistory[order_typ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type],SMALL(IF(ISNUMBER(MATCH(orderHistory[customer],$D$9,0)),MATCH(ROW(orderHistory[customer]),ROW(orderHistory[customer])),""),ROWS($A$15:A54)+$B$3)),INDEX(orderHistory[order_type],SMALL(IF(ISNUMBER(MATCH(orderHistory[customer],$D$9,0)*MATCH(YEAR(orderHistory[invoice_date]),$D$15,0)),MATCH(ROW(orderHistory[customer]),ROW(orderHistory[customer])),""),ROWS($A$15:A54)+$B$3))),IF($D$15="",INDEX(orderHistory[order_type],SMALL(IF(ISNUMBER(MATCH(orderHistory[customer],$D$9,0)*MATCH(orderHistory[order_type],$D$13,0)),MATCH(ROW(orderHistory[customer]),ROW(orderHistory[customer])),""),ROWS($A$15:A54)+$B$3)),INDEX(orderHistory[order_typ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type],SMALL(IF(ISNUMBER(MATCH(orderHistory[customer],$D$9,0)*MATCH(orderHistory[status],$D$11,0)),MATCH(ROW(orderHistory[customer]),ROW(orderHistory[customer])),""),ROWS($A$15:A54)+$B$3)),INDEX(orderHistory[order_type],SMALL(IF(ISNUMBER(MATCH(orderHistory[customer],$D$9,0)*MATCH(orderHistory[status],$D$11,0)*MATCH(YEAR(orderHistory[invoice_date]),$D$15,0)),MATCH(ROW(orderHistory[customer]),ROW(orderHistory[customer])),""),ROWS($A$15:A54)+$B$3))),IF($D$15="",INDEX(orderHistory[order_type],SMALL(IF(ISNUMBER(MATCH(orderHistory[customer],$D$9,0)*MATCH(orderHistory[status],$D$11,0)*MATCH(orderHistory[order_type],$D$13,0)),MATCH(ROW(orderHistory[customer]),ROW(orderHistory[customer])),""),ROWS($A$15:A54)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O49" s="542" t="str">
        <f t="array" ref="O49">IFERROR(IF($D$9="",IF($D$11="",IF($D$13="",IF($D$15="",INDEX(orderHistory[order_date],SMALL(MATCH(ROW(orderHistory[customer]),ROW(orderHistory[customer])),ROWS($A$15:A54)+$B$3)),INDEX(orderHistory[order_date],SMALL(IF(ISNUMBER(MATCH(YEAR(orderHistory[invoice_date]),$D$15,0)),MATCH(ROW(orderHistory[customer]),ROW(orderHistory[customer])),""),ROWS($A$15:A54)+$B$3))),IF($D$15="",INDEX(orderHistory[order_date],SMALL(IF(ISNUMBER(MATCH(orderHistory[order_type],$D$13,0)),MATCH(ROW(orderHistory[customer]),ROW(orderHistory[customer])),""),ROWS($A$15:A54)+$B$3)),INDEX(orderHistory[order_date],SMALL(IF(ISNUMBER(MATCH(orderHistory[order_type],$D$13,0)*MATCH(YEAR(orderHistory[invoice_date]),$D$15,0)),MATCH(ROW(orderHistory[customer]),ROW(orderHistory[customer])),""),ROWS($A$15:A54)+$B$3)))),IF($D$13="",IF($D$15="",INDEX(orderHistory[order_date],SMALL(IF(ISNUMBER(MATCH(orderHistory[status],$D$11,0)),MATCH(ROW(orderHistory[customer]),ROW(orderHistory[customer])),""),ROWS($A$15:A54)+$B$3)),INDEX(orderHistory[order_date],SMALL(IF(ISNUMBER(MATCH(orderHistory[status],$D$11,0)*MATCH(YEAR(orderHistory[invoice_date]),$D$15,0)),MATCH(ROW(orderHistory[customer]),ROW(orderHistory[customer])),""),ROWS($A$15:A54)+$B$3))),IF($D$15="",INDEX(orderHistory[order_date],SMALL(IF(ISNUMBER(MATCH(orderHistory[status],$D$11,0)*MATCH(orderHistory[order_type],$D$13,0)),MATCH(ROW(orderHistory[customer]),ROW(orderHistory[customer])),""),ROWS($A$15:A54)+$B$3)),INDEX(orderHistory[order_dat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date],SMALL(IF(ISNUMBER(MATCH(orderHistory[customer],$D$9,0)),MATCH(ROW(orderHistory[customer]),ROW(orderHistory[customer])),""),ROWS($A$15:A54)+$B$3)),INDEX(orderHistory[order_date],SMALL(IF(ISNUMBER(MATCH(orderHistory[customer],$D$9,0)*MATCH(YEAR(orderHistory[invoice_date]),$D$15,0)),MATCH(ROW(orderHistory[customer]),ROW(orderHistory[customer])),""),ROWS($A$15:A54)+$B$3))),IF($D$15="",INDEX(orderHistory[order_date],SMALL(IF(ISNUMBER(MATCH(orderHistory[customer],$D$9,0)*MATCH(orderHistory[order_type],$D$13,0)),MATCH(ROW(orderHistory[customer]),ROW(orderHistory[customer])),""),ROWS($A$15:A54)+$B$3)),INDEX(orderHistory[order_dat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date],SMALL(IF(ISNUMBER(MATCH(orderHistory[customer],$D$9,0)*MATCH(orderHistory[status],$D$11,0)),MATCH(ROW(orderHistory[customer]),ROW(orderHistory[customer])),""),ROWS($A$15:A54)+$B$3)),INDEX(orderHistory[order_date],SMALL(IF(ISNUMBER(MATCH(orderHistory[customer],$D$9,0)*MATCH(orderHistory[status],$D$11,0)*MATCH(YEAR(orderHistory[invoice_date]),$D$15,0)),MATCH(ROW(orderHistory[customer]),ROW(orderHistory[customer])),""),ROWS($A$15:A54)+$B$3))),IF($D$15="",INDEX(orderHistory[order_date],SMALL(IF(ISNUMBER(MATCH(orderHistory[customer],$D$9,0)*MATCH(orderHistory[status],$D$11,0)*MATCH(orderHistory[order_type],$D$13,0)),MATCH(ROW(orderHistory[customer]),ROW(orderHistory[customer])),""),ROWS($A$15:A54)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P49" s="543" t="str">
        <f t="array" ref="P49">IFERROR(IF($D$9="",IF($D$11="",IF($D$13="",IF($D$15="",INDEX(orderHistory[invoice_no],SMALL(MATCH(ROW(orderHistory[customer]),ROW(orderHistory[customer])),ROWS($A$15:A54)+$B$3)),INDEX(orderHistory[invoice_no],SMALL(IF(ISNUMBER(MATCH(YEAR(orderHistory[invoice_date]),$D$15,0)),MATCH(ROW(orderHistory[customer]),ROW(orderHistory[customer])),""),ROWS($A$15:A54)+$B$3))),IF($D$15="",INDEX(orderHistory[invoice_no],SMALL(IF(ISNUMBER(MATCH(orderHistory[order_type],$D$13,0)),MATCH(ROW(orderHistory[customer]),ROW(orderHistory[customer])),""),ROWS($A$15:A54)+$B$3)),INDEX(orderHistory[invoice_no],SMALL(IF(ISNUMBER(MATCH(orderHistory[order_type],$D$13,0)*MATCH(YEAR(orderHistory[invoice_date]),$D$15,0)),MATCH(ROW(orderHistory[customer]),ROW(orderHistory[customer])),""),ROWS($A$15:A54)+$B$3)))),IF($D$13="",IF($D$15="",INDEX(orderHistory[invoice_no],SMALL(IF(ISNUMBER(MATCH(orderHistory[status],$D$11,0)),MATCH(ROW(orderHistory[customer]),ROW(orderHistory[customer])),""),ROWS($A$15:A54)+$B$3)),INDEX(orderHistory[invoice_no],SMALL(IF(ISNUMBER(MATCH(orderHistory[status],$D$11,0)*MATCH(YEAR(orderHistory[invoice_date]),$D$15,0)),MATCH(ROW(orderHistory[customer]),ROW(orderHistory[customer])),""),ROWS($A$15:A54)+$B$3))),IF($D$15="",INDEX(orderHistory[invoice_no],SMALL(IF(ISNUMBER(MATCH(orderHistory[status],$D$11,0)*MATCH(orderHistory[order_type],$D$13,0)),MATCH(ROW(orderHistory[customer]),ROW(orderHistory[customer])),""),ROWS($A$15:A54)+$B$3)),INDEX(orderHistory[invoice_no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oice_no],SMALL(IF(ISNUMBER(MATCH(orderHistory[customer],$D$9,0)),MATCH(ROW(orderHistory[customer]),ROW(orderHistory[customer])),""),ROWS($A$15:A54)+$B$3)),INDEX(orderHistory[invoice_no],SMALL(IF(ISNUMBER(MATCH(orderHistory[customer],$D$9,0)*MATCH(YEAR(orderHistory[invoice_date]),$D$15,0)),MATCH(ROW(orderHistory[customer]),ROW(orderHistory[customer])),""),ROWS($A$15:A54)+$B$3))),IF($D$15="",INDEX(orderHistory[invoice_no],SMALL(IF(ISNUMBER(MATCH(orderHistory[customer],$D$9,0)*MATCH(orderHistory[order_type],$D$13,0)),MATCH(ROW(orderHistory[customer]),ROW(orderHistory[customer])),""),ROWS($A$15:A54)+$B$3)),INDEX(orderHistory[invoice_no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oice_no],SMALL(IF(ISNUMBER(MATCH(orderHistory[customer],$D$9,0)*MATCH(orderHistory[status],$D$11,0)),MATCH(ROW(orderHistory[customer]),ROW(orderHistory[customer])),""),ROWS($A$15:A54)+$B$3)),INDEX(orderHistory[invoice_no],SMALL(IF(ISNUMBER(MATCH(orderHistory[customer],$D$9,0)*MATCH(orderHistory[status],$D$11,0)*MATCH(YEAR(orderHistory[invoice_date]),$D$15,0)),MATCH(ROW(orderHistory[customer]),ROW(orderHistory[customer])),""),ROWS($A$15:A54)+$B$3))),IF($D$15="",INDEX(orderHistory[invoice_no],SMALL(IF(ISNUMBER(MATCH(orderHistory[customer],$D$9,0)*MATCH(orderHistory[status],$D$11,0)*MATCH(orderHistory[order_type],$D$13,0)),MATCH(ROW(orderHistory[customer]),ROW(orderHistory[customer])),""),ROWS($A$15:A54)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Q49" s="544" t="str">
        <f t="array" ref="Q49">IFERROR(IF($D$9="",IF($D$11="",IF($D$13="",IF($D$15="",INDEX(orderHistory[invoice_date],SMALL(MATCH(ROW(orderHistory[customer]),ROW(orderHistory[customer])),ROWS($A$15:A54)+$B$3)),INDEX(orderHistory[invoice_date],SMALL(IF(ISNUMBER(MATCH(YEAR(orderHistory[invoice_date]),$D$15,0)),MATCH(ROW(orderHistory[customer]),ROW(orderHistory[customer])),""),ROWS($A$15:A54)+$B$3))),IF($D$15="",INDEX(orderHistory[invoice_date],SMALL(IF(ISNUMBER(MATCH(orderHistory[order_type],$D$13,0)),MATCH(ROW(orderHistory[customer]),ROW(orderHistory[customer])),""),ROWS($A$15:A54)+$B$3)),INDEX(orderHistory[invoice_date],SMALL(IF(ISNUMBER(MATCH(orderHistory[order_type],$D$13,0)*MATCH(YEAR(orderHistory[invoice_date]),$D$15,0)),MATCH(ROW(orderHistory[customer]),ROW(orderHistory[customer])),""),ROWS($A$15:A54)+$B$3)))),IF($D$13="",IF($D$15="",INDEX(orderHistory[invoice_date],SMALL(IF(ISNUMBER(MATCH(orderHistory[status],$D$11,0)),MATCH(ROW(orderHistory[customer]),ROW(orderHistory[customer])),""),ROWS($A$15:A54)+$B$3)),INDEX(orderHistory[invoice_date],SMALL(IF(ISNUMBER(MATCH(orderHistory[status],$D$11,0)*MATCH(YEAR(orderHistory[invoice_date]),$D$15,0)),MATCH(ROW(orderHistory[customer]),ROW(orderHistory[customer])),""),ROWS($A$15:A54)+$B$3))),IF($D$15="",INDEX(orderHistory[invoice_date],SMALL(IF(ISNUMBER(MATCH(orderHistory[status],$D$11,0)*MATCH(orderHistory[order_type],$D$13,0)),MATCH(ROW(orderHistory[customer]),ROW(orderHistory[customer])),""),ROWS($A$15:A54)+$B$3)),INDEX(orderHistory[invoice_dat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oice_date],SMALL(IF(ISNUMBER(MATCH(orderHistory[customer],$D$9,0)),MATCH(ROW(orderHistory[customer]),ROW(orderHistory[customer])),""),ROWS($A$15:A54)+$B$3)),INDEX(orderHistory[invoice_date],SMALL(IF(ISNUMBER(MATCH(orderHistory[customer],$D$9,0)*MATCH(YEAR(orderHistory[invoice_date]),$D$15,0)),MATCH(ROW(orderHistory[customer]),ROW(orderHistory[customer])),""),ROWS($A$15:A54)+$B$3))),IF($D$15="",INDEX(orderHistory[invoice_date],SMALL(IF(ISNUMBER(MATCH(orderHistory[customer],$D$9,0)*MATCH(orderHistory[order_type],$D$13,0)),MATCH(ROW(orderHistory[customer]),ROW(orderHistory[customer])),""),ROWS($A$15:A54)+$B$3)),INDEX(orderHistory[invoice_dat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oice_date],SMALL(IF(ISNUMBER(MATCH(orderHistory[customer],$D$9,0)*MATCH(orderHistory[status],$D$11,0)),MATCH(ROW(orderHistory[customer]),ROW(orderHistory[customer])),""),ROWS($A$15:A54)+$B$3)),INDEX(orderHistory[invoice_date],SMALL(IF(ISNUMBER(MATCH(orderHistory[customer],$D$9,0)*MATCH(orderHistory[status],$D$11,0)*MATCH(YEAR(orderHistory[invoice_date]),$D$15,0)),MATCH(ROW(orderHistory[customer]),ROW(orderHistory[customer])),""),ROWS($A$15:A54)+$B$3))),IF($D$15="",INDEX(orderHistory[invoice_date],SMALL(IF(ISNUMBER(MATCH(orderHistory[customer],$D$9,0)*MATCH(orderHistory[status],$D$11,0)*MATCH(orderHistory[order_type],$D$13,0)),MATCH(ROW(orderHistory[customer]),ROW(orderHistory[customer])),""),ROWS($A$15:A54)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R49" s="545" t="str">
        <f t="array" ref="R49">IFERROR(IF($D$9="",IF($D$11="",IF($D$13="",IF($D$15="",INDEX(orderHistory[inv_amount],SMALL(MATCH(ROW(orderHistory[customer]),ROW(orderHistory[customer])),ROWS($A$15:A54)+$B$3)),INDEX(orderHistory[inv_amount],SMALL(IF(ISNUMBER(MATCH(YEAR(orderHistory[invoice_date]),$D$15,0)),MATCH(ROW(orderHistory[customer]),ROW(orderHistory[customer])),""),ROWS($A$15:A54)+$B$3))),IF($D$15="",INDEX(orderHistory[inv_amount],SMALL(IF(ISNUMBER(MATCH(orderHistory[order_type],$D$13,0)),MATCH(ROW(orderHistory[customer]),ROW(orderHistory[customer])),""),ROWS($A$15:A54)+$B$3)),INDEX(orderHistory[inv_amount],SMALL(IF(ISNUMBER(MATCH(orderHistory[order_type],$D$13,0)*MATCH(YEAR(orderHistory[invoice_date]),$D$15,0)),MATCH(ROW(orderHistory[customer]),ROW(orderHistory[customer])),""),ROWS($A$15:A54)+$B$3)))),IF($D$13="",IF($D$15="",INDEX(orderHistory[inv_amount],SMALL(IF(ISNUMBER(MATCH(orderHistory[status],$D$11,0)),MATCH(ROW(orderHistory[customer]),ROW(orderHistory[customer])),""),ROWS($A$15:A54)+$B$3)),INDEX(orderHistory[inv_amount],SMALL(IF(ISNUMBER(MATCH(orderHistory[status],$D$11,0)*MATCH(YEAR(orderHistory[invoice_date]),$D$15,0)),MATCH(ROW(orderHistory[customer]),ROW(orderHistory[customer])),""),ROWS($A$15:A54)+$B$3))),IF($D$15="",INDEX(orderHistory[inv_amount],SMALL(IF(ISNUMBER(MATCH(orderHistory[status],$D$11,0)*MATCH(orderHistory[order_type],$D$13,0)),MATCH(ROW(orderHistory[customer]),ROW(orderHistory[customer])),""),ROWS($A$15:A54)+$B$3)),INDEX(orderHistory[inv_amount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_amount],SMALL(IF(ISNUMBER(MATCH(orderHistory[customer],$D$9,0)),MATCH(ROW(orderHistory[customer]),ROW(orderHistory[customer])),""),ROWS($A$15:A54)+$B$3)),INDEX(orderHistory[inv_amount],SMALL(IF(ISNUMBER(MATCH(orderHistory[customer],$D$9,0)*MATCH(YEAR(orderHistory[invoice_date]),$D$15,0)),MATCH(ROW(orderHistory[customer]),ROW(orderHistory[customer])),""),ROWS($A$15:A54)+$B$3))),IF($D$15="",INDEX(orderHistory[inv_amount],SMALL(IF(ISNUMBER(MATCH(orderHistory[customer],$D$9,0)*MATCH(orderHistory[order_type],$D$13,0)),MATCH(ROW(orderHistory[customer]),ROW(orderHistory[customer])),""),ROWS($A$15:A54)+$B$3)),INDEX(orderHistory[inv_amount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_amount],SMALL(IF(ISNUMBER(MATCH(orderHistory[customer],$D$9,0)*MATCH(orderHistory[status],$D$11,0)),MATCH(ROW(orderHistory[customer]),ROW(orderHistory[customer])),""),ROWS($A$15:A54)+$B$3)),INDEX(orderHistory[inv_amount],SMALL(IF(ISNUMBER(MATCH(orderHistory[customer],$D$9,0)*MATCH(orderHistory[status],$D$11,0)*MATCH(YEAR(orderHistory[inv_amount]),$D$15,0)),MATCH(ROW(orderHistory[customer]),ROW(orderHistory[customer])),""),ROWS($A$15:A54)+$B$3))),IF($D$15="",INDEX(orderHistory[inv_amount],SMALL(IF(ISNUMBER(MATCH(orderHistory[customer],$D$9,0)*MATCH(orderHistory[status],$D$11,0)*MATCH(orderHistory[order_type],$D$13,0)),MATCH(ROW(orderHistory[customer]),ROW(orderHistory[customer])),""),ROWS($A$15:A54)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S49" s="546" t="str">
        <f t="shared" si="2"/>
        <v/>
      </c>
      <c r="T49" s="547" t="str">
        <f t="array" ref="T49">IFERROR(IF($D$9="",IF($D$11="",IF($D$13="",IF($D$15="",INDEX(orderHistory[payed],SMALL(MATCH(ROW(orderHistory[customer]),ROW(orderHistory[customer])),ROWS($A$15:A54)+$B$3)),INDEX(orderHistory[payed],SMALL(IF(ISNUMBER(MATCH(YEAR(orderHistory[invoice_date]),$D$15,0)),MATCH(ROW(orderHistory[customer]),ROW(orderHistory[customer])),""),ROWS($A$15:A54)+$B$3))),IF($D$15="",INDEX(orderHistory[payed],SMALL(IF(ISNUMBER(MATCH(orderHistory[order_type],$D$13,0)),MATCH(ROW(orderHistory[customer]),ROW(orderHistory[customer])),""),ROWS($A$15:A54)+$B$3)),INDEX(orderHistory[payed],SMALL(IF(ISNUMBER(MATCH(orderHistory[order_type],$D$13,0)*MATCH(YEAR(orderHistory[invoice_date]),$D$15,0)),MATCH(ROW(orderHistory[customer]),ROW(orderHistory[customer])),""),ROWS($A$15:A54)+$B$3)))),IF($D$13="",IF($D$15="",INDEX(orderHistory[payed],SMALL(IF(ISNUMBER(MATCH(orderHistory[status],$D$11,0)),MATCH(ROW(orderHistory[customer]),ROW(orderHistory[customer])),""),ROWS($A$15:A54)+$B$3)),INDEX(orderHistory[payed],SMALL(IF(ISNUMBER(MATCH(orderHistory[status],$D$11,0)*MATCH(YEAR(orderHistory[invoice_date]),$D$15,0)),MATCH(ROW(orderHistory[customer]),ROW(orderHistory[customer])),""),ROWS($A$15:A54)+$B$3))),IF($D$15="",INDEX(orderHistory[payed],SMALL(IF(ISNUMBER(MATCH(orderHistory[status],$D$11,0)*MATCH(orderHistory[order_type],$D$13,0)),MATCH(ROW(orderHistory[customer]),ROW(orderHistory[customer])),""),ROWS($A$15:A54)+$B$3)),INDEX(orderHistory[payed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payed],SMALL(IF(ISNUMBER(MATCH(orderHistory[customer],$D$9,0)),MATCH(ROW(orderHistory[customer]),ROW(orderHistory[customer])),""),ROWS($A$15:A54)+$B$3)),INDEX(orderHistory[payed],SMALL(IF(ISNUMBER(MATCH(orderHistory[customer],$D$9,0)*MATCH(YEAR(orderHistory[invoice_date]),$D$15,0)),MATCH(ROW(orderHistory[customer]),ROW(orderHistory[customer])),""),ROWS($A$15:A54)+$B$3))),IF($D$15="",INDEX(orderHistory[payed],SMALL(IF(ISNUMBER(MATCH(orderHistory[customer],$D$9,0)*MATCH(orderHistory[order_type],$D$13,0)),MATCH(ROW(orderHistory[customer]),ROW(orderHistory[customer])),""),ROWS($A$15:A54)+$B$3)),INDEX(orderHistory[payed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payed],SMALL(IF(ISNUMBER(MATCH(orderHistory[customer],$D$9,0)*MATCH(orderHistory[status],$D$11,0)),MATCH(ROW(orderHistory[customer]),ROW(orderHistory[customer])),""),ROWS($A$15:A54)+$B$3)),INDEX(orderHistory[payed],SMALL(IF(ISNUMBER(MATCH(orderHistory[customer],$D$9,0)*MATCH(orderHistory[status],$D$11,0)*MATCH(YEAR(orderHistory[payed]),$D$15,0)),MATCH(ROW(orderHistory[customer]),ROW(orderHistory[customer])),""),ROWS($A$15:A54)+$B$3))),IF($D$15="",INDEX(orderHistory[payed],SMALL(IF(ISNUMBER(MATCH(orderHistory[customer],$D$9,0)*MATCH(orderHistory[status],$D$11,0)*MATCH(orderHistory[order_type],$D$13,0)),MATCH(ROW(orderHistory[customer]),ROW(orderHistory[customer])),""),ROWS($A$15:A54)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U49" s="541" t="str">
        <f t="array" ref="U49">IFERROR(IF($D$9="",IF($D$11="",IF($D$13="",IF($D$15="",INDEX(orderHistory[shipping_method],SMALL(MATCH(ROW(orderHistory[customer]),ROW(orderHistory[customer])),ROWS($A$15:A54)+$B$3)),INDEX(orderHistory[shipping_method],SMALL(IF(ISNUMBER(MATCH(YEAR(orderHistory[invoice_date]),$D$15,0)),MATCH(ROW(orderHistory[customer]),ROW(orderHistory[customer])),""),ROWS($A$15:A54)+$B$3))),IF($D$15="",INDEX(orderHistory[shipping_method],SMALL(IF(ISNUMBER(MATCH(orderHistory[order_type],$D$13,0)),MATCH(ROW(orderHistory[customer]),ROW(orderHistory[customer])),""),ROWS($A$15:A54)+$B$3)),INDEX(orderHistory[shipping_method],SMALL(IF(ISNUMBER(MATCH(orderHistory[order_type],$D$13,0)*MATCH(YEAR(orderHistory[invoice_date]),$D$15,0)),MATCH(ROW(orderHistory[customer]),ROW(orderHistory[customer])),""),ROWS($A$15:A54)+$B$3)))),IF($D$13="",IF($D$15="",INDEX(orderHistory[shipping_method],SMALL(IF(ISNUMBER(MATCH(orderHistory[status],$D$11,0)),MATCH(ROW(orderHistory[customer]),ROW(orderHistory[customer])),""),ROWS($A$15:A54)+$B$3)),INDEX(orderHistory[shipping_method],SMALL(IF(ISNUMBER(MATCH(orderHistory[status],$D$11,0)*MATCH(YEAR(orderHistory[invoice_date]),$D$15,0)),MATCH(ROW(orderHistory[customer]),ROW(orderHistory[customer])),""),ROWS($A$15:A54)+$B$3))),IF($D$15="",INDEX(orderHistory[shipping_method],SMALL(IF(ISNUMBER(MATCH(orderHistory[status],$D$11,0)*MATCH(orderHistory[order_type],$D$13,0)),MATCH(ROW(orderHistory[customer]),ROW(orderHistory[customer])),""),ROWS($A$15:A54)+$B$3)),INDEX(orderHistory[shipping_method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shipping_method],SMALL(IF(ISNUMBER(MATCH(orderHistory[customer],$D$9,0)),MATCH(ROW(orderHistory[customer]),ROW(orderHistory[customer])),""),ROWS($A$15:A54)+$B$3)),INDEX(orderHistory[shipping_method],SMALL(IF(ISNUMBER(MATCH(orderHistory[customer],$D$9,0)*MATCH(YEAR(orderHistory[invoice_date]),$D$15,0)),MATCH(ROW(orderHistory[customer]),ROW(orderHistory[customer])),""),ROWS($A$15:A54)+$B$3))),IF($D$15="",INDEX(orderHistory[shipping_method],SMALL(IF(ISNUMBER(MATCH(orderHistory[customer],$D$9,0)*MATCH(orderHistory[order_type],$D$13,0)),MATCH(ROW(orderHistory[customer]),ROW(orderHistory[customer])),""),ROWS($A$15:A54)+$B$3)),INDEX(orderHistory[shipping_method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shipping_method],SMALL(IF(ISNUMBER(MATCH(orderHistory[customer],$D$9,0)*MATCH(orderHistory[status],$D$11,0)),MATCH(ROW(orderHistory[customer]),ROW(orderHistory[customer])),""),ROWS($A$15:A54)+$B$3)),INDEX(orderHistory[shipping_method],SMALL(IF(ISNUMBER(MATCH(orderHistory[customer],$D$9,0)*MATCH(orderHistory[status],$D$11,0)*MATCH(YEAR(orderHistory[shipping_method]),$D$15,0)),MATCH(ROW(orderHistory[customer]),ROW(orderHistory[customer])),""),ROWS($A$15:A54)+$B$3))),IF($D$15="",INDEX(orderHistory[shipping_method],SMALL(IF(ISNUMBER(MATCH(orderHistory[customer],$D$9,0)*MATCH(orderHistory[status],$D$11,0)*MATCH(orderHistory[order_type],$D$13,0)),MATCH(ROW(orderHistory[customer]),ROW(orderHistory[customer])),""),ROWS($A$15:A54)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V49" s="548" t="str">
        <f t="array" ref="V49">IFERROR(IF($D$9="",IF($D$11="",IF($D$13="",IF($D$15="",INDEX(orderHistory[status],SMALL(MATCH(ROW(orderHistory[customer]),ROW(orderHistory[customer])),ROWS($A$15:A54)+$B$3)),INDEX(orderHistory[status],SMALL(IF(ISNUMBER(MATCH(YEAR(orderHistory[invoice_date]),$D$15,0)),MATCH(ROW(orderHistory[customer]),ROW(orderHistory[customer])),""),ROWS($A$15:A54)+$B$3))),IF($D$15="",INDEX(orderHistory[status],SMALL(IF(ISNUMBER(MATCH(orderHistory[order_type],$D$13,0)),MATCH(ROW(orderHistory[customer]),ROW(orderHistory[customer])),""),ROWS($A$15:A54)+$B$3)),INDEX(orderHistory[status],SMALL(IF(ISNUMBER(MATCH(orderHistory[order_type],$D$13,0)*MATCH(YEAR(orderHistory[invoice_date]),$D$15,0)),MATCH(ROW(orderHistory[customer]),ROW(orderHistory[customer])),""),ROWS($A$15:A54)+$B$3)))),IF($D$13="",IF($D$15="",INDEX(orderHistory[status],SMALL(IF(ISNUMBER(MATCH(orderHistory[status],$D$11,0)),MATCH(ROW(orderHistory[customer]),ROW(orderHistory[customer])),""),ROWS($A$15:A54)+$B$3)),INDEX(orderHistory[status],SMALL(IF(ISNUMBER(MATCH(orderHistory[status],$D$11,0)*MATCH(YEAR(orderHistory[invoice_date]),$D$15,0)),MATCH(ROW(orderHistory[customer]),ROW(orderHistory[customer])),""),ROWS($A$15:A54)+$B$3))),IF($D$15="",INDEX(orderHistory[status],SMALL(IF(ISNUMBER(MATCH(orderHistory[status],$D$11,0)*MATCH(orderHistory[order_type],$D$13,0)),MATCH(ROW(orderHistory[customer]),ROW(orderHistory[customer])),""),ROWS($A$15:A54)+$B$3)),INDEX(orderHistory[status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status],SMALL(IF(ISNUMBER(MATCH(orderHistory[customer],$D$9,0)),MATCH(ROW(orderHistory[customer]),ROW(orderHistory[customer])),""),ROWS($A$15:A54)+$B$3)),INDEX(orderHistory[status],SMALL(IF(ISNUMBER(MATCH(orderHistory[customer],$D$9,0)*MATCH(YEAR(orderHistory[invoice_date]),$D$15,0)),MATCH(ROW(orderHistory[customer]),ROW(orderHistory[customer])),""),ROWS($A$15:A54)+$B$3))),IF($D$15="",INDEX(orderHistory[status],SMALL(IF(ISNUMBER(MATCH(orderHistory[customer],$D$9,0)*MATCH(orderHistory[order_type],$D$13,0)),MATCH(ROW(orderHistory[customer]),ROW(orderHistory[customer])),""),ROWS($A$15:A54)+$B$3)),INDEX(orderHistory[status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status],SMALL(IF(ISNUMBER(MATCH(orderHistory[customer],$D$9,0)*MATCH(orderHistory[status],$D$11,0)),MATCH(ROW(orderHistory[customer]),ROW(orderHistory[customer])),""),ROWS($A$15:A54)+$B$3)),INDEX(orderHistory[status],SMALL(IF(ISNUMBER(MATCH(orderHistory[customer],$D$9,0)*MATCH(orderHistory[status],$D$11,0)*MATCH(YEAR(orderHistory[status]),$D$15,0)),MATCH(ROW(orderHistory[customer]),ROW(orderHistory[customer])),""),ROWS($A$15:A54)+$B$3))),IF($D$15="",INDEX(orderHistory[status],SMALL(IF(ISNUMBER(MATCH(orderHistory[customer],$D$9,0)*MATCH(orderHistory[status],$D$11,0)*MATCH(orderHistory[order_type],$D$13,0)),MATCH(ROW(orderHistory[customer]),ROW(orderHistory[customer])),""),ROWS($A$15:A54)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W49" s="327"/>
      <c r="X49" s="414"/>
      <c r="BG49" s="296"/>
      <c r="BK49" s="450"/>
      <c r="BL49" s="451"/>
      <c r="BM49" s="452"/>
      <c r="BN49" s="451"/>
      <c r="BO49" s="452"/>
      <c r="BZ49" s="167"/>
      <c r="CA49" s="154" t="str">
        <f>IF(BZ49="","",INDEX(bhpc_data[description],MATCH(BZ49,bhpc_data[sku],0)))</f>
        <v/>
      </c>
      <c r="CB49" s="166"/>
      <c r="CC49" s="357"/>
      <c r="CD49" s="160"/>
      <c r="CE49" s="360"/>
      <c r="CF49" s="161"/>
      <c r="CG49" s="164" t="str">
        <f>IFERROR(ROUNDUP(CB49/INDEX(bhpc_data[units_per_carton],MATCH(BZ49,bhpc_data[sku],0)),0),"")</f>
        <v/>
      </c>
      <c r="CH49" s="165" t="str">
        <f>IFERROR(ROUNDUP(CD49/INDEX(bhpc_data[units_per_carton],MATCH(BZ49,bhpc_data[sku],0)),0),"")</f>
        <v/>
      </c>
      <c r="CI49" s="165" t="str">
        <f>IFERROR(ROUNDUP(CF49/INDEX(bhpc_data[units_per_carton],MATCH(BZ49,bhpc_data[sku])),0),"")</f>
        <v/>
      </c>
      <c r="CJ49" s="165" t="str">
        <f>IFERROR(((CB49+CD49+CF49)/INDEX(bhpc_data[units_per_carton],MATCH(BZ49,bhpc_data[sku],0)))*INDEX(bhpc_data[net_weight],MATCH(BZ49,bhpc_data[sku],0)),"")</f>
        <v/>
      </c>
      <c r="CK49" s="165" t="str">
        <f>IFERROR(((CB49+CD49+CF49)/INDEX(bhpc_data[units_per_carton],MATCH(BZ49,bhpc_data[sku],0)))*INDEX(bhpc_data[gross_weight],MATCH(BZ49,bhpc_data[sku],0)),"")</f>
        <v/>
      </c>
      <c r="CL49" s="180" t="str">
        <f>IFERROR((CB49+CD49+CF49)/INDEX(bhpc_data[units_per_carton],MATCH(BZ49,bhpc_data[sku],0))*INDEX(bhpc_data[lenght],MATCH(BZ49,bhpc_data[sku],0))*INDEX(bhpc_data[width],MATCH(BZ49,bhpc_data[sku],0))*INDEX(bhpc_data[height],MATCH(BZ49,bhpc_data[sku],0))/1000000000,"")</f>
        <v/>
      </c>
      <c r="CM49" s="189" t="str">
        <f>IFERROR(INDEX(bhpc_data[category],MATCH(BZ49,bhpc_data[sku],0)),"")</f>
        <v/>
      </c>
      <c r="CN49" s="189" t="str">
        <f>IFERROR(INDEX(bhpc_data[size1],MATCH(BZ49,bhpc_data[sku],0)),"")</f>
        <v/>
      </c>
      <c r="CO49" s="388" t="str">
        <f>IFERROR(INDEX(bhpc_data[hs_code],MATCH(BZ49,bhpc_data[sku],0)),"")</f>
        <v/>
      </c>
      <c r="CP49" s="377" t="str">
        <f>IFERROR(INDEX(inventory[ESISTENZA],MATCH(BZ49,inventory[ARTICOLO],0)),"")</f>
        <v/>
      </c>
      <c r="CQ49" s="364" t="str">
        <f>IFERROR(IF(BZ49="","",IF($BX$15="SALE",INDEX(inventory[COSTO UNITARIO],MATCH(BZ49,inventory[ARTICOLO],0)),IF($BX$15="SAMPLING",INDEX(inventory[COSTO UNITARIO],MATCH(BZ49,inventory[ARTICOLO],0)),""))),"")</f>
        <v/>
      </c>
      <c r="CR49" s="365" t="str">
        <f t="shared" si="3"/>
        <v/>
      </c>
      <c r="CS49" s="264" t="str">
        <f t="shared" si="4"/>
        <v/>
      </c>
      <c r="CU49" s="432"/>
      <c r="CV49" s="432"/>
      <c r="CW49" s="432"/>
      <c r="CX49" s="432"/>
      <c r="CY49" s="432"/>
      <c r="CZ49" s="432"/>
      <c r="DA49" s="432" t="str">
        <f>IFERROR(VLOOKUP(BZ49,bhpc_data[],22,FALSE),"")</f>
        <v/>
      </c>
      <c r="EE49" s="202" t="str" cm="1">
        <f t="array" ref="EE49">IFERROR(IF($EC$9="",IF($EC$11="",IF($EC$13="",INDEX(bhpc_data[sku],SMALL(MATCH(ROW(bhpc_data[sku]),ROW(bhpc_data[sku])),ROWS($A$15:A54)+$B$3)),INDEX(bhpc_data[sku],SMALL(IF(ISNUMBER(MATCH(bhpc_data[size1],$EC$13,0)),MATCH(ROW(bhpc_data[sku]),ROW(bhpc_data[sku])),""),ROWS($A$15:A54)+$B$3))),IF($EC$13="",INDEX(bhpc_data[sku],SMALL(IF(ISNUMBER(MATCH(bhpc_data[sex],$EC$11,0)),MATCH(ROW(bhpc_data[sku]),ROW(bhpc_data[sku])),""),ROWS($A$15:A54)+$B$3)),INDEX(bhpc_data[sku],SMALL(IF(ISNUMBER(MATCH(bhpc_data[sex],$EC$11,0)*MATCH(bhpc_data[size1],$EC$13,0)),MATCH(ROW(bhpc_data[sku]),ROW(bhpc_data[sku])),""),ROWS($A$15:A54)+$B$3)))),IF($EC$11="",IF($EC$13="",INDEX(bhpc_data[sku],SMALL(IF(ISNUMBER(MATCH(bhpc_data[category],$EC$9,0)),MATCH(ROW(bhpc_data[sku]),ROW(bhpc_data[sku])),""),ROWS($A$15:A54)+$B$3)),INDEX(bhpc_data[sku],SMALL(IF(ISNUMBER(MATCH(bhpc_data[category],$EC$9,0)*MATCH(bhpc_data[size1],$EC$13,0)),MATCH(ROW(bhpc_data[sku]),ROW(bhpc_data[sku])),""),ROWS($A$15:A54)+$B$3))),IF($EC$13="",INDEX(bhpc_data[sku],SMALL(IF(ISNUMBER(MATCH(bhpc_data[category],$EC$9,0)*MATCH(bhpc_data[sex],$EC$11,0)),MATCH(ROW(bhpc_data[sku]),ROW(bhpc_data[sku])),""),ROWS($A$15:A54)+$B$3)),INDEX(bhpc_data[sku],SMALL(IF(ISNUMBER(MATCH(bhpc_data[category],$EC$9,0)*MATCH(bhpc_data[sex],$EC$11,0)*MATCH(bhpc_data[size1],$EC$13,0)),MATCH(ROW(bhpc_data[sku]),ROW(bhpc_data[sku])),""),ROWS($A$15:A54)+$B$3))))),"")</f>
        <v>P05005</v>
      </c>
      <c r="EF49" s="198" t="str" cm="1">
        <f t="array" ref="EF49">IFERROR(IF($EC$9="",IF($EC$11="",IF($EC$13="",INDEX(bhpc_data[description],SMALL(MATCH(ROW(bhpc_data[sku]),ROW(bhpc_data[sku])),ROWS($A$15:A54)+$B$3)),INDEX(bhpc_data[description],SMALL(IF(ISNUMBER(MATCH(bhpc_data[size1],$EC$13,0)),MATCH(ROW(bhpc_data[sku]),ROW(bhpc_data[sku])),""),ROWS($A$15:A54)+$B$3))),IF($EC$13="",INDEX(bhpc_data[description],SMALL(IF(ISNUMBER(MATCH(bhpc_data[sex],$EC$11,0)),MATCH(ROW(bhpc_data[sku]),ROW(bhpc_data[sku])),""),ROWS($A$15:A54)+$B$3)),INDEX(bhpc_data[description],SMALL(IF(ISNUMBER(MATCH(bhpc_data[sex],$EC$11,0)*MATCH(bhpc_data[size1],$EC$13,0)),MATCH(ROW(bhpc_data[sku]),ROW(bhpc_data[sku])),""),ROWS($A$15:A54)+$B$3)))),IF($EC$11="",IF($EC$13="",INDEX(bhpc_data[description],SMALL(IF(ISNUMBER(MATCH(bhpc_data[category],$EC$9,0)),MATCH(ROW(bhpc_data[sku]),ROW(bhpc_data[sku])),""),ROWS($A$15:A54)+$B$3)),INDEX(bhpc_data[description],SMALL(IF(ISNUMBER(MATCH(bhpc_data[category],$EC$9,0)*MATCH(bhpc_data[size1],$EC$13,0)),MATCH(ROW(bhpc_data[sku]),ROW(bhpc_data[sku])),""),ROWS($A$15:A54)+$B$3))),IF($EC$13="",INDEX(bhpc_data[description],SMALL(IF(ISNUMBER(MATCH(bhpc_data[category],$EC$9,0)*MATCH(bhpc_data[sex],$EC$11,0)),MATCH(ROW(bhpc_data[sku]),ROW(bhpc_data[sku])),""),ROWS($A$15:A54)+$B$3)),INDEX(bhpc_data[description],SMALL(IF(ISNUMBER(MATCH(bhpc_data[category],$EC$9,0)*MATCH(bhpc_data[sex],$EC$11,0)*MATCH(bhpc_data[size1],$EC$13,0)),MATCH(ROW(bhpc_data[sku]),ROW(bhpc_data[sku])),""),ROWS($A$15:A54)+$B$3))))),"")</f>
        <v>BHPC SPORT MEN 9 EDT 100ML</v>
      </c>
      <c r="EG49" s="263">
        <f>IFERROR(IF(warehouse[[#This Row],[SKU]]="","",INDEX(inventory[ESISTENZA],MATCH(warehouse[[#This Row],[SKU]],inventory[ARTICOLO],0))),"")</f>
        <v>12936</v>
      </c>
      <c r="EH49" s="328"/>
      <c r="EI49" s="328"/>
      <c r="EJ49" s="263"/>
      <c r="EK49" s="329"/>
      <c r="EO49" s="296" t="str">
        <f t="array" ref="EO49">IFERROR(INDEX(orderHistory[order_no],SMALL(IF(ISNUMBER(MATCH(orderHistory[status],$EO$7,0)),MATCH(ROW(orderHistory[order_no]),ROW(orderHistory[order_no])),""),ROWS($A$15:A54))),"")</f>
        <v/>
      </c>
    </row>
    <row r="50" spans="10:145" ht="15" customHeight="1" x14ac:dyDescent="0.35">
      <c r="J50" s="414"/>
      <c r="K50" s="414"/>
      <c r="L50" s="539" t="str">
        <f t="array" ref="L50">IFERROR(IF($D$9="",IF($D$11="",IF($D$13="",IF($D$15="",INDEX(orderHistory[customer],SMALL(MATCH(ROW(orderHistory[customer]),ROW(orderHistory[customer])),ROWS($A$15:A55)+$B$3)),INDEX(orderHistory[customer],SMALL(IF(ISNUMBER(MATCH(YEAR(orderHistory[invoice_date]),$D$15,0)),MATCH(ROW(orderHistory[customer]),ROW(orderHistory[customer])),""),ROWS($A$15:A55)+$B$3))),IF($D$15="",INDEX(orderHistory[customer],SMALL(IF(ISNUMBER(MATCH(orderHistory[order_type],$D$13,0)),MATCH(ROW(orderHistory[customer]),ROW(orderHistory[customer])),""),ROWS($A$15:A55)+$B$3)),INDEX(orderHistory[customer],SMALL(IF(ISNUMBER(MATCH(orderHistory[order_type],$D$13,0)*MATCH(YEAR(orderHistory[invoice_date]),$D$15,0)),MATCH(ROW(orderHistory[customer]),ROW(orderHistory[customer])),""),ROWS($A$15:A55)+$B$3)))),IF($D$13="",IF($D$15="",INDEX(orderHistory[customer],SMALL(IF(ISNUMBER(MATCH(orderHistory[status],$D$11,0)),MATCH(ROW(orderHistory[customer]),ROW(orderHistory[customer])),""),ROWS($A$15:A55)+$B$3)),INDEX(orderHistory[customer],SMALL(IF(ISNUMBER(MATCH(orderHistory[status],$D$11,0)*MATCH(YEAR(orderHistory[invoice_date]),$D$15,0)),MATCH(ROW(orderHistory[customer]),ROW(orderHistory[customer])),""),ROWS($A$15:A55)+$B$3))),IF($D$15="",INDEX(orderHistory[customer],SMALL(IF(ISNUMBER(MATCH(orderHistory[status],$D$11,0)*MATCH(orderHistory[order_type],$D$13,0)),MATCH(ROW(orderHistory[customer]),ROW(orderHistory[customer])),""),ROWS($A$15:A55)+$B$3)),INDEX(orderHistory[customer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customer],SMALL(IF(ISNUMBER(MATCH(orderHistory[customer],$D$9,0)),MATCH(ROW(orderHistory[customer]),ROW(orderHistory[customer])),""),ROWS($A$15:A55)+$B$3)),INDEX(orderHistory[customer],SMALL(IF(ISNUMBER(MATCH(orderHistory[customer],$D$9,0)*MATCH(YEAR(orderHistory[invoice_date]),$D$15,0)),MATCH(ROW(orderHistory[customer]),ROW(orderHistory[customer])),""),ROWS($A$15:A55)+$B$3))),IF($D$15="",INDEX(orderHistory[customer],SMALL(IF(ISNUMBER(MATCH(orderHistory[customer],$D$9,0)*MATCH(orderHistory[order_type],$D$13,0)),MATCH(ROW(orderHistory[customer]),ROW(orderHistory[customer])),""),ROWS($A$15:A55)+$B$3)),INDEX(orderHistory[customer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customer],SMALL(IF(ISNUMBER(MATCH(orderHistory[customer],$D$9,0)*MATCH(orderHistory[status],$D$11,0)),MATCH(ROW(orderHistory[customer]),ROW(orderHistory[customer])),""),ROWS($A$15:A55)+$B$3)),INDEX(orderHistory[customer],SMALL(IF(ISNUMBER(MATCH(orderHistory[customer],$D$9,0)*MATCH(orderHistory[status],$D$11,0)*MATCH(YEAR(orderHistory[invoice_date]),$D$15,0)),MATCH(ROW(orderHistory[customer]),ROW(orderHistory[customer])),""),ROWS($A$15:A55)+$B$3))),IF($D$15="",INDEX(orderHistory[customer],SMALL(IF(ISNUMBER(MATCH(orderHistory[customer],$D$9,0)*MATCH(orderHistory[status],$D$11,0)*MATCH(orderHistory[order_type],$D$13,0)),MATCH(ROW(orderHistory[customer]),ROW(orderHistory[customer])),""),ROWS($A$15:A55)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M50" s="540" t="str">
        <f t="array" ref="M50">IFERROR(IF($D$9="",IF($D$11="",IF($D$13="",IF($D$15="",INDEX(orderHistory[order_no],SMALL(MATCH(ROW(orderHistory[customer]),ROW(orderHistory[customer])),ROWS($A$15:A55)+$B$3)),INDEX(orderHistory[order_no],SMALL(IF(ISNUMBER(MATCH(YEAR(orderHistory[invoice_date]),$D$15,0)),MATCH(ROW(orderHistory[customer]),ROW(orderHistory[customer])),""),ROWS($A$15:A55)+$B$3))),IF($D$15="",INDEX(orderHistory[order_no],SMALL(IF(ISNUMBER(MATCH(orderHistory[order_type],$D$13,0)),MATCH(ROW(orderHistory[customer]),ROW(orderHistory[customer])),""),ROWS($A$15:A55)+$B$3)),INDEX(orderHistory[order_no],SMALL(IF(ISNUMBER(MATCH(orderHistory[order_type],$D$13,0)*MATCH(YEAR(orderHistory[invoice_date]),$D$15,0)),MATCH(ROW(orderHistory[customer]),ROW(orderHistory[customer])),""),ROWS($A$15:A55)+$B$3)))),IF($D$13="",IF($D$15="",INDEX(orderHistory[order_no],SMALL(IF(ISNUMBER(MATCH(orderHistory[status],$D$11,0)),MATCH(ROW(orderHistory[customer]),ROW(orderHistory[customer])),""),ROWS($A$15:A55)+$B$3)),INDEX(orderHistory[order_no],SMALL(IF(ISNUMBER(MATCH(orderHistory[status],$D$11,0)*MATCH(YEAR(orderHistory[invoice_date]),$D$15,0)),MATCH(ROW(orderHistory[customer]),ROW(orderHistory[customer])),""),ROWS($A$15:A55)+$B$3))),IF($D$15="",INDEX(orderHistory[order_no],SMALL(IF(ISNUMBER(MATCH(orderHistory[status],$D$11,0)*MATCH(orderHistory[order_type],$D$13,0)),MATCH(ROW(orderHistory[customer]),ROW(orderHistory[customer])),""),ROWS($A$15:A55)+$B$3)),INDEX(orderHistory[order_no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no],SMALL(IF(ISNUMBER(MATCH(orderHistory[customer],$D$9,0)),MATCH(ROW(orderHistory[customer]),ROW(orderHistory[customer])),""),ROWS($A$15:A55)+$B$3)),INDEX(orderHistory[order_no],SMALL(IF(ISNUMBER(MATCH(orderHistory[customer],$D$9,0)*MATCH(YEAR(orderHistory[invoice_date]),$D$15,0)),MATCH(ROW(orderHistory[customer]),ROW(orderHistory[customer])),""),ROWS($A$15:A55)+$B$3))),IF($D$15="",INDEX(orderHistory[order_no],SMALL(IF(ISNUMBER(MATCH(orderHistory[customer],$D$9,0)*MATCH(orderHistory[order_type],$D$13,0)),MATCH(ROW(orderHistory[customer]),ROW(orderHistory[customer])),""),ROWS($A$15:A55)+$B$3)),INDEX(orderHistory[order_no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no],SMALL(IF(ISNUMBER(MATCH(orderHistory[customer],$D$9,0)*MATCH(orderHistory[status],$D$11,0)),MATCH(ROW(orderHistory[customer]),ROW(orderHistory[customer])),""),ROWS($A$15:A55)+$B$3)),INDEX(orderHistory[order_no],SMALL(IF(ISNUMBER(MATCH(orderHistory[customer],$D$9,0)*MATCH(orderHistory[status],$D$11,0)*MATCH(YEAR(orderHistory[invoice_date]),$D$15,0)),MATCH(ROW(orderHistory[customer]),ROW(orderHistory[customer])),""),ROWS($A$15:A55)+$B$3))),IF($D$15="",INDEX(orderHistory[order_no],SMALL(IF(ISNUMBER(MATCH(orderHistory[customer],$D$9,0)*MATCH(orderHistory[status],$D$11,0)*MATCH(orderHistory[order_type],$D$13,0)),MATCH(ROW(orderHistory[customer]),ROW(orderHistory[customer])),""),ROWS($A$15:A55)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N50" s="541" t="str">
        <f t="array" ref="N50">IFERROR(IF($D$9="",IF($D$11="",IF($D$13="",IF($D$15="",INDEX(orderHistory[order_type],SMALL(MATCH(ROW(orderHistory[customer]),ROW(orderHistory[customer])),ROWS($A$15:A55)+$B$3)),INDEX(orderHistory[order_type],SMALL(IF(ISNUMBER(MATCH(YEAR(orderHistory[invoice_date]),$D$15,0)),MATCH(ROW(orderHistory[customer]),ROW(orderHistory[customer])),""),ROWS($A$15:A55)+$B$3))),IF($D$15="",INDEX(orderHistory[order_type],SMALL(IF(ISNUMBER(MATCH(orderHistory[order_type],$D$13,0)),MATCH(ROW(orderHistory[customer]),ROW(orderHistory[customer])),""),ROWS($A$15:A55)+$B$3)),INDEX(orderHistory[order_type],SMALL(IF(ISNUMBER(MATCH(orderHistory[order_type],$D$13,0)*MATCH(YEAR(orderHistory[invoice_date]),$D$15,0)),MATCH(ROW(orderHistory[customer]),ROW(orderHistory[customer])),""),ROWS($A$15:A55)+$B$3)))),IF($D$13="",IF($D$15="",INDEX(orderHistory[order_type],SMALL(IF(ISNUMBER(MATCH(orderHistory[status],$D$11,0)),MATCH(ROW(orderHistory[customer]),ROW(orderHistory[customer])),""),ROWS($A$15:A55)+$B$3)),INDEX(orderHistory[order_type],SMALL(IF(ISNUMBER(MATCH(orderHistory[status],$D$11,0)*MATCH(YEAR(orderHistory[invoice_date]),$D$15,0)),MATCH(ROW(orderHistory[customer]),ROW(orderHistory[customer])),""),ROWS($A$15:A55)+$B$3))),IF($D$15="",INDEX(orderHistory[order_type],SMALL(IF(ISNUMBER(MATCH(orderHistory[status],$D$11,0)*MATCH(orderHistory[order_type],$D$13,0)),MATCH(ROW(orderHistory[customer]),ROW(orderHistory[customer])),""),ROWS($A$15:A55)+$B$3)),INDEX(orderHistory[order_typ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type],SMALL(IF(ISNUMBER(MATCH(orderHistory[customer],$D$9,0)),MATCH(ROW(orderHistory[customer]),ROW(orderHistory[customer])),""),ROWS($A$15:A55)+$B$3)),INDEX(orderHistory[order_type],SMALL(IF(ISNUMBER(MATCH(orderHistory[customer],$D$9,0)*MATCH(YEAR(orderHistory[invoice_date]),$D$15,0)),MATCH(ROW(orderHistory[customer]),ROW(orderHistory[customer])),""),ROWS($A$15:A55)+$B$3))),IF($D$15="",INDEX(orderHistory[order_type],SMALL(IF(ISNUMBER(MATCH(orderHistory[customer],$D$9,0)*MATCH(orderHistory[order_type],$D$13,0)),MATCH(ROW(orderHistory[customer]),ROW(orderHistory[customer])),""),ROWS($A$15:A55)+$B$3)),INDEX(orderHistory[order_typ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type],SMALL(IF(ISNUMBER(MATCH(orderHistory[customer],$D$9,0)*MATCH(orderHistory[status],$D$11,0)),MATCH(ROW(orderHistory[customer]),ROW(orderHistory[customer])),""),ROWS($A$15:A55)+$B$3)),INDEX(orderHistory[order_type],SMALL(IF(ISNUMBER(MATCH(orderHistory[customer],$D$9,0)*MATCH(orderHistory[status],$D$11,0)*MATCH(YEAR(orderHistory[invoice_date]),$D$15,0)),MATCH(ROW(orderHistory[customer]),ROW(orderHistory[customer])),""),ROWS($A$15:A55)+$B$3))),IF($D$15="",INDEX(orderHistory[order_type],SMALL(IF(ISNUMBER(MATCH(orderHistory[customer],$D$9,0)*MATCH(orderHistory[status],$D$11,0)*MATCH(orderHistory[order_type],$D$13,0)),MATCH(ROW(orderHistory[customer]),ROW(orderHistory[customer])),""),ROWS($A$15:A55)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O50" s="542" t="str">
        <f t="array" ref="O50">IFERROR(IF($D$9="",IF($D$11="",IF($D$13="",IF($D$15="",INDEX(orderHistory[order_date],SMALL(MATCH(ROW(orderHistory[customer]),ROW(orderHistory[customer])),ROWS($A$15:A55)+$B$3)),INDEX(orderHistory[order_date],SMALL(IF(ISNUMBER(MATCH(YEAR(orderHistory[invoice_date]),$D$15,0)),MATCH(ROW(orderHistory[customer]),ROW(orderHistory[customer])),""),ROWS($A$15:A55)+$B$3))),IF($D$15="",INDEX(orderHistory[order_date],SMALL(IF(ISNUMBER(MATCH(orderHistory[order_type],$D$13,0)),MATCH(ROW(orderHistory[customer]),ROW(orderHistory[customer])),""),ROWS($A$15:A55)+$B$3)),INDEX(orderHistory[order_date],SMALL(IF(ISNUMBER(MATCH(orderHistory[order_type],$D$13,0)*MATCH(YEAR(orderHistory[invoice_date]),$D$15,0)),MATCH(ROW(orderHistory[customer]),ROW(orderHistory[customer])),""),ROWS($A$15:A55)+$B$3)))),IF($D$13="",IF($D$15="",INDEX(orderHistory[order_date],SMALL(IF(ISNUMBER(MATCH(orderHistory[status],$D$11,0)),MATCH(ROW(orderHistory[customer]),ROW(orderHistory[customer])),""),ROWS($A$15:A55)+$B$3)),INDEX(orderHistory[order_date],SMALL(IF(ISNUMBER(MATCH(orderHistory[status],$D$11,0)*MATCH(YEAR(orderHistory[invoice_date]),$D$15,0)),MATCH(ROW(orderHistory[customer]),ROW(orderHistory[customer])),""),ROWS($A$15:A55)+$B$3))),IF($D$15="",INDEX(orderHistory[order_date],SMALL(IF(ISNUMBER(MATCH(orderHistory[status],$D$11,0)*MATCH(orderHistory[order_type],$D$13,0)),MATCH(ROW(orderHistory[customer]),ROW(orderHistory[customer])),""),ROWS($A$15:A55)+$B$3)),INDEX(orderHistory[order_dat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date],SMALL(IF(ISNUMBER(MATCH(orderHistory[customer],$D$9,0)),MATCH(ROW(orderHistory[customer]),ROW(orderHistory[customer])),""),ROWS($A$15:A55)+$B$3)),INDEX(orderHistory[order_date],SMALL(IF(ISNUMBER(MATCH(orderHistory[customer],$D$9,0)*MATCH(YEAR(orderHistory[invoice_date]),$D$15,0)),MATCH(ROW(orderHistory[customer]),ROW(orderHistory[customer])),""),ROWS($A$15:A55)+$B$3))),IF($D$15="",INDEX(orderHistory[order_date],SMALL(IF(ISNUMBER(MATCH(orderHistory[customer],$D$9,0)*MATCH(orderHistory[order_type],$D$13,0)),MATCH(ROW(orderHistory[customer]),ROW(orderHistory[customer])),""),ROWS($A$15:A55)+$B$3)),INDEX(orderHistory[order_dat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date],SMALL(IF(ISNUMBER(MATCH(orderHistory[customer],$D$9,0)*MATCH(orderHistory[status],$D$11,0)),MATCH(ROW(orderHistory[customer]),ROW(orderHistory[customer])),""),ROWS($A$15:A55)+$B$3)),INDEX(orderHistory[order_date],SMALL(IF(ISNUMBER(MATCH(orderHistory[customer],$D$9,0)*MATCH(orderHistory[status],$D$11,0)*MATCH(YEAR(orderHistory[invoice_date]),$D$15,0)),MATCH(ROW(orderHistory[customer]),ROW(orderHistory[customer])),""),ROWS($A$15:A55)+$B$3))),IF($D$15="",INDEX(orderHistory[order_date],SMALL(IF(ISNUMBER(MATCH(orderHistory[customer],$D$9,0)*MATCH(orderHistory[status],$D$11,0)*MATCH(orderHistory[order_type],$D$13,0)),MATCH(ROW(orderHistory[customer]),ROW(orderHistory[customer])),""),ROWS($A$15:A55)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P50" s="543" t="str">
        <f t="array" ref="P50">IFERROR(IF($D$9="",IF($D$11="",IF($D$13="",IF($D$15="",INDEX(orderHistory[invoice_no],SMALL(MATCH(ROW(orderHistory[customer]),ROW(orderHistory[customer])),ROWS($A$15:A55)+$B$3)),INDEX(orderHistory[invoice_no],SMALL(IF(ISNUMBER(MATCH(YEAR(orderHistory[invoice_date]),$D$15,0)),MATCH(ROW(orderHistory[customer]),ROW(orderHistory[customer])),""),ROWS($A$15:A55)+$B$3))),IF($D$15="",INDEX(orderHistory[invoice_no],SMALL(IF(ISNUMBER(MATCH(orderHistory[order_type],$D$13,0)),MATCH(ROW(orderHistory[customer]),ROW(orderHistory[customer])),""),ROWS($A$15:A55)+$B$3)),INDEX(orderHistory[invoice_no],SMALL(IF(ISNUMBER(MATCH(orderHistory[order_type],$D$13,0)*MATCH(YEAR(orderHistory[invoice_date]),$D$15,0)),MATCH(ROW(orderHistory[customer]),ROW(orderHistory[customer])),""),ROWS($A$15:A55)+$B$3)))),IF($D$13="",IF($D$15="",INDEX(orderHistory[invoice_no],SMALL(IF(ISNUMBER(MATCH(orderHistory[status],$D$11,0)),MATCH(ROW(orderHistory[customer]),ROW(orderHistory[customer])),""),ROWS($A$15:A55)+$B$3)),INDEX(orderHistory[invoice_no],SMALL(IF(ISNUMBER(MATCH(orderHistory[status],$D$11,0)*MATCH(YEAR(orderHistory[invoice_date]),$D$15,0)),MATCH(ROW(orderHistory[customer]),ROW(orderHistory[customer])),""),ROWS($A$15:A55)+$B$3))),IF($D$15="",INDEX(orderHistory[invoice_no],SMALL(IF(ISNUMBER(MATCH(orderHistory[status],$D$11,0)*MATCH(orderHistory[order_type],$D$13,0)),MATCH(ROW(orderHistory[customer]),ROW(orderHistory[customer])),""),ROWS($A$15:A55)+$B$3)),INDEX(orderHistory[invoice_no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oice_no],SMALL(IF(ISNUMBER(MATCH(orderHistory[customer],$D$9,0)),MATCH(ROW(orderHistory[customer]),ROW(orderHistory[customer])),""),ROWS($A$15:A55)+$B$3)),INDEX(orderHistory[invoice_no],SMALL(IF(ISNUMBER(MATCH(orderHistory[customer],$D$9,0)*MATCH(YEAR(orderHistory[invoice_date]),$D$15,0)),MATCH(ROW(orderHistory[customer]),ROW(orderHistory[customer])),""),ROWS($A$15:A55)+$B$3))),IF($D$15="",INDEX(orderHistory[invoice_no],SMALL(IF(ISNUMBER(MATCH(orderHistory[customer],$D$9,0)*MATCH(orderHistory[order_type],$D$13,0)),MATCH(ROW(orderHistory[customer]),ROW(orderHistory[customer])),""),ROWS($A$15:A55)+$B$3)),INDEX(orderHistory[invoice_no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oice_no],SMALL(IF(ISNUMBER(MATCH(orderHistory[customer],$D$9,0)*MATCH(orderHistory[status],$D$11,0)),MATCH(ROW(orderHistory[customer]),ROW(orderHistory[customer])),""),ROWS($A$15:A55)+$B$3)),INDEX(orderHistory[invoice_no],SMALL(IF(ISNUMBER(MATCH(orderHistory[customer],$D$9,0)*MATCH(orderHistory[status],$D$11,0)*MATCH(YEAR(orderHistory[invoice_date]),$D$15,0)),MATCH(ROW(orderHistory[customer]),ROW(orderHistory[customer])),""),ROWS($A$15:A55)+$B$3))),IF($D$15="",INDEX(orderHistory[invoice_no],SMALL(IF(ISNUMBER(MATCH(orderHistory[customer],$D$9,0)*MATCH(orderHistory[status],$D$11,0)*MATCH(orderHistory[order_type],$D$13,0)),MATCH(ROW(orderHistory[customer]),ROW(orderHistory[customer])),""),ROWS($A$15:A55)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Q50" s="544" t="str">
        <f t="array" ref="Q50">IFERROR(IF($D$9="",IF($D$11="",IF($D$13="",IF($D$15="",INDEX(orderHistory[invoice_date],SMALL(MATCH(ROW(orderHistory[customer]),ROW(orderHistory[customer])),ROWS($A$15:A55)+$B$3)),INDEX(orderHistory[invoice_date],SMALL(IF(ISNUMBER(MATCH(YEAR(orderHistory[invoice_date]),$D$15,0)),MATCH(ROW(orderHistory[customer]),ROW(orderHistory[customer])),""),ROWS($A$15:A55)+$B$3))),IF($D$15="",INDEX(orderHistory[invoice_date],SMALL(IF(ISNUMBER(MATCH(orderHistory[order_type],$D$13,0)),MATCH(ROW(orderHistory[customer]),ROW(orderHistory[customer])),""),ROWS($A$15:A55)+$B$3)),INDEX(orderHistory[invoice_date],SMALL(IF(ISNUMBER(MATCH(orderHistory[order_type],$D$13,0)*MATCH(YEAR(orderHistory[invoice_date]),$D$15,0)),MATCH(ROW(orderHistory[customer]),ROW(orderHistory[customer])),""),ROWS($A$15:A55)+$B$3)))),IF($D$13="",IF($D$15="",INDEX(orderHistory[invoice_date],SMALL(IF(ISNUMBER(MATCH(orderHistory[status],$D$11,0)),MATCH(ROW(orderHistory[customer]),ROW(orderHistory[customer])),""),ROWS($A$15:A55)+$B$3)),INDEX(orderHistory[invoice_date],SMALL(IF(ISNUMBER(MATCH(orderHistory[status],$D$11,0)*MATCH(YEAR(orderHistory[invoice_date]),$D$15,0)),MATCH(ROW(orderHistory[customer]),ROW(orderHistory[customer])),""),ROWS($A$15:A55)+$B$3))),IF($D$15="",INDEX(orderHistory[invoice_date],SMALL(IF(ISNUMBER(MATCH(orderHistory[status],$D$11,0)*MATCH(orderHistory[order_type],$D$13,0)),MATCH(ROW(orderHistory[customer]),ROW(orderHistory[customer])),""),ROWS($A$15:A55)+$B$3)),INDEX(orderHistory[invoice_dat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oice_date],SMALL(IF(ISNUMBER(MATCH(orderHistory[customer],$D$9,0)),MATCH(ROW(orderHistory[customer]),ROW(orderHistory[customer])),""),ROWS($A$15:A55)+$B$3)),INDEX(orderHistory[invoice_date],SMALL(IF(ISNUMBER(MATCH(orderHistory[customer],$D$9,0)*MATCH(YEAR(orderHistory[invoice_date]),$D$15,0)),MATCH(ROW(orderHistory[customer]),ROW(orderHistory[customer])),""),ROWS($A$15:A55)+$B$3))),IF($D$15="",INDEX(orderHistory[invoice_date],SMALL(IF(ISNUMBER(MATCH(orderHistory[customer],$D$9,0)*MATCH(orderHistory[order_type],$D$13,0)),MATCH(ROW(orderHistory[customer]),ROW(orderHistory[customer])),""),ROWS($A$15:A55)+$B$3)),INDEX(orderHistory[invoice_dat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oice_date],SMALL(IF(ISNUMBER(MATCH(orderHistory[customer],$D$9,0)*MATCH(orderHistory[status],$D$11,0)),MATCH(ROW(orderHistory[customer]),ROW(orderHistory[customer])),""),ROWS($A$15:A55)+$B$3)),INDEX(orderHistory[invoice_date],SMALL(IF(ISNUMBER(MATCH(orderHistory[customer],$D$9,0)*MATCH(orderHistory[status],$D$11,0)*MATCH(YEAR(orderHistory[invoice_date]),$D$15,0)),MATCH(ROW(orderHistory[customer]),ROW(orderHistory[customer])),""),ROWS($A$15:A55)+$B$3))),IF($D$15="",INDEX(orderHistory[invoice_date],SMALL(IF(ISNUMBER(MATCH(orderHistory[customer],$D$9,0)*MATCH(orderHistory[status],$D$11,0)*MATCH(orderHistory[order_type],$D$13,0)),MATCH(ROW(orderHistory[customer]),ROW(orderHistory[customer])),""),ROWS($A$15:A55)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R50" s="545" t="str">
        <f t="array" ref="R50">IFERROR(IF($D$9="",IF($D$11="",IF($D$13="",IF($D$15="",INDEX(orderHistory[inv_amount],SMALL(MATCH(ROW(orderHistory[customer]),ROW(orderHistory[customer])),ROWS($A$15:A55)+$B$3)),INDEX(orderHistory[inv_amount],SMALL(IF(ISNUMBER(MATCH(YEAR(orderHistory[invoice_date]),$D$15,0)),MATCH(ROW(orderHistory[customer]),ROW(orderHistory[customer])),""),ROWS($A$15:A55)+$B$3))),IF($D$15="",INDEX(orderHistory[inv_amount],SMALL(IF(ISNUMBER(MATCH(orderHistory[order_type],$D$13,0)),MATCH(ROW(orderHistory[customer]),ROW(orderHistory[customer])),""),ROWS($A$15:A55)+$B$3)),INDEX(orderHistory[inv_amount],SMALL(IF(ISNUMBER(MATCH(orderHistory[order_type],$D$13,0)*MATCH(YEAR(orderHistory[invoice_date]),$D$15,0)),MATCH(ROW(orderHistory[customer]),ROW(orderHistory[customer])),""),ROWS($A$15:A55)+$B$3)))),IF($D$13="",IF($D$15="",INDEX(orderHistory[inv_amount],SMALL(IF(ISNUMBER(MATCH(orderHistory[status],$D$11,0)),MATCH(ROW(orderHistory[customer]),ROW(orderHistory[customer])),""),ROWS($A$15:A55)+$B$3)),INDEX(orderHistory[inv_amount],SMALL(IF(ISNUMBER(MATCH(orderHistory[status],$D$11,0)*MATCH(YEAR(orderHistory[invoice_date]),$D$15,0)),MATCH(ROW(orderHistory[customer]),ROW(orderHistory[customer])),""),ROWS($A$15:A55)+$B$3))),IF($D$15="",INDEX(orderHistory[inv_amount],SMALL(IF(ISNUMBER(MATCH(orderHistory[status],$D$11,0)*MATCH(orderHistory[order_type],$D$13,0)),MATCH(ROW(orderHistory[customer]),ROW(orderHistory[customer])),""),ROWS($A$15:A55)+$B$3)),INDEX(orderHistory[inv_amount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_amount],SMALL(IF(ISNUMBER(MATCH(orderHistory[customer],$D$9,0)),MATCH(ROW(orderHistory[customer]),ROW(orderHistory[customer])),""),ROWS($A$15:A55)+$B$3)),INDEX(orderHistory[inv_amount],SMALL(IF(ISNUMBER(MATCH(orderHistory[customer],$D$9,0)*MATCH(YEAR(orderHistory[invoice_date]),$D$15,0)),MATCH(ROW(orderHistory[customer]),ROW(orderHistory[customer])),""),ROWS($A$15:A55)+$B$3))),IF($D$15="",INDEX(orderHistory[inv_amount],SMALL(IF(ISNUMBER(MATCH(orderHistory[customer],$D$9,0)*MATCH(orderHistory[order_type],$D$13,0)),MATCH(ROW(orderHistory[customer]),ROW(orderHistory[customer])),""),ROWS($A$15:A55)+$B$3)),INDEX(orderHistory[inv_amount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_amount],SMALL(IF(ISNUMBER(MATCH(orderHistory[customer],$D$9,0)*MATCH(orderHistory[status],$D$11,0)),MATCH(ROW(orderHistory[customer]),ROW(orderHistory[customer])),""),ROWS($A$15:A55)+$B$3)),INDEX(orderHistory[inv_amount],SMALL(IF(ISNUMBER(MATCH(orderHistory[customer],$D$9,0)*MATCH(orderHistory[status],$D$11,0)*MATCH(YEAR(orderHistory[inv_amount]),$D$15,0)),MATCH(ROW(orderHistory[customer]),ROW(orderHistory[customer])),""),ROWS($A$15:A55)+$B$3))),IF($D$15="",INDEX(orderHistory[inv_amount],SMALL(IF(ISNUMBER(MATCH(orderHistory[customer],$D$9,0)*MATCH(orderHistory[status],$D$11,0)*MATCH(orderHistory[order_type],$D$13,0)),MATCH(ROW(orderHistory[customer]),ROW(orderHistory[customer])),""),ROWS($A$15:A55)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S50" s="546" t="str">
        <f t="shared" si="2"/>
        <v/>
      </c>
      <c r="T50" s="547" t="str">
        <f t="array" ref="T50">IFERROR(IF($D$9="",IF($D$11="",IF($D$13="",IF($D$15="",INDEX(orderHistory[payed],SMALL(MATCH(ROW(orderHistory[customer]),ROW(orderHistory[customer])),ROWS($A$15:A55)+$B$3)),INDEX(orderHistory[payed],SMALL(IF(ISNUMBER(MATCH(YEAR(orderHistory[invoice_date]),$D$15,0)),MATCH(ROW(orderHistory[customer]),ROW(orderHistory[customer])),""),ROWS($A$15:A55)+$B$3))),IF($D$15="",INDEX(orderHistory[payed],SMALL(IF(ISNUMBER(MATCH(orderHistory[order_type],$D$13,0)),MATCH(ROW(orderHistory[customer]),ROW(orderHistory[customer])),""),ROWS($A$15:A55)+$B$3)),INDEX(orderHistory[payed],SMALL(IF(ISNUMBER(MATCH(orderHistory[order_type],$D$13,0)*MATCH(YEAR(orderHistory[invoice_date]),$D$15,0)),MATCH(ROW(orderHistory[customer]),ROW(orderHistory[customer])),""),ROWS($A$15:A55)+$B$3)))),IF($D$13="",IF($D$15="",INDEX(orderHistory[payed],SMALL(IF(ISNUMBER(MATCH(orderHistory[status],$D$11,0)),MATCH(ROW(orderHistory[customer]),ROW(orderHistory[customer])),""),ROWS($A$15:A55)+$B$3)),INDEX(orderHistory[payed],SMALL(IF(ISNUMBER(MATCH(orderHistory[status],$D$11,0)*MATCH(YEAR(orderHistory[invoice_date]),$D$15,0)),MATCH(ROW(orderHistory[customer]),ROW(orderHistory[customer])),""),ROWS($A$15:A55)+$B$3))),IF($D$15="",INDEX(orderHistory[payed],SMALL(IF(ISNUMBER(MATCH(orderHistory[status],$D$11,0)*MATCH(orderHistory[order_type],$D$13,0)),MATCH(ROW(orderHistory[customer]),ROW(orderHistory[customer])),""),ROWS($A$15:A55)+$B$3)),INDEX(orderHistory[payed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payed],SMALL(IF(ISNUMBER(MATCH(orderHistory[customer],$D$9,0)),MATCH(ROW(orderHistory[customer]),ROW(orderHistory[customer])),""),ROWS($A$15:A55)+$B$3)),INDEX(orderHistory[payed],SMALL(IF(ISNUMBER(MATCH(orderHistory[customer],$D$9,0)*MATCH(YEAR(orderHistory[invoice_date]),$D$15,0)),MATCH(ROW(orderHistory[customer]),ROW(orderHistory[customer])),""),ROWS($A$15:A55)+$B$3))),IF($D$15="",INDEX(orderHistory[payed],SMALL(IF(ISNUMBER(MATCH(orderHistory[customer],$D$9,0)*MATCH(orderHistory[order_type],$D$13,0)),MATCH(ROW(orderHistory[customer]),ROW(orderHistory[customer])),""),ROWS($A$15:A55)+$B$3)),INDEX(orderHistory[payed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payed],SMALL(IF(ISNUMBER(MATCH(orderHistory[customer],$D$9,0)*MATCH(orderHistory[status],$D$11,0)),MATCH(ROW(orderHistory[customer]),ROW(orderHistory[customer])),""),ROWS($A$15:A55)+$B$3)),INDEX(orderHistory[payed],SMALL(IF(ISNUMBER(MATCH(orderHistory[customer],$D$9,0)*MATCH(orderHistory[status],$D$11,0)*MATCH(YEAR(orderHistory[payed]),$D$15,0)),MATCH(ROW(orderHistory[customer]),ROW(orderHistory[customer])),""),ROWS($A$15:A55)+$B$3))),IF($D$15="",INDEX(orderHistory[payed],SMALL(IF(ISNUMBER(MATCH(orderHistory[customer],$D$9,0)*MATCH(orderHistory[status],$D$11,0)*MATCH(orderHistory[order_type],$D$13,0)),MATCH(ROW(orderHistory[customer]),ROW(orderHistory[customer])),""),ROWS($A$15:A55)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U50" s="541" t="str">
        <f t="array" ref="U50">IFERROR(IF($D$9="",IF($D$11="",IF($D$13="",IF($D$15="",INDEX(orderHistory[shipping_method],SMALL(MATCH(ROW(orderHistory[customer]),ROW(orderHistory[customer])),ROWS($A$15:A55)+$B$3)),INDEX(orderHistory[shipping_method],SMALL(IF(ISNUMBER(MATCH(YEAR(orderHistory[invoice_date]),$D$15,0)),MATCH(ROW(orderHistory[customer]),ROW(orderHistory[customer])),""),ROWS($A$15:A55)+$B$3))),IF($D$15="",INDEX(orderHistory[shipping_method],SMALL(IF(ISNUMBER(MATCH(orderHistory[order_type],$D$13,0)),MATCH(ROW(orderHistory[customer]),ROW(orderHistory[customer])),""),ROWS($A$15:A55)+$B$3)),INDEX(orderHistory[shipping_method],SMALL(IF(ISNUMBER(MATCH(orderHistory[order_type],$D$13,0)*MATCH(YEAR(orderHistory[invoice_date]),$D$15,0)),MATCH(ROW(orderHistory[customer]),ROW(orderHistory[customer])),""),ROWS($A$15:A55)+$B$3)))),IF($D$13="",IF($D$15="",INDEX(orderHistory[shipping_method],SMALL(IF(ISNUMBER(MATCH(orderHistory[status],$D$11,0)),MATCH(ROW(orderHistory[customer]),ROW(orderHistory[customer])),""),ROWS($A$15:A55)+$B$3)),INDEX(orderHistory[shipping_method],SMALL(IF(ISNUMBER(MATCH(orderHistory[status],$D$11,0)*MATCH(YEAR(orderHistory[invoice_date]),$D$15,0)),MATCH(ROW(orderHistory[customer]),ROW(orderHistory[customer])),""),ROWS($A$15:A55)+$B$3))),IF($D$15="",INDEX(orderHistory[shipping_method],SMALL(IF(ISNUMBER(MATCH(orderHistory[status],$D$11,0)*MATCH(orderHistory[order_type],$D$13,0)),MATCH(ROW(orderHistory[customer]),ROW(orderHistory[customer])),""),ROWS($A$15:A55)+$B$3)),INDEX(orderHistory[shipping_method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shipping_method],SMALL(IF(ISNUMBER(MATCH(orderHistory[customer],$D$9,0)),MATCH(ROW(orderHistory[customer]),ROW(orderHistory[customer])),""),ROWS($A$15:A55)+$B$3)),INDEX(orderHistory[shipping_method],SMALL(IF(ISNUMBER(MATCH(orderHistory[customer],$D$9,0)*MATCH(YEAR(orderHistory[invoice_date]),$D$15,0)),MATCH(ROW(orderHistory[customer]),ROW(orderHistory[customer])),""),ROWS($A$15:A55)+$B$3))),IF($D$15="",INDEX(orderHistory[shipping_method],SMALL(IF(ISNUMBER(MATCH(orderHistory[customer],$D$9,0)*MATCH(orderHistory[order_type],$D$13,0)),MATCH(ROW(orderHistory[customer]),ROW(orderHistory[customer])),""),ROWS($A$15:A55)+$B$3)),INDEX(orderHistory[shipping_method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shipping_method],SMALL(IF(ISNUMBER(MATCH(orderHistory[customer],$D$9,0)*MATCH(orderHistory[status],$D$11,0)),MATCH(ROW(orderHistory[customer]),ROW(orderHistory[customer])),""),ROWS($A$15:A55)+$B$3)),INDEX(orderHistory[shipping_method],SMALL(IF(ISNUMBER(MATCH(orderHistory[customer],$D$9,0)*MATCH(orderHistory[status],$D$11,0)*MATCH(YEAR(orderHistory[shipping_method]),$D$15,0)),MATCH(ROW(orderHistory[customer]),ROW(orderHistory[customer])),""),ROWS($A$15:A55)+$B$3))),IF($D$15="",INDEX(orderHistory[shipping_method],SMALL(IF(ISNUMBER(MATCH(orderHistory[customer],$D$9,0)*MATCH(orderHistory[status],$D$11,0)*MATCH(orderHistory[order_type],$D$13,0)),MATCH(ROW(orderHistory[customer]),ROW(orderHistory[customer])),""),ROWS($A$15:A55)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V50" s="548" t="str">
        <f t="array" ref="V50">IFERROR(IF($D$9="",IF($D$11="",IF($D$13="",IF($D$15="",INDEX(orderHistory[status],SMALL(MATCH(ROW(orderHistory[customer]),ROW(orderHistory[customer])),ROWS($A$15:A55)+$B$3)),INDEX(orderHistory[status],SMALL(IF(ISNUMBER(MATCH(YEAR(orderHistory[invoice_date]),$D$15,0)),MATCH(ROW(orderHistory[customer]),ROW(orderHistory[customer])),""),ROWS($A$15:A55)+$B$3))),IF($D$15="",INDEX(orderHistory[status],SMALL(IF(ISNUMBER(MATCH(orderHistory[order_type],$D$13,0)),MATCH(ROW(orderHistory[customer]),ROW(orderHistory[customer])),""),ROWS($A$15:A55)+$B$3)),INDEX(orderHistory[status],SMALL(IF(ISNUMBER(MATCH(orderHistory[order_type],$D$13,0)*MATCH(YEAR(orderHistory[invoice_date]),$D$15,0)),MATCH(ROW(orderHistory[customer]),ROW(orderHistory[customer])),""),ROWS($A$15:A55)+$B$3)))),IF($D$13="",IF($D$15="",INDEX(orderHistory[status],SMALL(IF(ISNUMBER(MATCH(orderHistory[status],$D$11,0)),MATCH(ROW(orderHistory[customer]),ROW(orderHistory[customer])),""),ROWS($A$15:A55)+$B$3)),INDEX(orderHistory[status],SMALL(IF(ISNUMBER(MATCH(orderHistory[status],$D$11,0)*MATCH(YEAR(orderHistory[invoice_date]),$D$15,0)),MATCH(ROW(orderHistory[customer]),ROW(orderHistory[customer])),""),ROWS($A$15:A55)+$B$3))),IF($D$15="",INDEX(orderHistory[status],SMALL(IF(ISNUMBER(MATCH(orderHistory[status],$D$11,0)*MATCH(orderHistory[order_type],$D$13,0)),MATCH(ROW(orderHistory[customer]),ROW(orderHistory[customer])),""),ROWS($A$15:A55)+$B$3)),INDEX(orderHistory[status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status],SMALL(IF(ISNUMBER(MATCH(orderHistory[customer],$D$9,0)),MATCH(ROW(orderHistory[customer]),ROW(orderHistory[customer])),""),ROWS($A$15:A55)+$B$3)),INDEX(orderHistory[status],SMALL(IF(ISNUMBER(MATCH(orderHistory[customer],$D$9,0)*MATCH(YEAR(orderHistory[invoice_date]),$D$15,0)),MATCH(ROW(orderHistory[customer]),ROW(orderHistory[customer])),""),ROWS($A$15:A55)+$B$3))),IF($D$15="",INDEX(orderHistory[status],SMALL(IF(ISNUMBER(MATCH(orderHistory[customer],$D$9,0)*MATCH(orderHistory[order_type],$D$13,0)),MATCH(ROW(orderHistory[customer]),ROW(orderHistory[customer])),""),ROWS($A$15:A55)+$B$3)),INDEX(orderHistory[status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status],SMALL(IF(ISNUMBER(MATCH(orderHistory[customer],$D$9,0)*MATCH(orderHistory[status],$D$11,0)),MATCH(ROW(orderHistory[customer]),ROW(orderHistory[customer])),""),ROWS($A$15:A55)+$B$3)),INDEX(orderHistory[status],SMALL(IF(ISNUMBER(MATCH(orderHistory[customer],$D$9,0)*MATCH(orderHistory[status],$D$11,0)*MATCH(YEAR(orderHistory[status]),$D$15,0)),MATCH(ROW(orderHistory[customer]),ROW(orderHistory[customer])),""),ROWS($A$15:A55)+$B$3))),IF($D$15="",INDEX(orderHistory[status],SMALL(IF(ISNUMBER(MATCH(orderHistory[customer],$D$9,0)*MATCH(orderHistory[status],$D$11,0)*MATCH(orderHistory[order_type],$D$13,0)),MATCH(ROW(orderHistory[customer]),ROW(orderHistory[customer])),""),ROWS($A$15:A55)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W50" s="327"/>
      <c r="X50" s="414"/>
      <c r="AQ50" s="515"/>
      <c r="AR50" s="515" t="s">
        <v>619</v>
      </c>
      <c r="BG50" s="296"/>
      <c r="BK50" s="450"/>
      <c r="BL50" s="451"/>
      <c r="BM50" s="452"/>
      <c r="BN50" s="451"/>
      <c r="BO50" s="452"/>
      <c r="BZ50" s="167"/>
      <c r="CA50" s="154" t="str">
        <f>IF(BZ50="","",INDEX(bhpc_data[description],MATCH(BZ50,bhpc_data[sku],0)))</f>
        <v/>
      </c>
      <c r="CB50" s="166"/>
      <c r="CC50" s="357"/>
      <c r="CD50" s="160"/>
      <c r="CE50" s="360"/>
      <c r="CF50" s="161"/>
      <c r="CG50" s="164" t="str">
        <f>IFERROR(ROUNDUP(CB50/INDEX(bhpc_data[units_per_carton],MATCH(BZ50,bhpc_data[sku],0)),0),"")</f>
        <v/>
      </c>
      <c r="CH50" s="165" t="str">
        <f>IFERROR(ROUNDUP(CD50/INDEX(bhpc_data[units_per_carton],MATCH(BZ50,bhpc_data[sku],0)),0),"")</f>
        <v/>
      </c>
      <c r="CI50" s="165" t="str">
        <f>IFERROR(ROUNDUP(CF50/INDEX(bhpc_data[units_per_carton],MATCH(BZ50,bhpc_data[sku])),0),"")</f>
        <v/>
      </c>
      <c r="CJ50" s="165" t="str">
        <f>IFERROR(((CB50+CD50+CF50)/INDEX(bhpc_data[units_per_carton],MATCH(BZ50,bhpc_data[sku],0)))*INDEX(bhpc_data[net_weight],MATCH(BZ50,bhpc_data[sku],0)),"")</f>
        <v/>
      </c>
      <c r="CK50" s="165" t="str">
        <f>IFERROR(((CB50+CD50+CF50)/INDEX(bhpc_data[units_per_carton],MATCH(BZ50,bhpc_data[sku],0)))*INDEX(bhpc_data[gross_weight],MATCH(BZ50,bhpc_data[sku],0)),"")</f>
        <v/>
      </c>
      <c r="CL50" s="180" t="str">
        <f>IFERROR((CB50+CD50+CF50)/INDEX(bhpc_data[units_per_carton],MATCH(BZ50,bhpc_data[sku],0))*INDEX(bhpc_data[lenght],MATCH(BZ50,bhpc_data[sku],0))*INDEX(bhpc_data[width],MATCH(BZ50,bhpc_data[sku],0))*INDEX(bhpc_data[height],MATCH(BZ50,bhpc_data[sku],0))/1000000000,"")</f>
        <v/>
      </c>
      <c r="CM50" s="189" t="str">
        <f>IFERROR(INDEX(bhpc_data[category],MATCH(BZ50,bhpc_data[sku],0)),"")</f>
        <v/>
      </c>
      <c r="CN50" s="189" t="str">
        <f>IFERROR(INDEX(bhpc_data[size1],MATCH(BZ50,bhpc_data[sku],0)),"")</f>
        <v/>
      </c>
      <c r="CO50" s="388" t="str">
        <f>IFERROR(INDEX(bhpc_data[hs_code],MATCH(BZ50,bhpc_data[sku],0)),"")</f>
        <v/>
      </c>
      <c r="CP50" s="377" t="str">
        <f>IFERROR(INDEX(inventory[ESISTENZA],MATCH(BZ50,inventory[ARTICOLO],0)),"")</f>
        <v/>
      </c>
      <c r="CQ50" s="364" t="str">
        <f>IFERROR(IF(BZ50="","",IF($BX$15="SALE",INDEX(inventory[COSTO UNITARIO],MATCH(BZ50,inventory[ARTICOLO],0)),IF($BX$15="SAMPLING",INDEX(inventory[COSTO UNITARIO],MATCH(BZ50,inventory[ARTICOLO],0)),""))),"")</f>
        <v/>
      </c>
      <c r="CR50" s="365" t="str">
        <f t="shared" si="3"/>
        <v/>
      </c>
      <c r="CS50" s="264" t="str">
        <f t="shared" si="4"/>
        <v/>
      </c>
      <c r="CU50" s="432"/>
      <c r="CV50" s="432"/>
      <c r="CW50" s="432"/>
      <c r="CX50" s="432"/>
      <c r="CY50" s="432"/>
      <c r="CZ50" s="432"/>
      <c r="DA50" s="432" t="str">
        <f>IFERROR(VLOOKUP(BZ50,bhpc_data[],22,FALSE),"")</f>
        <v/>
      </c>
      <c r="EE50" s="202" t="str" cm="1">
        <f t="array" ref="EE50">IFERROR(IF($EC$9="",IF($EC$11="",IF($EC$13="",INDEX(bhpc_data[sku],SMALL(MATCH(ROW(bhpc_data[sku]),ROW(bhpc_data[sku])),ROWS($A$15:A55)+$B$3)),INDEX(bhpc_data[sku],SMALL(IF(ISNUMBER(MATCH(bhpc_data[size1],$EC$13,0)),MATCH(ROW(bhpc_data[sku]),ROW(bhpc_data[sku])),""),ROWS($A$15:A55)+$B$3))),IF($EC$13="",INDEX(bhpc_data[sku],SMALL(IF(ISNUMBER(MATCH(bhpc_data[sex],$EC$11,0)),MATCH(ROW(bhpc_data[sku]),ROW(bhpc_data[sku])),""),ROWS($A$15:A55)+$B$3)),INDEX(bhpc_data[sku],SMALL(IF(ISNUMBER(MATCH(bhpc_data[sex],$EC$11,0)*MATCH(bhpc_data[size1],$EC$13,0)),MATCH(ROW(bhpc_data[sku]),ROW(bhpc_data[sku])),""),ROWS($A$15:A55)+$B$3)))),IF($EC$11="",IF($EC$13="",INDEX(bhpc_data[sku],SMALL(IF(ISNUMBER(MATCH(bhpc_data[category],$EC$9,0)),MATCH(ROW(bhpc_data[sku]),ROW(bhpc_data[sku])),""),ROWS($A$15:A55)+$B$3)),INDEX(bhpc_data[sku],SMALL(IF(ISNUMBER(MATCH(bhpc_data[category],$EC$9,0)*MATCH(bhpc_data[size1],$EC$13,0)),MATCH(ROW(bhpc_data[sku]),ROW(bhpc_data[sku])),""),ROWS($A$15:A55)+$B$3))),IF($EC$13="",INDEX(bhpc_data[sku],SMALL(IF(ISNUMBER(MATCH(bhpc_data[category],$EC$9,0)*MATCH(bhpc_data[sex],$EC$11,0)),MATCH(ROW(bhpc_data[sku]),ROW(bhpc_data[sku])),""),ROWS($A$15:A55)+$B$3)),INDEX(bhpc_data[sku],SMALL(IF(ISNUMBER(MATCH(bhpc_data[category],$EC$9,0)*MATCH(bhpc_data[sex],$EC$11,0)*MATCH(bhpc_data[size1],$EC$13,0)),MATCH(ROW(bhpc_data[sku]),ROW(bhpc_data[sku])),""),ROWS($A$15:A55)+$B$3))))),"")</f>
        <v>P05006</v>
      </c>
      <c r="EF50" s="198" t="str" cm="1">
        <f t="array" ref="EF50">IFERROR(IF($EC$9="",IF($EC$11="",IF($EC$13="",INDEX(bhpc_data[description],SMALL(MATCH(ROW(bhpc_data[sku]),ROW(bhpc_data[sku])),ROWS($A$15:A55)+$B$3)),INDEX(bhpc_data[description],SMALL(IF(ISNUMBER(MATCH(bhpc_data[size1],$EC$13,0)),MATCH(ROW(bhpc_data[sku]),ROW(bhpc_data[sku])),""),ROWS($A$15:A55)+$B$3))),IF($EC$13="",INDEX(bhpc_data[description],SMALL(IF(ISNUMBER(MATCH(bhpc_data[sex],$EC$11,0)),MATCH(ROW(bhpc_data[sku]),ROW(bhpc_data[sku])),""),ROWS($A$15:A55)+$B$3)),INDEX(bhpc_data[description],SMALL(IF(ISNUMBER(MATCH(bhpc_data[sex],$EC$11,0)*MATCH(bhpc_data[size1],$EC$13,0)),MATCH(ROW(bhpc_data[sku]),ROW(bhpc_data[sku])),""),ROWS($A$15:A55)+$B$3)))),IF($EC$11="",IF($EC$13="",INDEX(bhpc_data[description],SMALL(IF(ISNUMBER(MATCH(bhpc_data[category],$EC$9,0)),MATCH(ROW(bhpc_data[sku]),ROW(bhpc_data[sku])),""),ROWS($A$15:A55)+$B$3)),INDEX(bhpc_data[description],SMALL(IF(ISNUMBER(MATCH(bhpc_data[category],$EC$9,0)*MATCH(bhpc_data[size1],$EC$13,0)),MATCH(ROW(bhpc_data[sku]),ROW(bhpc_data[sku])),""),ROWS($A$15:A55)+$B$3))),IF($EC$13="",INDEX(bhpc_data[description],SMALL(IF(ISNUMBER(MATCH(bhpc_data[category],$EC$9,0)*MATCH(bhpc_data[sex],$EC$11,0)),MATCH(ROW(bhpc_data[sku]),ROW(bhpc_data[sku])),""),ROWS($A$15:A55)+$B$3)),INDEX(bhpc_data[description],SMALL(IF(ISNUMBER(MATCH(bhpc_data[category],$EC$9,0)*MATCH(bhpc_data[sex],$EC$11,0)*MATCH(bhpc_data[size1],$EC$13,0)),MATCH(ROW(bhpc_data[sku]),ROW(bhpc_data[sku])),""),ROWS($A$15:A55)+$B$3))))),"")</f>
        <v>BHPC SPORT MEN 8 EDT 100ML</v>
      </c>
      <c r="EG50" s="263">
        <f>IFERROR(IF(warehouse[[#This Row],[SKU]]="","",INDEX(inventory[ESISTENZA],MATCH(warehouse[[#This Row],[SKU]],inventory[ARTICOLO],0))),"")</f>
        <v>12592</v>
      </c>
      <c r="EH50" s="328"/>
      <c r="EI50" s="328"/>
      <c r="EJ50" s="263"/>
      <c r="EK50" s="329"/>
      <c r="EO50" s="296" t="str">
        <f t="array" ref="EO50">IFERROR(INDEX(orderHistory[order_no],SMALL(IF(ISNUMBER(MATCH(orderHistory[status],$EO$7,0)),MATCH(ROW(orderHistory[order_no]),ROW(orderHistory[order_no])),""),ROWS($A$15:A55))),"")</f>
        <v/>
      </c>
    </row>
    <row r="51" spans="10:145" ht="15" customHeight="1" x14ac:dyDescent="0.35">
      <c r="J51" s="414"/>
      <c r="K51" s="414"/>
      <c r="L51" s="539" t="str">
        <f t="array" ref="L51">IFERROR(IF($D$9="",IF($D$11="",IF($D$13="",IF($D$15="",INDEX(orderHistory[customer],SMALL(MATCH(ROW(orderHistory[customer]),ROW(orderHistory[customer])),ROWS($A$15:A56)+$B$3)),INDEX(orderHistory[customer],SMALL(IF(ISNUMBER(MATCH(YEAR(orderHistory[invoice_date]),$D$15,0)),MATCH(ROW(orderHistory[customer]),ROW(orderHistory[customer])),""),ROWS($A$15:A56)+$B$3))),IF($D$15="",INDEX(orderHistory[customer],SMALL(IF(ISNUMBER(MATCH(orderHistory[order_type],$D$13,0)),MATCH(ROW(orderHistory[customer]),ROW(orderHistory[customer])),""),ROWS($A$15:A56)+$B$3)),INDEX(orderHistory[customer],SMALL(IF(ISNUMBER(MATCH(orderHistory[order_type],$D$13,0)*MATCH(YEAR(orderHistory[invoice_date]),$D$15,0)),MATCH(ROW(orderHistory[customer]),ROW(orderHistory[customer])),""),ROWS($A$15:A56)+$B$3)))),IF($D$13="",IF($D$15="",INDEX(orderHistory[customer],SMALL(IF(ISNUMBER(MATCH(orderHistory[status],$D$11,0)),MATCH(ROW(orderHistory[customer]),ROW(orderHistory[customer])),""),ROWS($A$15:A56)+$B$3)),INDEX(orderHistory[customer],SMALL(IF(ISNUMBER(MATCH(orderHistory[status],$D$11,0)*MATCH(YEAR(orderHistory[invoice_date]),$D$15,0)),MATCH(ROW(orderHistory[customer]),ROW(orderHistory[customer])),""),ROWS($A$15:A56)+$B$3))),IF($D$15="",INDEX(orderHistory[customer],SMALL(IF(ISNUMBER(MATCH(orderHistory[status],$D$11,0)*MATCH(orderHistory[order_type],$D$13,0)),MATCH(ROW(orderHistory[customer]),ROW(orderHistory[customer])),""),ROWS($A$15:A56)+$B$3)),INDEX(orderHistory[customer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customer],SMALL(IF(ISNUMBER(MATCH(orderHistory[customer],$D$9,0)),MATCH(ROW(orderHistory[customer]),ROW(orderHistory[customer])),""),ROWS($A$15:A56)+$B$3)),INDEX(orderHistory[customer],SMALL(IF(ISNUMBER(MATCH(orderHistory[customer],$D$9,0)*MATCH(YEAR(orderHistory[invoice_date]),$D$15,0)),MATCH(ROW(orderHistory[customer]),ROW(orderHistory[customer])),""),ROWS($A$15:A56)+$B$3))),IF($D$15="",INDEX(orderHistory[customer],SMALL(IF(ISNUMBER(MATCH(orderHistory[customer],$D$9,0)*MATCH(orderHistory[order_type],$D$13,0)),MATCH(ROW(orderHistory[customer]),ROW(orderHistory[customer])),""),ROWS($A$15:A56)+$B$3)),INDEX(orderHistory[customer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customer],SMALL(IF(ISNUMBER(MATCH(orderHistory[customer],$D$9,0)*MATCH(orderHistory[status],$D$11,0)),MATCH(ROW(orderHistory[customer]),ROW(orderHistory[customer])),""),ROWS($A$15:A56)+$B$3)),INDEX(orderHistory[customer],SMALL(IF(ISNUMBER(MATCH(orderHistory[customer],$D$9,0)*MATCH(orderHistory[status],$D$11,0)*MATCH(YEAR(orderHistory[invoice_date]),$D$15,0)),MATCH(ROW(orderHistory[customer]),ROW(orderHistory[customer])),""),ROWS($A$15:A56)+$B$3))),IF($D$15="",INDEX(orderHistory[customer],SMALL(IF(ISNUMBER(MATCH(orderHistory[customer],$D$9,0)*MATCH(orderHistory[status],$D$11,0)*MATCH(orderHistory[order_type],$D$13,0)),MATCH(ROW(orderHistory[customer]),ROW(orderHistory[customer])),""),ROWS($A$15:A56)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M51" s="540" t="str">
        <f t="array" ref="M51">IFERROR(IF($D$9="",IF($D$11="",IF($D$13="",IF($D$15="",INDEX(orderHistory[order_no],SMALL(MATCH(ROW(orderHistory[customer]),ROW(orderHistory[customer])),ROWS($A$15:A56)+$B$3)),INDEX(orderHistory[order_no],SMALL(IF(ISNUMBER(MATCH(YEAR(orderHistory[invoice_date]),$D$15,0)),MATCH(ROW(orderHistory[customer]),ROW(orderHistory[customer])),""),ROWS($A$15:A56)+$B$3))),IF($D$15="",INDEX(orderHistory[order_no],SMALL(IF(ISNUMBER(MATCH(orderHistory[order_type],$D$13,0)),MATCH(ROW(orderHistory[customer]),ROW(orderHistory[customer])),""),ROWS($A$15:A56)+$B$3)),INDEX(orderHistory[order_no],SMALL(IF(ISNUMBER(MATCH(orderHistory[order_type],$D$13,0)*MATCH(YEAR(orderHistory[invoice_date]),$D$15,0)),MATCH(ROW(orderHistory[customer]),ROW(orderHistory[customer])),""),ROWS($A$15:A56)+$B$3)))),IF($D$13="",IF($D$15="",INDEX(orderHistory[order_no],SMALL(IF(ISNUMBER(MATCH(orderHistory[status],$D$11,0)),MATCH(ROW(orderHistory[customer]),ROW(orderHistory[customer])),""),ROWS($A$15:A56)+$B$3)),INDEX(orderHistory[order_no],SMALL(IF(ISNUMBER(MATCH(orderHistory[status],$D$11,0)*MATCH(YEAR(orderHistory[invoice_date]),$D$15,0)),MATCH(ROW(orderHistory[customer]),ROW(orderHistory[customer])),""),ROWS($A$15:A56)+$B$3))),IF($D$15="",INDEX(orderHistory[order_no],SMALL(IF(ISNUMBER(MATCH(orderHistory[status],$D$11,0)*MATCH(orderHistory[order_type],$D$13,0)),MATCH(ROW(orderHistory[customer]),ROW(orderHistory[customer])),""),ROWS($A$15:A56)+$B$3)),INDEX(orderHistory[order_no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no],SMALL(IF(ISNUMBER(MATCH(orderHistory[customer],$D$9,0)),MATCH(ROW(orderHistory[customer]),ROW(orderHistory[customer])),""),ROWS($A$15:A56)+$B$3)),INDEX(orderHistory[order_no],SMALL(IF(ISNUMBER(MATCH(orderHistory[customer],$D$9,0)*MATCH(YEAR(orderHistory[invoice_date]),$D$15,0)),MATCH(ROW(orderHistory[customer]),ROW(orderHistory[customer])),""),ROWS($A$15:A56)+$B$3))),IF($D$15="",INDEX(orderHistory[order_no],SMALL(IF(ISNUMBER(MATCH(orderHistory[customer],$D$9,0)*MATCH(orderHistory[order_type],$D$13,0)),MATCH(ROW(orderHistory[customer]),ROW(orderHistory[customer])),""),ROWS($A$15:A56)+$B$3)),INDEX(orderHistory[order_no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no],SMALL(IF(ISNUMBER(MATCH(orderHistory[customer],$D$9,0)*MATCH(orderHistory[status],$D$11,0)),MATCH(ROW(orderHistory[customer]),ROW(orderHistory[customer])),""),ROWS($A$15:A56)+$B$3)),INDEX(orderHistory[order_no],SMALL(IF(ISNUMBER(MATCH(orderHistory[customer],$D$9,0)*MATCH(orderHistory[status],$D$11,0)*MATCH(YEAR(orderHistory[invoice_date]),$D$15,0)),MATCH(ROW(orderHistory[customer]),ROW(orderHistory[customer])),""),ROWS($A$15:A56)+$B$3))),IF($D$15="",INDEX(orderHistory[order_no],SMALL(IF(ISNUMBER(MATCH(orderHistory[customer],$D$9,0)*MATCH(orderHistory[status],$D$11,0)*MATCH(orderHistory[order_type],$D$13,0)),MATCH(ROW(orderHistory[customer]),ROW(orderHistory[customer])),""),ROWS($A$15:A56)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N51" s="541" t="str">
        <f t="array" ref="N51">IFERROR(IF($D$9="",IF($D$11="",IF($D$13="",IF($D$15="",INDEX(orderHistory[order_type],SMALL(MATCH(ROW(orderHistory[customer]),ROW(orderHistory[customer])),ROWS($A$15:A56)+$B$3)),INDEX(orderHistory[order_type],SMALL(IF(ISNUMBER(MATCH(YEAR(orderHistory[invoice_date]),$D$15,0)),MATCH(ROW(orderHistory[customer]),ROW(orderHistory[customer])),""),ROWS($A$15:A56)+$B$3))),IF($D$15="",INDEX(orderHistory[order_type],SMALL(IF(ISNUMBER(MATCH(orderHistory[order_type],$D$13,0)),MATCH(ROW(orderHistory[customer]),ROW(orderHistory[customer])),""),ROWS($A$15:A56)+$B$3)),INDEX(orderHistory[order_type],SMALL(IF(ISNUMBER(MATCH(orderHistory[order_type],$D$13,0)*MATCH(YEAR(orderHistory[invoice_date]),$D$15,0)),MATCH(ROW(orderHistory[customer]),ROW(orderHistory[customer])),""),ROWS($A$15:A56)+$B$3)))),IF($D$13="",IF($D$15="",INDEX(orderHistory[order_type],SMALL(IF(ISNUMBER(MATCH(orderHistory[status],$D$11,0)),MATCH(ROW(orderHistory[customer]),ROW(orderHistory[customer])),""),ROWS($A$15:A56)+$B$3)),INDEX(orderHistory[order_type],SMALL(IF(ISNUMBER(MATCH(orderHistory[status],$D$11,0)*MATCH(YEAR(orderHistory[invoice_date]),$D$15,0)),MATCH(ROW(orderHistory[customer]),ROW(orderHistory[customer])),""),ROWS($A$15:A56)+$B$3))),IF($D$15="",INDEX(orderHistory[order_type],SMALL(IF(ISNUMBER(MATCH(orderHistory[status],$D$11,0)*MATCH(orderHistory[order_type],$D$13,0)),MATCH(ROW(orderHistory[customer]),ROW(orderHistory[customer])),""),ROWS($A$15:A56)+$B$3)),INDEX(orderHistory[order_typ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type],SMALL(IF(ISNUMBER(MATCH(orderHistory[customer],$D$9,0)),MATCH(ROW(orderHistory[customer]),ROW(orderHistory[customer])),""),ROWS($A$15:A56)+$B$3)),INDEX(orderHistory[order_type],SMALL(IF(ISNUMBER(MATCH(orderHistory[customer],$D$9,0)*MATCH(YEAR(orderHistory[invoice_date]),$D$15,0)),MATCH(ROW(orderHistory[customer]),ROW(orderHistory[customer])),""),ROWS($A$15:A56)+$B$3))),IF($D$15="",INDEX(orderHistory[order_type],SMALL(IF(ISNUMBER(MATCH(orderHistory[customer],$D$9,0)*MATCH(orderHistory[order_type],$D$13,0)),MATCH(ROW(orderHistory[customer]),ROW(orderHistory[customer])),""),ROWS($A$15:A56)+$B$3)),INDEX(orderHistory[order_typ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type],SMALL(IF(ISNUMBER(MATCH(orderHistory[customer],$D$9,0)*MATCH(orderHistory[status],$D$11,0)),MATCH(ROW(orderHistory[customer]),ROW(orderHistory[customer])),""),ROWS($A$15:A56)+$B$3)),INDEX(orderHistory[order_type],SMALL(IF(ISNUMBER(MATCH(orderHistory[customer],$D$9,0)*MATCH(orderHistory[status],$D$11,0)*MATCH(YEAR(orderHistory[invoice_date]),$D$15,0)),MATCH(ROW(orderHistory[customer]),ROW(orderHistory[customer])),""),ROWS($A$15:A56)+$B$3))),IF($D$15="",INDEX(orderHistory[order_type],SMALL(IF(ISNUMBER(MATCH(orderHistory[customer],$D$9,0)*MATCH(orderHistory[status],$D$11,0)*MATCH(orderHistory[order_type],$D$13,0)),MATCH(ROW(orderHistory[customer]),ROW(orderHistory[customer])),""),ROWS($A$15:A56)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O51" s="542" t="str">
        <f t="array" ref="O51">IFERROR(IF($D$9="",IF($D$11="",IF($D$13="",IF($D$15="",INDEX(orderHistory[order_date],SMALL(MATCH(ROW(orderHistory[customer]),ROW(orderHistory[customer])),ROWS($A$15:A56)+$B$3)),INDEX(orderHistory[order_date],SMALL(IF(ISNUMBER(MATCH(YEAR(orderHistory[invoice_date]),$D$15,0)),MATCH(ROW(orderHistory[customer]),ROW(orderHistory[customer])),""),ROWS($A$15:A56)+$B$3))),IF($D$15="",INDEX(orderHistory[order_date],SMALL(IF(ISNUMBER(MATCH(orderHistory[order_type],$D$13,0)),MATCH(ROW(orderHistory[customer]),ROW(orderHistory[customer])),""),ROWS($A$15:A56)+$B$3)),INDEX(orderHistory[order_date],SMALL(IF(ISNUMBER(MATCH(orderHistory[order_type],$D$13,0)*MATCH(YEAR(orderHistory[invoice_date]),$D$15,0)),MATCH(ROW(orderHistory[customer]),ROW(orderHistory[customer])),""),ROWS($A$15:A56)+$B$3)))),IF($D$13="",IF($D$15="",INDEX(orderHistory[order_date],SMALL(IF(ISNUMBER(MATCH(orderHistory[status],$D$11,0)),MATCH(ROW(orderHistory[customer]),ROW(orderHistory[customer])),""),ROWS($A$15:A56)+$B$3)),INDEX(orderHistory[order_date],SMALL(IF(ISNUMBER(MATCH(orderHistory[status],$D$11,0)*MATCH(YEAR(orderHistory[invoice_date]),$D$15,0)),MATCH(ROW(orderHistory[customer]),ROW(orderHistory[customer])),""),ROWS($A$15:A56)+$B$3))),IF($D$15="",INDEX(orderHistory[order_date],SMALL(IF(ISNUMBER(MATCH(orderHistory[status],$D$11,0)*MATCH(orderHistory[order_type],$D$13,0)),MATCH(ROW(orderHistory[customer]),ROW(orderHistory[customer])),""),ROWS($A$15:A56)+$B$3)),INDEX(orderHistory[order_dat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date],SMALL(IF(ISNUMBER(MATCH(orderHistory[customer],$D$9,0)),MATCH(ROW(orderHistory[customer]),ROW(orderHistory[customer])),""),ROWS($A$15:A56)+$B$3)),INDEX(orderHistory[order_date],SMALL(IF(ISNUMBER(MATCH(orderHistory[customer],$D$9,0)*MATCH(YEAR(orderHistory[invoice_date]),$D$15,0)),MATCH(ROW(orderHistory[customer]),ROW(orderHistory[customer])),""),ROWS($A$15:A56)+$B$3))),IF($D$15="",INDEX(orderHistory[order_date],SMALL(IF(ISNUMBER(MATCH(orderHistory[customer],$D$9,0)*MATCH(orderHistory[order_type],$D$13,0)),MATCH(ROW(orderHistory[customer]),ROW(orderHistory[customer])),""),ROWS($A$15:A56)+$B$3)),INDEX(orderHistory[order_dat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date],SMALL(IF(ISNUMBER(MATCH(orderHistory[customer],$D$9,0)*MATCH(orderHistory[status],$D$11,0)),MATCH(ROW(orderHistory[customer]),ROW(orderHistory[customer])),""),ROWS($A$15:A56)+$B$3)),INDEX(orderHistory[order_date],SMALL(IF(ISNUMBER(MATCH(orderHistory[customer],$D$9,0)*MATCH(orderHistory[status],$D$11,0)*MATCH(YEAR(orderHistory[invoice_date]),$D$15,0)),MATCH(ROW(orderHistory[customer]),ROW(orderHistory[customer])),""),ROWS($A$15:A56)+$B$3))),IF($D$15="",INDEX(orderHistory[order_date],SMALL(IF(ISNUMBER(MATCH(orderHistory[customer],$D$9,0)*MATCH(orderHistory[status],$D$11,0)*MATCH(orderHistory[order_type],$D$13,0)),MATCH(ROW(orderHistory[customer]),ROW(orderHistory[customer])),""),ROWS($A$15:A56)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P51" s="543" t="str">
        <f t="array" ref="P51">IFERROR(IF($D$9="",IF($D$11="",IF($D$13="",IF($D$15="",INDEX(orderHistory[invoice_no],SMALL(MATCH(ROW(orderHistory[customer]),ROW(orderHistory[customer])),ROWS($A$15:A56)+$B$3)),INDEX(orderHistory[invoice_no],SMALL(IF(ISNUMBER(MATCH(YEAR(orderHistory[invoice_date]),$D$15,0)),MATCH(ROW(orderHistory[customer]),ROW(orderHistory[customer])),""),ROWS($A$15:A56)+$B$3))),IF($D$15="",INDEX(orderHistory[invoice_no],SMALL(IF(ISNUMBER(MATCH(orderHistory[order_type],$D$13,0)),MATCH(ROW(orderHistory[customer]),ROW(orderHistory[customer])),""),ROWS($A$15:A56)+$B$3)),INDEX(orderHistory[invoice_no],SMALL(IF(ISNUMBER(MATCH(orderHistory[order_type],$D$13,0)*MATCH(YEAR(orderHistory[invoice_date]),$D$15,0)),MATCH(ROW(orderHistory[customer]),ROW(orderHistory[customer])),""),ROWS($A$15:A56)+$B$3)))),IF($D$13="",IF($D$15="",INDEX(orderHistory[invoice_no],SMALL(IF(ISNUMBER(MATCH(orderHistory[status],$D$11,0)),MATCH(ROW(orderHistory[customer]),ROW(orderHistory[customer])),""),ROWS($A$15:A56)+$B$3)),INDEX(orderHistory[invoice_no],SMALL(IF(ISNUMBER(MATCH(orderHistory[status],$D$11,0)*MATCH(YEAR(orderHistory[invoice_date]),$D$15,0)),MATCH(ROW(orderHistory[customer]),ROW(orderHistory[customer])),""),ROWS($A$15:A56)+$B$3))),IF($D$15="",INDEX(orderHistory[invoice_no],SMALL(IF(ISNUMBER(MATCH(orderHistory[status],$D$11,0)*MATCH(orderHistory[order_type],$D$13,0)),MATCH(ROW(orderHistory[customer]),ROW(orderHistory[customer])),""),ROWS($A$15:A56)+$B$3)),INDEX(orderHistory[invoice_no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oice_no],SMALL(IF(ISNUMBER(MATCH(orderHistory[customer],$D$9,0)),MATCH(ROW(orderHistory[customer]),ROW(orderHistory[customer])),""),ROWS($A$15:A56)+$B$3)),INDEX(orderHistory[invoice_no],SMALL(IF(ISNUMBER(MATCH(orderHistory[customer],$D$9,0)*MATCH(YEAR(orderHistory[invoice_date]),$D$15,0)),MATCH(ROW(orderHistory[customer]),ROW(orderHistory[customer])),""),ROWS($A$15:A56)+$B$3))),IF($D$15="",INDEX(orderHistory[invoice_no],SMALL(IF(ISNUMBER(MATCH(orderHistory[customer],$D$9,0)*MATCH(orderHistory[order_type],$D$13,0)),MATCH(ROW(orderHistory[customer]),ROW(orderHistory[customer])),""),ROWS($A$15:A56)+$B$3)),INDEX(orderHistory[invoice_no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oice_no],SMALL(IF(ISNUMBER(MATCH(orderHistory[customer],$D$9,0)*MATCH(orderHistory[status],$D$11,0)),MATCH(ROW(orderHistory[customer]),ROW(orderHistory[customer])),""),ROWS($A$15:A56)+$B$3)),INDEX(orderHistory[invoice_no],SMALL(IF(ISNUMBER(MATCH(orderHistory[customer],$D$9,0)*MATCH(orderHistory[status],$D$11,0)*MATCH(YEAR(orderHistory[invoice_date]),$D$15,0)),MATCH(ROW(orderHistory[customer]),ROW(orderHistory[customer])),""),ROWS($A$15:A56)+$B$3))),IF($D$15="",INDEX(orderHistory[invoice_no],SMALL(IF(ISNUMBER(MATCH(orderHistory[customer],$D$9,0)*MATCH(orderHistory[status],$D$11,0)*MATCH(orderHistory[order_type],$D$13,0)),MATCH(ROW(orderHistory[customer]),ROW(orderHistory[customer])),""),ROWS($A$15:A56)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Q51" s="544" t="str">
        <f t="array" ref="Q51">IFERROR(IF($D$9="",IF($D$11="",IF($D$13="",IF($D$15="",INDEX(orderHistory[invoice_date],SMALL(MATCH(ROW(orderHistory[customer]),ROW(orderHistory[customer])),ROWS($A$15:A56)+$B$3)),INDEX(orderHistory[invoice_date],SMALL(IF(ISNUMBER(MATCH(YEAR(orderHistory[invoice_date]),$D$15,0)),MATCH(ROW(orderHistory[customer]),ROW(orderHistory[customer])),""),ROWS($A$15:A56)+$B$3))),IF($D$15="",INDEX(orderHistory[invoice_date],SMALL(IF(ISNUMBER(MATCH(orderHistory[order_type],$D$13,0)),MATCH(ROW(orderHistory[customer]),ROW(orderHistory[customer])),""),ROWS($A$15:A56)+$B$3)),INDEX(orderHistory[invoice_date],SMALL(IF(ISNUMBER(MATCH(orderHistory[order_type],$D$13,0)*MATCH(YEAR(orderHistory[invoice_date]),$D$15,0)),MATCH(ROW(orderHistory[customer]),ROW(orderHistory[customer])),""),ROWS($A$15:A56)+$B$3)))),IF($D$13="",IF($D$15="",INDEX(orderHistory[invoice_date],SMALL(IF(ISNUMBER(MATCH(orderHistory[status],$D$11,0)),MATCH(ROW(orderHistory[customer]),ROW(orderHistory[customer])),""),ROWS($A$15:A56)+$B$3)),INDEX(orderHistory[invoice_date],SMALL(IF(ISNUMBER(MATCH(orderHistory[status],$D$11,0)*MATCH(YEAR(orderHistory[invoice_date]),$D$15,0)),MATCH(ROW(orderHistory[customer]),ROW(orderHistory[customer])),""),ROWS($A$15:A56)+$B$3))),IF($D$15="",INDEX(orderHistory[invoice_date],SMALL(IF(ISNUMBER(MATCH(orderHistory[status],$D$11,0)*MATCH(orderHistory[order_type],$D$13,0)),MATCH(ROW(orderHistory[customer]),ROW(orderHistory[customer])),""),ROWS($A$15:A56)+$B$3)),INDEX(orderHistory[invoice_dat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oice_date],SMALL(IF(ISNUMBER(MATCH(orderHistory[customer],$D$9,0)),MATCH(ROW(orderHistory[customer]),ROW(orderHistory[customer])),""),ROWS($A$15:A56)+$B$3)),INDEX(orderHistory[invoice_date],SMALL(IF(ISNUMBER(MATCH(orderHistory[customer],$D$9,0)*MATCH(YEAR(orderHistory[invoice_date]),$D$15,0)),MATCH(ROW(orderHistory[customer]),ROW(orderHistory[customer])),""),ROWS($A$15:A56)+$B$3))),IF($D$15="",INDEX(orderHistory[invoice_date],SMALL(IF(ISNUMBER(MATCH(orderHistory[customer],$D$9,0)*MATCH(orderHistory[order_type],$D$13,0)),MATCH(ROW(orderHistory[customer]),ROW(orderHistory[customer])),""),ROWS($A$15:A56)+$B$3)),INDEX(orderHistory[invoice_dat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oice_date],SMALL(IF(ISNUMBER(MATCH(orderHistory[customer],$D$9,0)*MATCH(orderHistory[status],$D$11,0)),MATCH(ROW(orderHistory[customer]),ROW(orderHistory[customer])),""),ROWS($A$15:A56)+$B$3)),INDEX(orderHistory[invoice_date],SMALL(IF(ISNUMBER(MATCH(orderHistory[customer],$D$9,0)*MATCH(orderHistory[status],$D$11,0)*MATCH(YEAR(orderHistory[invoice_date]),$D$15,0)),MATCH(ROW(orderHistory[customer]),ROW(orderHistory[customer])),""),ROWS($A$15:A56)+$B$3))),IF($D$15="",INDEX(orderHistory[invoice_date],SMALL(IF(ISNUMBER(MATCH(orderHistory[customer],$D$9,0)*MATCH(orderHistory[status],$D$11,0)*MATCH(orderHistory[order_type],$D$13,0)),MATCH(ROW(orderHistory[customer]),ROW(orderHistory[customer])),""),ROWS($A$15:A56)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R51" s="545" t="str">
        <f t="array" ref="R51">IFERROR(IF($D$9="",IF($D$11="",IF($D$13="",IF($D$15="",INDEX(orderHistory[inv_amount],SMALL(MATCH(ROW(orderHistory[customer]),ROW(orderHistory[customer])),ROWS($A$15:A56)+$B$3)),INDEX(orderHistory[inv_amount],SMALL(IF(ISNUMBER(MATCH(YEAR(orderHistory[invoice_date]),$D$15,0)),MATCH(ROW(orderHistory[customer]),ROW(orderHistory[customer])),""),ROWS($A$15:A56)+$B$3))),IF($D$15="",INDEX(orderHistory[inv_amount],SMALL(IF(ISNUMBER(MATCH(orderHistory[order_type],$D$13,0)),MATCH(ROW(orderHistory[customer]),ROW(orderHistory[customer])),""),ROWS($A$15:A56)+$B$3)),INDEX(orderHistory[inv_amount],SMALL(IF(ISNUMBER(MATCH(orderHistory[order_type],$D$13,0)*MATCH(YEAR(orderHistory[invoice_date]),$D$15,0)),MATCH(ROW(orderHistory[customer]),ROW(orderHistory[customer])),""),ROWS($A$15:A56)+$B$3)))),IF($D$13="",IF($D$15="",INDEX(orderHistory[inv_amount],SMALL(IF(ISNUMBER(MATCH(orderHistory[status],$D$11,0)),MATCH(ROW(orderHistory[customer]),ROW(orderHistory[customer])),""),ROWS($A$15:A56)+$B$3)),INDEX(orderHistory[inv_amount],SMALL(IF(ISNUMBER(MATCH(orderHistory[status],$D$11,0)*MATCH(YEAR(orderHistory[invoice_date]),$D$15,0)),MATCH(ROW(orderHistory[customer]),ROW(orderHistory[customer])),""),ROWS($A$15:A56)+$B$3))),IF($D$15="",INDEX(orderHistory[inv_amount],SMALL(IF(ISNUMBER(MATCH(orderHistory[status],$D$11,0)*MATCH(orderHistory[order_type],$D$13,0)),MATCH(ROW(orderHistory[customer]),ROW(orderHistory[customer])),""),ROWS($A$15:A56)+$B$3)),INDEX(orderHistory[inv_amount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_amount],SMALL(IF(ISNUMBER(MATCH(orderHistory[customer],$D$9,0)),MATCH(ROW(orderHistory[customer]),ROW(orderHistory[customer])),""),ROWS($A$15:A56)+$B$3)),INDEX(orderHistory[inv_amount],SMALL(IF(ISNUMBER(MATCH(orderHistory[customer],$D$9,0)*MATCH(YEAR(orderHistory[invoice_date]),$D$15,0)),MATCH(ROW(orderHistory[customer]),ROW(orderHistory[customer])),""),ROWS($A$15:A56)+$B$3))),IF($D$15="",INDEX(orderHistory[inv_amount],SMALL(IF(ISNUMBER(MATCH(orderHistory[customer],$D$9,0)*MATCH(orderHistory[order_type],$D$13,0)),MATCH(ROW(orderHistory[customer]),ROW(orderHistory[customer])),""),ROWS($A$15:A56)+$B$3)),INDEX(orderHistory[inv_amount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_amount],SMALL(IF(ISNUMBER(MATCH(orderHistory[customer],$D$9,0)*MATCH(orderHistory[status],$D$11,0)),MATCH(ROW(orderHistory[customer]),ROW(orderHistory[customer])),""),ROWS($A$15:A56)+$B$3)),INDEX(orderHistory[inv_amount],SMALL(IF(ISNUMBER(MATCH(orderHistory[customer],$D$9,0)*MATCH(orderHistory[status],$D$11,0)*MATCH(YEAR(orderHistory[inv_amount]),$D$15,0)),MATCH(ROW(orderHistory[customer]),ROW(orderHistory[customer])),""),ROWS($A$15:A56)+$B$3))),IF($D$15="",INDEX(orderHistory[inv_amount],SMALL(IF(ISNUMBER(MATCH(orderHistory[customer],$D$9,0)*MATCH(orderHistory[status],$D$11,0)*MATCH(orderHistory[order_type],$D$13,0)),MATCH(ROW(orderHistory[customer]),ROW(orderHistory[customer])),""),ROWS($A$15:A56)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S51" s="546" t="str">
        <f t="shared" si="2"/>
        <v/>
      </c>
      <c r="T51" s="547" t="str">
        <f t="array" ref="T51">IFERROR(IF($D$9="",IF($D$11="",IF($D$13="",IF($D$15="",INDEX(orderHistory[payed],SMALL(MATCH(ROW(orderHistory[customer]),ROW(orderHistory[customer])),ROWS($A$15:A56)+$B$3)),INDEX(orderHistory[payed],SMALL(IF(ISNUMBER(MATCH(YEAR(orderHistory[invoice_date]),$D$15,0)),MATCH(ROW(orderHistory[customer]),ROW(orderHistory[customer])),""),ROWS($A$15:A56)+$B$3))),IF($D$15="",INDEX(orderHistory[payed],SMALL(IF(ISNUMBER(MATCH(orderHistory[order_type],$D$13,0)),MATCH(ROW(orderHistory[customer]),ROW(orderHistory[customer])),""),ROWS($A$15:A56)+$B$3)),INDEX(orderHistory[payed],SMALL(IF(ISNUMBER(MATCH(orderHistory[order_type],$D$13,0)*MATCH(YEAR(orderHistory[invoice_date]),$D$15,0)),MATCH(ROW(orderHistory[customer]),ROW(orderHistory[customer])),""),ROWS($A$15:A56)+$B$3)))),IF($D$13="",IF($D$15="",INDEX(orderHistory[payed],SMALL(IF(ISNUMBER(MATCH(orderHistory[status],$D$11,0)),MATCH(ROW(orderHistory[customer]),ROW(orderHistory[customer])),""),ROWS($A$15:A56)+$B$3)),INDEX(orderHistory[payed],SMALL(IF(ISNUMBER(MATCH(orderHistory[status],$D$11,0)*MATCH(YEAR(orderHistory[invoice_date]),$D$15,0)),MATCH(ROW(orderHistory[customer]),ROW(orderHistory[customer])),""),ROWS($A$15:A56)+$B$3))),IF($D$15="",INDEX(orderHistory[payed],SMALL(IF(ISNUMBER(MATCH(orderHistory[status],$D$11,0)*MATCH(orderHistory[order_type],$D$13,0)),MATCH(ROW(orderHistory[customer]),ROW(orderHistory[customer])),""),ROWS($A$15:A56)+$B$3)),INDEX(orderHistory[payed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payed],SMALL(IF(ISNUMBER(MATCH(orderHistory[customer],$D$9,0)),MATCH(ROW(orderHistory[customer]),ROW(orderHistory[customer])),""),ROWS($A$15:A56)+$B$3)),INDEX(orderHistory[payed],SMALL(IF(ISNUMBER(MATCH(orderHistory[customer],$D$9,0)*MATCH(YEAR(orderHistory[invoice_date]),$D$15,0)),MATCH(ROW(orderHistory[customer]),ROW(orderHistory[customer])),""),ROWS($A$15:A56)+$B$3))),IF($D$15="",INDEX(orderHistory[payed],SMALL(IF(ISNUMBER(MATCH(orderHistory[customer],$D$9,0)*MATCH(orderHistory[order_type],$D$13,0)),MATCH(ROW(orderHistory[customer]),ROW(orderHistory[customer])),""),ROWS($A$15:A56)+$B$3)),INDEX(orderHistory[payed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payed],SMALL(IF(ISNUMBER(MATCH(orderHistory[customer],$D$9,0)*MATCH(orderHistory[status],$D$11,0)),MATCH(ROW(orderHistory[customer]),ROW(orderHistory[customer])),""),ROWS($A$15:A56)+$B$3)),INDEX(orderHistory[payed],SMALL(IF(ISNUMBER(MATCH(orderHistory[customer],$D$9,0)*MATCH(orderHistory[status],$D$11,0)*MATCH(YEAR(orderHistory[payed]),$D$15,0)),MATCH(ROW(orderHistory[customer]),ROW(orderHistory[customer])),""),ROWS($A$15:A56)+$B$3))),IF($D$15="",INDEX(orderHistory[payed],SMALL(IF(ISNUMBER(MATCH(orderHistory[customer],$D$9,0)*MATCH(orderHistory[status],$D$11,0)*MATCH(orderHistory[order_type],$D$13,0)),MATCH(ROW(orderHistory[customer]),ROW(orderHistory[customer])),""),ROWS($A$15:A56)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U51" s="541" t="str">
        <f t="array" ref="U51">IFERROR(IF($D$9="",IF($D$11="",IF($D$13="",IF($D$15="",INDEX(orderHistory[shipping_method],SMALL(MATCH(ROW(orderHistory[customer]),ROW(orderHistory[customer])),ROWS($A$15:A56)+$B$3)),INDEX(orderHistory[shipping_method],SMALL(IF(ISNUMBER(MATCH(YEAR(orderHistory[invoice_date]),$D$15,0)),MATCH(ROW(orderHistory[customer]),ROW(orderHistory[customer])),""),ROWS($A$15:A56)+$B$3))),IF($D$15="",INDEX(orderHistory[shipping_method],SMALL(IF(ISNUMBER(MATCH(orderHistory[order_type],$D$13,0)),MATCH(ROW(orderHistory[customer]),ROW(orderHistory[customer])),""),ROWS($A$15:A56)+$B$3)),INDEX(orderHistory[shipping_method],SMALL(IF(ISNUMBER(MATCH(orderHistory[order_type],$D$13,0)*MATCH(YEAR(orderHistory[invoice_date]),$D$15,0)),MATCH(ROW(orderHistory[customer]),ROW(orderHistory[customer])),""),ROWS($A$15:A56)+$B$3)))),IF($D$13="",IF($D$15="",INDEX(orderHistory[shipping_method],SMALL(IF(ISNUMBER(MATCH(orderHistory[status],$D$11,0)),MATCH(ROW(orderHistory[customer]),ROW(orderHistory[customer])),""),ROWS($A$15:A56)+$B$3)),INDEX(orderHistory[shipping_method],SMALL(IF(ISNUMBER(MATCH(orderHistory[status],$D$11,0)*MATCH(YEAR(orderHistory[invoice_date]),$D$15,0)),MATCH(ROW(orderHistory[customer]),ROW(orderHistory[customer])),""),ROWS($A$15:A56)+$B$3))),IF($D$15="",INDEX(orderHistory[shipping_method],SMALL(IF(ISNUMBER(MATCH(orderHistory[status],$D$11,0)*MATCH(orderHistory[order_type],$D$13,0)),MATCH(ROW(orderHistory[customer]),ROW(orderHistory[customer])),""),ROWS($A$15:A56)+$B$3)),INDEX(orderHistory[shipping_method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shipping_method],SMALL(IF(ISNUMBER(MATCH(orderHistory[customer],$D$9,0)),MATCH(ROW(orderHistory[customer]),ROW(orderHistory[customer])),""),ROWS($A$15:A56)+$B$3)),INDEX(orderHistory[shipping_method],SMALL(IF(ISNUMBER(MATCH(orderHistory[customer],$D$9,0)*MATCH(YEAR(orderHistory[invoice_date]),$D$15,0)),MATCH(ROW(orderHistory[customer]),ROW(orderHistory[customer])),""),ROWS($A$15:A56)+$B$3))),IF($D$15="",INDEX(orderHistory[shipping_method],SMALL(IF(ISNUMBER(MATCH(orderHistory[customer],$D$9,0)*MATCH(orderHistory[order_type],$D$13,0)),MATCH(ROW(orderHistory[customer]),ROW(orderHistory[customer])),""),ROWS($A$15:A56)+$B$3)),INDEX(orderHistory[shipping_method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shipping_method],SMALL(IF(ISNUMBER(MATCH(orderHistory[customer],$D$9,0)*MATCH(orderHistory[status],$D$11,0)),MATCH(ROW(orderHistory[customer]),ROW(orderHistory[customer])),""),ROWS($A$15:A56)+$B$3)),INDEX(orderHistory[shipping_method],SMALL(IF(ISNUMBER(MATCH(orderHistory[customer],$D$9,0)*MATCH(orderHistory[status],$D$11,0)*MATCH(YEAR(orderHistory[shipping_method]),$D$15,0)),MATCH(ROW(orderHistory[customer]),ROW(orderHistory[customer])),""),ROWS($A$15:A56)+$B$3))),IF($D$15="",INDEX(orderHistory[shipping_method],SMALL(IF(ISNUMBER(MATCH(orderHistory[customer],$D$9,0)*MATCH(orderHistory[status],$D$11,0)*MATCH(orderHistory[order_type],$D$13,0)),MATCH(ROW(orderHistory[customer]),ROW(orderHistory[customer])),""),ROWS($A$15:A56)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V51" s="548" t="str">
        <f t="array" ref="V51">IFERROR(IF($D$9="",IF($D$11="",IF($D$13="",IF($D$15="",INDEX(orderHistory[status],SMALL(MATCH(ROW(orderHistory[customer]),ROW(orderHistory[customer])),ROWS($A$15:A56)+$B$3)),INDEX(orderHistory[status],SMALL(IF(ISNUMBER(MATCH(YEAR(orderHistory[invoice_date]),$D$15,0)),MATCH(ROW(orderHistory[customer]),ROW(orderHistory[customer])),""),ROWS($A$15:A56)+$B$3))),IF($D$15="",INDEX(orderHistory[status],SMALL(IF(ISNUMBER(MATCH(orderHistory[order_type],$D$13,0)),MATCH(ROW(orderHistory[customer]),ROW(orderHistory[customer])),""),ROWS($A$15:A56)+$B$3)),INDEX(orderHistory[status],SMALL(IF(ISNUMBER(MATCH(orderHistory[order_type],$D$13,0)*MATCH(YEAR(orderHistory[invoice_date]),$D$15,0)),MATCH(ROW(orderHistory[customer]),ROW(orderHistory[customer])),""),ROWS($A$15:A56)+$B$3)))),IF($D$13="",IF($D$15="",INDEX(orderHistory[status],SMALL(IF(ISNUMBER(MATCH(orderHistory[status],$D$11,0)),MATCH(ROW(orderHistory[customer]),ROW(orderHistory[customer])),""),ROWS($A$15:A56)+$B$3)),INDEX(orderHistory[status],SMALL(IF(ISNUMBER(MATCH(orderHistory[status],$D$11,0)*MATCH(YEAR(orderHistory[invoice_date]),$D$15,0)),MATCH(ROW(orderHistory[customer]),ROW(orderHistory[customer])),""),ROWS($A$15:A56)+$B$3))),IF($D$15="",INDEX(orderHistory[status],SMALL(IF(ISNUMBER(MATCH(orderHistory[status],$D$11,0)*MATCH(orderHistory[order_type],$D$13,0)),MATCH(ROW(orderHistory[customer]),ROW(orderHistory[customer])),""),ROWS($A$15:A56)+$B$3)),INDEX(orderHistory[status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status],SMALL(IF(ISNUMBER(MATCH(orderHistory[customer],$D$9,0)),MATCH(ROW(orderHistory[customer]),ROW(orderHistory[customer])),""),ROWS($A$15:A56)+$B$3)),INDEX(orderHistory[status],SMALL(IF(ISNUMBER(MATCH(orderHistory[customer],$D$9,0)*MATCH(YEAR(orderHistory[invoice_date]),$D$15,0)),MATCH(ROW(orderHistory[customer]),ROW(orderHistory[customer])),""),ROWS($A$15:A56)+$B$3))),IF($D$15="",INDEX(orderHistory[status],SMALL(IF(ISNUMBER(MATCH(orderHistory[customer],$D$9,0)*MATCH(orderHistory[order_type],$D$13,0)),MATCH(ROW(orderHistory[customer]),ROW(orderHistory[customer])),""),ROWS($A$15:A56)+$B$3)),INDEX(orderHistory[status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status],SMALL(IF(ISNUMBER(MATCH(orderHistory[customer],$D$9,0)*MATCH(orderHistory[status],$D$11,0)),MATCH(ROW(orderHistory[customer]),ROW(orderHistory[customer])),""),ROWS($A$15:A56)+$B$3)),INDEX(orderHistory[status],SMALL(IF(ISNUMBER(MATCH(orderHistory[customer],$D$9,0)*MATCH(orderHistory[status],$D$11,0)*MATCH(YEAR(orderHistory[status]),$D$15,0)),MATCH(ROW(orderHistory[customer]),ROW(orderHistory[customer])),""),ROWS($A$15:A56)+$B$3))),IF($D$15="",INDEX(orderHistory[status],SMALL(IF(ISNUMBER(MATCH(orderHistory[customer],$D$9,0)*MATCH(orderHistory[status],$D$11,0)*MATCH(orderHistory[order_type],$D$13,0)),MATCH(ROW(orderHistory[customer]),ROW(orderHistory[customer])),""),ROWS($A$15:A56)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W51" s="327"/>
      <c r="X51" s="414"/>
      <c r="AQ51" s="432"/>
      <c r="AR51" s="432" t="s">
        <v>411</v>
      </c>
      <c r="BG51" s="296"/>
      <c r="BK51" s="450"/>
      <c r="BL51" s="451"/>
      <c r="BM51" s="452"/>
      <c r="BN51" s="451"/>
      <c r="BO51" s="452"/>
      <c r="BZ51" s="168"/>
      <c r="CA51" s="154" t="str">
        <f>IF(BZ51="","",INDEX(bhpc_data[description],MATCH(BZ51,bhpc_data[sku],0)))</f>
        <v/>
      </c>
      <c r="CB51" s="159"/>
      <c r="CC51" s="357"/>
      <c r="CD51" s="160"/>
      <c r="CE51" s="360"/>
      <c r="CF51" s="161"/>
      <c r="CG51" s="164" t="str">
        <f>IFERROR(ROUNDUP(CB51/INDEX(bhpc_data[units_per_carton],MATCH(BZ51,bhpc_data[sku],0)),0),"")</f>
        <v/>
      </c>
      <c r="CH51" s="165" t="str">
        <f>IFERROR(ROUNDUP(CD51/INDEX(bhpc_data[units_per_carton],MATCH(BZ51,bhpc_data[sku],0)),0),"")</f>
        <v/>
      </c>
      <c r="CI51" s="165" t="str">
        <f>IFERROR(ROUNDUP(CF51/INDEX(bhpc_data[units_per_carton],MATCH(BZ51,bhpc_data[sku])),0),"")</f>
        <v/>
      </c>
      <c r="CJ51" s="165" t="str">
        <f>IFERROR(((CB51+CD51+CF51)/INDEX(bhpc_data[units_per_carton],MATCH(BZ51,bhpc_data[sku],0)))*INDEX(bhpc_data[net_weight],MATCH(BZ51,bhpc_data[sku],0)),"")</f>
        <v/>
      </c>
      <c r="CK51" s="165" t="str">
        <f>IFERROR(((CB51+CD51+CF51)/INDEX(bhpc_data[units_per_carton],MATCH(BZ51,bhpc_data[sku],0)))*INDEX(bhpc_data[gross_weight],MATCH(BZ51,bhpc_data[sku],0)),"")</f>
        <v/>
      </c>
      <c r="CL51" s="180" t="str">
        <f>IFERROR((CB51+CD51+CF51)/INDEX(bhpc_data[units_per_carton],MATCH(BZ51,bhpc_data[sku],0))*INDEX(bhpc_data[lenght],MATCH(BZ51,bhpc_data[sku],0))*INDEX(bhpc_data[width],MATCH(BZ51,bhpc_data[sku],0))*INDEX(bhpc_data[height],MATCH(BZ51,bhpc_data[sku],0))/1000000000,"")</f>
        <v/>
      </c>
      <c r="CM51" s="189" t="str">
        <f>IFERROR(INDEX(bhpc_data[category],MATCH(BZ51,bhpc_data[sku],0)),"")</f>
        <v/>
      </c>
      <c r="CN51" s="189" t="str">
        <f>IFERROR(INDEX(bhpc_data[size1],MATCH(BZ51,bhpc_data[sku],0)),"")</f>
        <v/>
      </c>
      <c r="CO51" s="388" t="str">
        <f>IFERROR(INDEX(bhpc_data[hs_code],MATCH(BZ51,bhpc_data[sku],0)),"")</f>
        <v/>
      </c>
      <c r="CP51" s="377" t="str">
        <f>IFERROR(INDEX(inventory[ESISTENZA],MATCH(BZ51,inventory[ARTICOLO],0)),"")</f>
        <v/>
      </c>
      <c r="CQ51" s="364" t="str">
        <f>IFERROR(IF(BZ51="","",IF($BX$15="SALE",INDEX(inventory[COSTO UNITARIO],MATCH(BZ51,inventory[ARTICOLO],0)),IF($BX$15="SAMPLING",INDEX(inventory[COSTO UNITARIO],MATCH(BZ51,inventory[ARTICOLO],0)),""))),"")</f>
        <v/>
      </c>
      <c r="CR51" s="365" t="str">
        <f t="shared" si="3"/>
        <v/>
      </c>
      <c r="CS51" s="264" t="str">
        <f t="shared" si="4"/>
        <v/>
      </c>
      <c r="CU51" s="432"/>
      <c r="CV51" s="432"/>
      <c r="CW51" s="432"/>
      <c r="CX51" s="432"/>
      <c r="CY51" s="432"/>
      <c r="CZ51" s="432"/>
      <c r="DA51" s="432" t="str">
        <f>IFERROR(VLOOKUP(BZ51,bhpc_data[],22,FALSE),"")</f>
        <v/>
      </c>
      <c r="EE51" s="202" t="str" cm="1">
        <f t="array" ref="EE51">IFERROR(IF($EC$9="",IF($EC$11="",IF($EC$13="",INDEX(bhpc_data[sku],SMALL(MATCH(ROW(bhpc_data[sku]),ROW(bhpc_data[sku])),ROWS($A$15:A56)+$B$3)),INDEX(bhpc_data[sku],SMALL(IF(ISNUMBER(MATCH(bhpc_data[size1],$EC$13,0)),MATCH(ROW(bhpc_data[sku]),ROW(bhpc_data[sku])),""),ROWS($A$15:A56)+$B$3))),IF($EC$13="",INDEX(bhpc_data[sku],SMALL(IF(ISNUMBER(MATCH(bhpc_data[sex],$EC$11,0)),MATCH(ROW(bhpc_data[sku]),ROW(bhpc_data[sku])),""),ROWS($A$15:A56)+$B$3)),INDEX(bhpc_data[sku],SMALL(IF(ISNUMBER(MATCH(bhpc_data[sex],$EC$11,0)*MATCH(bhpc_data[size1],$EC$13,0)),MATCH(ROW(bhpc_data[sku]),ROW(bhpc_data[sku])),""),ROWS($A$15:A56)+$B$3)))),IF($EC$11="",IF($EC$13="",INDEX(bhpc_data[sku],SMALL(IF(ISNUMBER(MATCH(bhpc_data[category],$EC$9,0)),MATCH(ROW(bhpc_data[sku]),ROW(bhpc_data[sku])),""),ROWS($A$15:A56)+$B$3)),INDEX(bhpc_data[sku],SMALL(IF(ISNUMBER(MATCH(bhpc_data[category],$EC$9,0)*MATCH(bhpc_data[size1],$EC$13,0)),MATCH(ROW(bhpc_data[sku]),ROW(bhpc_data[sku])),""),ROWS($A$15:A56)+$B$3))),IF($EC$13="",INDEX(bhpc_data[sku],SMALL(IF(ISNUMBER(MATCH(bhpc_data[category],$EC$9,0)*MATCH(bhpc_data[sex],$EC$11,0)),MATCH(ROW(bhpc_data[sku]),ROW(bhpc_data[sku])),""),ROWS($A$15:A56)+$B$3)),INDEX(bhpc_data[sku],SMALL(IF(ISNUMBER(MATCH(bhpc_data[category],$EC$9,0)*MATCH(bhpc_data[sex],$EC$11,0)*MATCH(bhpc_data[size1],$EC$13,0)),MATCH(ROW(bhpc_data[sku]),ROW(bhpc_data[sku])),""),ROWS($A$15:A56)+$B$3))))),"")</f>
        <v>P05007</v>
      </c>
      <c r="EF51" s="198" t="str" cm="1">
        <f t="array" ref="EF51">IFERROR(IF($EC$9="",IF($EC$11="",IF($EC$13="",INDEX(bhpc_data[description],SMALL(MATCH(ROW(bhpc_data[sku]),ROW(bhpc_data[sku])),ROWS($A$15:A56)+$B$3)),INDEX(bhpc_data[description],SMALL(IF(ISNUMBER(MATCH(bhpc_data[size1],$EC$13,0)),MATCH(ROW(bhpc_data[sku]),ROW(bhpc_data[sku])),""),ROWS($A$15:A56)+$B$3))),IF($EC$13="",INDEX(bhpc_data[description],SMALL(IF(ISNUMBER(MATCH(bhpc_data[sex],$EC$11,0)),MATCH(ROW(bhpc_data[sku]),ROW(bhpc_data[sku])),""),ROWS($A$15:A56)+$B$3)),INDEX(bhpc_data[description],SMALL(IF(ISNUMBER(MATCH(bhpc_data[sex],$EC$11,0)*MATCH(bhpc_data[size1],$EC$13,0)),MATCH(ROW(bhpc_data[sku]),ROW(bhpc_data[sku])),""),ROWS($A$15:A56)+$B$3)))),IF($EC$11="",IF($EC$13="",INDEX(bhpc_data[description],SMALL(IF(ISNUMBER(MATCH(bhpc_data[category],$EC$9,0)),MATCH(ROW(bhpc_data[sku]),ROW(bhpc_data[sku])),""),ROWS($A$15:A56)+$B$3)),INDEX(bhpc_data[description],SMALL(IF(ISNUMBER(MATCH(bhpc_data[category],$EC$9,0)*MATCH(bhpc_data[size1],$EC$13,0)),MATCH(ROW(bhpc_data[sku]),ROW(bhpc_data[sku])),""),ROWS($A$15:A56)+$B$3))),IF($EC$13="",INDEX(bhpc_data[description],SMALL(IF(ISNUMBER(MATCH(bhpc_data[category],$EC$9,0)*MATCH(bhpc_data[sex],$EC$11,0)),MATCH(ROW(bhpc_data[sku]),ROW(bhpc_data[sku])),""),ROWS($A$15:A56)+$B$3)),INDEX(bhpc_data[description],SMALL(IF(ISNUMBER(MATCH(bhpc_data[category],$EC$9,0)*MATCH(bhpc_data[sex],$EC$11,0)*MATCH(bhpc_data[size1],$EC$13,0)),MATCH(ROW(bhpc_data[sku]),ROW(bhpc_data[sku])),""),ROWS($A$15:A56)+$B$3))))),"")</f>
        <v>BHPC SPORT MEN 2 EDT 100ML</v>
      </c>
      <c r="EG51" s="263">
        <f>IFERROR(IF(warehouse[[#This Row],[SKU]]="","",INDEX(inventory[ESISTENZA],MATCH(warehouse[[#This Row],[SKU]],inventory[ARTICOLO],0))),"")</f>
        <v>9822</v>
      </c>
      <c r="EH51" s="328"/>
      <c r="EI51" s="328"/>
      <c r="EJ51" s="263"/>
      <c r="EK51" s="329"/>
      <c r="EO51" s="296" t="str">
        <f t="array" ref="EO51">IFERROR(INDEX(orderHistory[order_no],SMALL(IF(ISNUMBER(MATCH(orderHistory[status],$EO$7,0)),MATCH(ROW(orderHistory[order_no]),ROW(orderHistory[order_no])),""),ROWS($A$15:A56))),"")</f>
        <v/>
      </c>
    </row>
    <row r="52" spans="10:145" ht="15" customHeight="1" x14ac:dyDescent="0.35">
      <c r="J52" s="414"/>
      <c r="K52" s="414"/>
      <c r="L52" s="539" t="str">
        <f t="array" ref="L52">IFERROR(IF($D$9="",IF($D$11="",IF($D$13="",IF($D$15="",INDEX(orderHistory[customer],SMALL(MATCH(ROW(orderHistory[customer]),ROW(orderHistory[customer])),ROWS($A$15:A57)+$B$3)),INDEX(orderHistory[customer],SMALL(IF(ISNUMBER(MATCH(YEAR(orderHistory[invoice_date]),$D$15,0)),MATCH(ROW(orderHistory[customer]),ROW(orderHistory[customer])),""),ROWS($A$15:A57)+$B$3))),IF($D$15="",INDEX(orderHistory[customer],SMALL(IF(ISNUMBER(MATCH(orderHistory[order_type],$D$13,0)),MATCH(ROW(orderHistory[customer]),ROW(orderHistory[customer])),""),ROWS($A$15:A57)+$B$3)),INDEX(orderHistory[customer],SMALL(IF(ISNUMBER(MATCH(orderHistory[order_type],$D$13,0)*MATCH(YEAR(orderHistory[invoice_date]),$D$15,0)),MATCH(ROW(orderHistory[customer]),ROW(orderHistory[customer])),""),ROWS($A$15:A57)+$B$3)))),IF($D$13="",IF($D$15="",INDEX(orderHistory[customer],SMALL(IF(ISNUMBER(MATCH(orderHistory[status],$D$11,0)),MATCH(ROW(orderHistory[customer]),ROW(orderHistory[customer])),""),ROWS($A$15:A57)+$B$3)),INDEX(orderHistory[customer],SMALL(IF(ISNUMBER(MATCH(orderHistory[status],$D$11,0)*MATCH(YEAR(orderHistory[invoice_date]),$D$15,0)),MATCH(ROW(orderHistory[customer]),ROW(orderHistory[customer])),""),ROWS($A$15:A57)+$B$3))),IF($D$15="",INDEX(orderHistory[customer],SMALL(IF(ISNUMBER(MATCH(orderHistory[status],$D$11,0)*MATCH(orderHistory[order_type],$D$13,0)),MATCH(ROW(orderHistory[customer]),ROW(orderHistory[customer])),""),ROWS($A$15:A57)+$B$3)),INDEX(orderHistory[customer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customer],SMALL(IF(ISNUMBER(MATCH(orderHistory[customer],$D$9,0)),MATCH(ROW(orderHistory[customer]),ROW(orderHistory[customer])),""),ROWS($A$15:A57)+$B$3)),INDEX(orderHistory[customer],SMALL(IF(ISNUMBER(MATCH(orderHistory[customer],$D$9,0)*MATCH(YEAR(orderHistory[invoice_date]),$D$15,0)),MATCH(ROW(orderHistory[customer]),ROW(orderHistory[customer])),""),ROWS($A$15:A57)+$B$3))),IF($D$15="",INDEX(orderHistory[customer],SMALL(IF(ISNUMBER(MATCH(orderHistory[customer],$D$9,0)*MATCH(orderHistory[order_type],$D$13,0)),MATCH(ROW(orderHistory[customer]),ROW(orderHistory[customer])),""),ROWS($A$15:A57)+$B$3)),INDEX(orderHistory[customer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customer],SMALL(IF(ISNUMBER(MATCH(orderHistory[customer],$D$9,0)*MATCH(orderHistory[status],$D$11,0)),MATCH(ROW(orderHistory[customer]),ROW(orderHistory[customer])),""),ROWS($A$15:A57)+$B$3)),INDEX(orderHistory[customer],SMALL(IF(ISNUMBER(MATCH(orderHistory[customer],$D$9,0)*MATCH(orderHistory[status],$D$11,0)*MATCH(YEAR(orderHistory[invoice_date]),$D$15,0)),MATCH(ROW(orderHistory[customer]),ROW(orderHistory[customer])),""),ROWS($A$15:A57)+$B$3))),IF($D$15="",INDEX(orderHistory[customer],SMALL(IF(ISNUMBER(MATCH(orderHistory[customer],$D$9,0)*MATCH(orderHistory[status],$D$11,0)*MATCH(orderHistory[order_type],$D$13,0)),MATCH(ROW(orderHistory[customer]),ROW(orderHistory[customer])),""),ROWS($A$15:A57)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M52" s="540" t="str">
        <f t="array" ref="M52">IFERROR(IF($D$9="",IF($D$11="",IF($D$13="",IF($D$15="",INDEX(orderHistory[order_no],SMALL(MATCH(ROW(orderHistory[customer]),ROW(orderHistory[customer])),ROWS($A$15:A57)+$B$3)),INDEX(orderHistory[order_no],SMALL(IF(ISNUMBER(MATCH(YEAR(orderHistory[invoice_date]),$D$15,0)),MATCH(ROW(orderHistory[customer]),ROW(orderHistory[customer])),""),ROWS($A$15:A57)+$B$3))),IF($D$15="",INDEX(orderHistory[order_no],SMALL(IF(ISNUMBER(MATCH(orderHistory[order_type],$D$13,0)),MATCH(ROW(orderHistory[customer]),ROW(orderHistory[customer])),""),ROWS($A$15:A57)+$B$3)),INDEX(orderHistory[order_no],SMALL(IF(ISNUMBER(MATCH(orderHistory[order_type],$D$13,0)*MATCH(YEAR(orderHistory[invoice_date]),$D$15,0)),MATCH(ROW(orderHistory[customer]),ROW(orderHistory[customer])),""),ROWS($A$15:A57)+$B$3)))),IF($D$13="",IF($D$15="",INDEX(orderHistory[order_no],SMALL(IF(ISNUMBER(MATCH(orderHistory[status],$D$11,0)),MATCH(ROW(orderHistory[customer]),ROW(orderHistory[customer])),""),ROWS($A$15:A57)+$B$3)),INDEX(orderHistory[order_no],SMALL(IF(ISNUMBER(MATCH(orderHistory[status],$D$11,0)*MATCH(YEAR(orderHistory[invoice_date]),$D$15,0)),MATCH(ROW(orderHistory[customer]),ROW(orderHistory[customer])),""),ROWS($A$15:A57)+$B$3))),IF($D$15="",INDEX(orderHistory[order_no],SMALL(IF(ISNUMBER(MATCH(orderHistory[status],$D$11,0)*MATCH(orderHistory[order_type],$D$13,0)),MATCH(ROW(orderHistory[customer]),ROW(orderHistory[customer])),""),ROWS($A$15:A57)+$B$3)),INDEX(orderHistory[order_no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no],SMALL(IF(ISNUMBER(MATCH(orderHistory[customer],$D$9,0)),MATCH(ROW(orderHistory[customer]),ROW(orderHistory[customer])),""),ROWS($A$15:A57)+$B$3)),INDEX(orderHistory[order_no],SMALL(IF(ISNUMBER(MATCH(orderHistory[customer],$D$9,0)*MATCH(YEAR(orderHistory[invoice_date]),$D$15,0)),MATCH(ROW(orderHistory[customer]),ROW(orderHistory[customer])),""),ROWS($A$15:A57)+$B$3))),IF($D$15="",INDEX(orderHistory[order_no],SMALL(IF(ISNUMBER(MATCH(orderHistory[customer],$D$9,0)*MATCH(orderHistory[order_type],$D$13,0)),MATCH(ROW(orderHistory[customer]),ROW(orderHistory[customer])),""),ROWS($A$15:A57)+$B$3)),INDEX(orderHistory[order_no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no],SMALL(IF(ISNUMBER(MATCH(orderHistory[customer],$D$9,0)*MATCH(orderHistory[status],$D$11,0)),MATCH(ROW(orderHistory[customer]),ROW(orderHistory[customer])),""),ROWS($A$15:A57)+$B$3)),INDEX(orderHistory[order_no],SMALL(IF(ISNUMBER(MATCH(orderHistory[customer],$D$9,0)*MATCH(orderHistory[status],$D$11,0)*MATCH(YEAR(orderHistory[invoice_date]),$D$15,0)),MATCH(ROW(orderHistory[customer]),ROW(orderHistory[customer])),""),ROWS($A$15:A57)+$B$3))),IF($D$15="",INDEX(orderHistory[order_no],SMALL(IF(ISNUMBER(MATCH(orderHistory[customer],$D$9,0)*MATCH(orderHistory[status],$D$11,0)*MATCH(orderHistory[order_type],$D$13,0)),MATCH(ROW(orderHistory[customer]),ROW(orderHistory[customer])),""),ROWS($A$15:A57)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N52" s="541" t="str">
        <f t="array" ref="N52">IFERROR(IF($D$9="",IF($D$11="",IF($D$13="",IF($D$15="",INDEX(orderHistory[order_type],SMALL(MATCH(ROW(orderHistory[customer]),ROW(orderHistory[customer])),ROWS($A$15:A57)+$B$3)),INDEX(orderHistory[order_type],SMALL(IF(ISNUMBER(MATCH(YEAR(orderHistory[invoice_date]),$D$15,0)),MATCH(ROW(orderHistory[customer]),ROW(orderHistory[customer])),""),ROWS($A$15:A57)+$B$3))),IF($D$15="",INDEX(orderHistory[order_type],SMALL(IF(ISNUMBER(MATCH(orderHistory[order_type],$D$13,0)),MATCH(ROW(orderHistory[customer]),ROW(orderHistory[customer])),""),ROWS($A$15:A57)+$B$3)),INDEX(orderHistory[order_type],SMALL(IF(ISNUMBER(MATCH(orderHistory[order_type],$D$13,0)*MATCH(YEAR(orderHistory[invoice_date]),$D$15,0)),MATCH(ROW(orderHistory[customer]),ROW(orderHistory[customer])),""),ROWS($A$15:A57)+$B$3)))),IF($D$13="",IF($D$15="",INDEX(orderHistory[order_type],SMALL(IF(ISNUMBER(MATCH(orderHistory[status],$D$11,0)),MATCH(ROW(orderHistory[customer]),ROW(orderHistory[customer])),""),ROWS($A$15:A57)+$B$3)),INDEX(orderHistory[order_type],SMALL(IF(ISNUMBER(MATCH(orderHistory[status],$D$11,0)*MATCH(YEAR(orderHistory[invoice_date]),$D$15,0)),MATCH(ROW(orderHistory[customer]),ROW(orderHistory[customer])),""),ROWS($A$15:A57)+$B$3))),IF($D$15="",INDEX(orderHistory[order_type],SMALL(IF(ISNUMBER(MATCH(orderHistory[status],$D$11,0)*MATCH(orderHistory[order_type],$D$13,0)),MATCH(ROW(orderHistory[customer]),ROW(orderHistory[customer])),""),ROWS($A$15:A57)+$B$3)),INDEX(orderHistory[order_typ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type],SMALL(IF(ISNUMBER(MATCH(orderHistory[customer],$D$9,0)),MATCH(ROW(orderHistory[customer]),ROW(orderHistory[customer])),""),ROWS($A$15:A57)+$B$3)),INDEX(orderHistory[order_type],SMALL(IF(ISNUMBER(MATCH(orderHistory[customer],$D$9,0)*MATCH(YEAR(orderHistory[invoice_date]),$D$15,0)),MATCH(ROW(orderHistory[customer]),ROW(orderHistory[customer])),""),ROWS($A$15:A57)+$B$3))),IF($D$15="",INDEX(orderHistory[order_type],SMALL(IF(ISNUMBER(MATCH(orderHistory[customer],$D$9,0)*MATCH(orderHistory[order_type],$D$13,0)),MATCH(ROW(orderHistory[customer]),ROW(orderHistory[customer])),""),ROWS($A$15:A57)+$B$3)),INDEX(orderHistory[order_typ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type],SMALL(IF(ISNUMBER(MATCH(orderHistory[customer],$D$9,0)*MATCH(orderHistory[status],$D$11,0)),MATCH(ROW(orderHistory[customer]),ROW(orderHistory[customer])),""),ROWS($A$15:A57)+$B$3)),INDEX(orderHistory[order_type],SMALL(IF(ISNUMBER(MATCH(orderHistory[customer],$D$9,0)*MATCH(orderHistory[status],$D$11,0)*MATCH(YEAR(orderHistory[invoice_date]),$D$15,0)),MATCH(ROW(orderHistory[customer]),ROW(orderHistory[customer])),""),ROWS($A$15:A57)+$B$3))),IF($D$15="",INDEX(orderHistory[order_type],SMALL(IF(ISNUMBER(MATCH(orderHistory[customer],$D$9,0)*MATCH(orderHistory[status],$D$11,0)*MATCH(orderHistory[order_type],$D$13,0)),MATCH(ROW(orderHistory[customer]),ROW(orderHistory[customer])),""),ROWS($A$15:A57)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O52" s="542" t="str">
        <f t="array" ref="O52">IFERROR(IF($D$9="",IF($D$11="",IF($D$13="",IF($D$15="",INDEX(orderHistory[order_date],SMALL(MATCH(ROW(orderHistory[customer]),ROW(orderHistory[customer])),ROWS($A$15:A57)+$B$3)),INDEX(orderHistory[order_date],SMALL(IF(ISNUMBER(MATCH(YEAR(orderHistory[invoice_date]),$D$15,0)),MATCH(ROW(orderHistory[customer]),ROW(orderHistory[customer])),""),ROWS($A$15:A57)+$B$3))),IF($D$15="",INDEX(orderHistory[order_date],SMALL(IF(ISNUMBER(MATCH(orderHistory[order_type],$D$13,0)),MATCH(ROW(orderHistory[customer]),ROW(orderHistory[customer])),""),ROWS($A$15:A57)+$B$3)),INDEX(orderHistory[order_date],SMALL(IF(ISNUMBER(MATCH(orderHistory[order_type],$D$13,0)*MATCH(YEAR(orderHistory[invoice_date]),$D$15,0)),MATCH(ROW(orderHistory[customer]),ROW(orderHistory[customer])),""),ROWS($A$15:A57)+$B$3)))),IF($D$13="",IF($D$15="",INDEX(orderHistory[order_date],SMALL(IF(ISNUMBER(MATCH(orderHistory[status],$D$11,0)),MATCH(ROW(orderHistory[customer]),ROW(orderHistory[customer])),""),ROWS($A$15:A57)+$B$3)),INDEX(orderHistory[order_date],SMALL(IF(ISNUMBER(MATCH(orderHistory[status],$D$11,0)*MATCH(YEAR(orderHistory[invoice_date]),$D$15,0)),MATCH(ROW(orderHistory[customer]),ROW(orderHistory[customer])),""),ROWS($A$15:A57)+$B$3))),IF($D$15="",INDEX(orderHistory[order_date],SMALL(IF(ISNUMBER(MATCH(orderHistory[status],$D$11,0)*MATCH(orderHistory[order_type],$D$13,0)),MATCH(ROW(orderHistory[customer]),ROW(orderHistory[customer])),""),ROWS($A$15:A57)+$B$3)),INDEX(orderHistory[order_dat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date],SMALL(IF(ISNUMBER(MATCH(orderHistory[customer],$D$9,0)),MATCH(ROW(orderHistory[customer]),ROW(orderHistory[customer])),""),ROWS($A$15:A57)+$B$3)),INDEX(orderHistory[order_date],SMALL(IF(ISNUMBER(MATCH(orderHistory[customer],$D$9,0)*MATCH(YEAR(orderHistory[invoice_date]),$D$15,0)),MATCH(ROW(orderHistory[customer]),ROW(orderHistory[customer])),""),ROWS($A$15:A57)+$B$3))),IF($D$15="",INDEX(orderHistory[order_date],SMALL(IF(ISNUMBER(MATCH(orderHistory[customer],$D$9,0)*MATCH(orderHistory[order_type],$D$13,0)),MATCH(ROW(orderHistory[customer]),ROW(orderHistory[customer])),""),ROWS($A$15:A57)+$B$3)),INDEX(orderHistory[order_dat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date],SMALL(IF(ISNUMBER(MATCH(orderHistory[customer],$D$9,0)*MATCH(orderHistory[status],$D$11,0)),MATCH(ROW(orderHistory[customer]),ROW(orderHistory[customer])),""),ROWS($A$15:A57)+$B$3)),INDEX(orderHistory[order_date],SMALL(IF(ISNUMBER(MATCH(orderHistory[customer],$D$9,0)*MATCH(orderHistory[status],$D$11,0)*MATCH(YEAR(orderHistory[invoice_date]),$D$15,0)),MATCH(ROW(orderHistory[customer]),ROW(orderHistory[customer])),""),ROWS($A$15:A57)+$B$3))),IF($D$15="",INDEX(orderHistory[order_date],SMALL(IF(ISNUMBER(MATCH(orderHistory[customer],$D$9,0)*MATCH(orderHistory[status],$D$11,0)*MATCH(orderHistory[order_type],$D$13,0)),MATCH(ROW(orderHistory[customer]),ROW(orderHistory[customer])),""),ROWS($A$15:A57)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P52" s="543" t="str">
        <f t="array" ref="P52">IFERROR(IF($D$9="",IF($D$11="",IF($D$13="",IF($D$15="",INDEX(orderHistory[invoice_no],SMALL(MATCH(ROW(orderHistory[customer]),ROW(orderHistory[customer])),ROWS($A$15:A57)+$B$3)),INDEX(orderHistory[invoice_no],SMALL(IF(ISNUMBER(MATCH(YEAR(orderHistory[invoice_date]),$D$15,0)),MATCH(ROW(orderHistory[customer]),ROW(orderHistory[customer])),""),ROWS($A$15:A57)+$B$3))),IF($D$15="",INDEX(orderHistory[invoice_no],SMALL(IF(ISNUMBER(MATCH(orderHistory[order_type],$D$13,0)),MATCH(ROW(orderHistory[customer]),ROW(orderHistory[customer])),""),ROWS($A$15:A57)+$B$3)),INDEX(orderHistory[invoice_no],SMALL(IF(ISNUMBER(MATCH(orderHistory[order_type],$D$13,0)*MATCH(YEAR(orderHistory[invoice_date]),$D$15,0)),MATCH(ROW(orderHistory[customer]),ROW(orderHistory[customer])),""),ROWS($A$15:A57)+$B$3)))),IF($D$13="",IF($D$15="",INDEX(orderHistory[invoice_no],SMALL(IF(ISNUMBER(MATCH(orderHistory[status],$D$11,0)),MATCH(ROW(orderHistory[customer]),ROW(orderHistory[customer])),""),ROWS($A$15:A57)+$B$3)),INDEX(orderHistory[invoice_no],SMALL(IF(ISNUMBER(MATCH(orderHistory[status],$D$11,0)*MATCH(YEAR(orderHistory[invoice_date]),$D$15,0)),MATCH(ROW(orderHistory[customer]),ROW(orderHistory[customer])),""),ROWS($A$15:A57)+$B$3))),IF($D$15="",INDEX(orderHistory[invoice_no],SMALL(IF(ISNUMBER(MATCH(orderHistory[status],$D$11,0)*MATCH(orderHistory[order_type],$D$13,0)),MATCH(ROW(orderHistory[customer]),ROW(orderHistory[customer])),""),ROWS($A$15:A57)+$B$3)),INDEX(orderHistory[invoice_no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oice_no],SMALL(IF(ISNUMBER(MATCH(orderHistory[customer],$D$9,0)),MATCH(ROW(orderHistory[customer]),ROW(orderHistory[customer])),""),ROWS($A$15:A57)+$B$3)),INDEX(orderHistory[invoice_no],SMALL(IF(ISNUMBER(MATCH(orderHistory[customer],$D$9,0)*MATCH(YEAR(orderHistory[invoice_date]),$D$15,0)),MATCH(ROW(orderHistory[customer]),ROW(orderHistory[customer])),""),ROWS($A$15:A57)+$B$3))),IF($D$15="",INDEX(orderHistory[invoice_no],SMALL(IF(ISNUMBER(MATCH(orderHistory[customer],$D$9,0)*MATCH(orderHistory[order_type],$D$13,0)),MATCH(ROW(orderHistory[customer]),ROW(orderHistory[customer])),""),ROWS($A$15:A57)+$B$3)),INDEX(orderHistory[invoice_no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oice_no],SMALL(IF(ISNUMBER(MATCH(orderHistory[customer],$D$9,0)*MATCH(orderHistory[status],$D$11,0)),MATCH(ROW(orderHistory[customer]),ROW(orderHistory[customer])),""),ROWS($A$15:A57)+$B$3)),INDEX(orderHistory[invoice_no],SMALL(IF(ISNUMBER(MATCH(orderHistory[customer],$D$9,0)*MATCH(orderHistory[status],$D$11,0)*MATCH(YEAR(orderHistory[invoice_date]),$D$15,0)),MATCH(ROW(orderHistory[customer]),ROW(orderHistory[customer])),""),ROWS($A$15:A57)+$B$3))),IF($D$15="",INDEX(orderHistory[invoice_no],SMALL(IF(ISNUMBER(MATCH(orderHistory[customer],$D$9,0)*MATCH(orderHistory[status],$D$11,0)*MATCH(orderHistory[order_type],$D$13,0)),MATCH(ROW(orderHistory[customer]),ROW(orderHistory[customer])),""),ROWS($A$15:A57)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Q52" s="544" t="str">
        <f t="array" ref="Q52">IFERROR(IF($D$9="",IF($D$11="",IF($D$13="",IF($D$15="",INDEX(orderHistory[invoice_date],SMALL(MATCH(ROW(orderHistory[customer]),ROW(orderHistory[customer])),ROWS($A$15:A57)+$B$3)),INDEX(orderHistory[invoice_date],SMALL(IF(ISNUMBER(MATCH(YEAR(orderHistory[invoice_date]),$D$15,0)),MATCH(ROW(orderHistory[customer]),ROW(orderHistory[customer])),""),ROWS($A$15:A57)+$B$3))),IF($D$15="",INDEX(orderHistory[invoice_date],SMALL(IF(ISNUMBER(MATCH(orderHistory[order_type],$D$13,0)),MATCH(ROW(orderHistory[customer]),ROW(orderHistory[customer])),""),ROWS($A$15:A57)+$B$3)),INDEX(orderHistory[invoice_date],SMALL(IF(ISNUMBER(MATCH(orderHistory[order_type],$D$13,0)*MATCH(YEAR(orderHistory[invoice_date]),$D$15,0)),MATCH(ROW(orderHistory[customer]),ROW(orderHistory[customer])),""),ROWS($A$15:A57)+$B$3)))),IF($D$13="",IF($D$15="",INDEX(orderHistory[invoice_date],SMALL(IF(ISNUMBER(MATCH(orderHistory[status],$D$11,0)),MATCH(ROW(orderHistory[customer]),ROW(orderHistory[customer])),""),ROWS($A$15:A57)+$B$3)),INDEX(orderHistory[invoice_date],SMALL(IF(ISNUMBER(MATCH(orderHistory[status],$D$11,0)*MATCH(YEAR(orderHistory[invoice_date]),$D$15,0)),MATCH(ROW(orderHistory[customer]),ROW(orderHistory[customer])),""),ROWS($A$15:A57)+$B$3))),IF($D$15="",INDEX(orderHistory[invoice_date],SMALL(IF(ISNUMBER(MATCH(orderHistory[status],$D$11,0)*MATCH(orderHistory[order_type],$D$13,0)),MATCH(ROW(orderHistory[customer]),ROW(orderHistory[customer])),""),ROWS($A$15:A57)+$B$3)),INDEX(orderHistory[invoice_dat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oice_date],SMALL(IF(ISNUMBER(MATCH(orderHistory[customer],$D$9,0)),MATCH(ROW(orderHistory[customer]),ROW(orderHistory[customer])),""),ROWS($A$15:A57)+$B$3)),INDEX(orderHistory[invoice_date],SMALL(IF(ISNUMBER(MATCH(orderHistory[customer],$D$9,0)*MATCH(YEAR(orderHistory[invoice_date]),$D$15,0)),MATCH(ROW(orderHistory[customer]),ROW(orderHistory[customer])),""),ROWS($A$15:A57)+$B$3))),IF($D$15="",INDEX(orderHistory[invoice_date],SMALL(IF(ISNUMBER(MATCH(orderHistory[customer],$D$9,0)*MATCH(orderHistory[order_type],$D$13,0)),MATCH(ROW(orderHistory[customer]),ROW(orderHistory[customer])),""),ROWS($A$15:A57)+$B$3)),INDEX(orderHistory[invoice_dat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oice_date],SMALL(IF(ISNUMBER(MATCH(orderHistory[customer],$D$9,0)*MATCH(orderHistory[status],$D$11,0)),MATCH(ROW(orderHistory[customer]),ROW(orderHistory[customer])),""),ROWS($A$15:A57)+$B$3)),INDEX(orderHistory[invoice_date],SMALL(IF(ISNUMBER(MATCH(orderHistory[customer],$D$9,0)*MATCH(orderHistory[status],$D$11,0)*MATCH(YEAR(orderHistory[invoice_date]),$D$15,0)),MATCH(ROW(orderHistory[customer]),ROW(orderHistory[customer])),""),ROWS($A$15:A57)+$B$3))),IF($D$15="",INDEX(orderHistory[invoice_date],SMALL(IF(ISNUMBER(MATCH(orderHistory[customer],$D$9,0)*MATCH(orderHistory[status],$D$11,0)*MATCH(orderHistory[order_type],$D$13,0)),MATCH(ROW(orderHistory[customer]),ROW(orderHistory[customer])),""),ROWS($A$15:A57)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R52" s="545" t="str">
        <f t="array" ref="R52">IFERROR(IF($D$9="",IF($D$11="",IF($D$13="",IF($D$15="",INDEX(orderHistory[inv_amount],SMALL(MATCH(ROW(orderHistory[customer]),ROW(orderHistory[customer])),ROWS($A$15:A57)+$B$3)),INDEX(orderHistory[inv_amount],SMALL(IF(ISNUMBER(MATCH(YEAR(orderHistory[invoice_date]),$D$15,0)),MATCH(ROW(orderHistory[customer]),ROW(orderHistory[customer])),""),ROWS($A$15:A57)+$B$3))),IF($D$15="",INDEX(orderHistory[inv_amount],SMALL(IF(ISNUMBER(MATCH(orderHistory[order_type],$D$13,0)),MATCH(ROW(orderHistory[customer]),ROW(orderHistory[customer])),""),ROWS($A$15:A57)+$B$3)),INDEX(orderHistory[inv_amount],SMALL(IF(ISNUMBER(MATCH(orderHistory[order_type],$D$13,0)*MATCH(YEAR(orderHistory[invoice_date]),$D$15,0)),MATCH(ROW(orderHistory[customer]),ROW(orderHistory[customer])),""),ROWS($A$15:A57)+$B$3)))),IF($D$13="",IF($D$15="",INDEX(orderHistory[inv_amount],SMALL(IF(ISNUMBER(MATCH(orderHistory[status],$D$11,0)),MATCH(ROW(orderHistory[customer]),ROW(orderHistory[customer])),""),ROWS($A$15:A57)+$B$3)),INDEX(orderHistory[inv_amount],SMALL(IF(ISNUMBER(MATCH(orderHistory[status],$D$11,0)*MATCH(YEAR(orderHistory[invoice_date]),$D$15,0)),MATCH(ROW(orderHistory[customer]),ROW(orderHistory[customer])),""),ROWS($A$15:A57)+$B$3))),IF($D$15="",INDEX(orderHistory[inv_amount],SMALL(IF(ISNUMBER(MATCH(orderHistory[status],$D$11,0)*MATCH(orderHistory[order_type],$D$13,0)),MATCH(ROW(orderHistory[customer]),ROW(orderHistory[customer])),""),ROWS($A$15:A57)+$B$3)),INDEX(orderHistory[inv_amount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_amount],SMALL(IF(ISNUMBER(MATCH(orderHistory[customer],$D$9,0)),MATCH(ROW(orderHistory[customer]),ROW(orderHistory[customer])),""),ROWS($A$15:A57)+$B$3)),INDEX(orderHistory[inv_amount],SMALL(IF(ISNUMBER(MATCH(orderHistory[customer],$D$9,0)*MATCH(YEAR(orderHistory[invoice_date]),$D$15,0)),MATCH(ROW(orderHistory[customer]),ROW(orderHistory[customer])),""),ROWS($A$15:A57)+$B$3))),IF($D$15="",INDEX(orderHistory[inv_amount],SMALL(IF(ISNUMBER(MATCH(orderHistory[customer],$D$9,0)*MATCH(orderHistory[order_type],$D$13,0)),MATCH(ROW(orderHistory[customer]),ROW(orderHistory[customer])),""),ROWS($A$15:A57)+$B$3)),INDEX(orderHistory[inv_amount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_amount],SMALL(IF(ISNUMBER(MATCH(orderHistory[customer],$D$9,0)*MATCH(orderHistory[status],$D$11,0)),MATCH(ROW(orderHistory[customer]),ROW(orderHistory[customer])),""),ROWS($A$15:A57)+$B$3)),INDEX(orderHistory[inv_amount],SMALL(IF(ISNUMBER(MATCH(orderHistory[customer],$D$9,0)*MATCH(orderHistory[status],$D$11,0)*MATCH(YEAR(orderHistory[inv_amount]),$D$15,0)),MATCH(ROW(orderHistory[customer]),ROW(orderHistory[customer])),""),ROWS($A$15:A57)+$B$3))),IF($D$15="",INDEX(orderHistory[inv_amount],SMALL(IF(ISNUMBER(MATCH(orderHistory[customer],$D$9,0)*MATCH(orderHistory[status],$D$11,0)*MATCH(orderHistory[order_type],$D$13,0)),MATCH(ROW(orderHistory[customer]),ROW(orderHistory[customer])),""),ROWS($A$15:A57)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S52" s="546" t="str">
        <f t="shared" si="2"/>
        <v/>
      </c>
      <c r="T52" s="547" t="str">
        <f t="array" ref="T52">IFERROR(IF($D$9="",IF($D$11="",IF($D$13="",IF($D$15="",INDEX(orderHistory[payed],SMALL(MATCH(ROW(orderHistory[customer]),ROW(orderHistory[customer])),ROWS($A$15:A57)+$B$3)),INDEX(orderHistory[payed],SMALL(IF(ISNUMBER(MATCH(YEAR(orderHistory[invoice_date]),$D$15,0)),MATCH(ROW(orderHistory[customer]),ROW(orderHistory[customer])),""),ROWS($A$15:A57)+$B$3))),IF($D$15="",INDEX(orderHistory[payed],SMALL(IF(ISNUMBER(MATCH(orderHistory[order_type],$D$13,0)),MATCH(ROW(orderHistory[customer]),ROW(orderHistory[customer])),""),ROWS($A$15:A57)+$B$3)),INDEX(orderHistory[payed],SMALL(IF(ISNUMBER(MATCH(orderHistory[order_type],$D$13,0)*MATCH(YEAR(orderHistory[invoice_date]),$D$15,0)),MATCH(ROW(orderHistory[customer]),ROW(orderHistory[customer])),""),ROWS($A$15:A57)+$B$3)))),IF($D$13="",IF($D$15="",INDEX(orderHistory[payed],SMALL(IF(ISNUMBER(MATCH(orderHistory[status],$D$11,0)),MATCH(ROW(orderHistory[customer]),ROW(orderHistory[customer])),""),ROWS($A$15:A57)+$B$3)),INDEX(orderHistory[payed],SMALL(IF(ISNUMBER(MATCH(orderHistory[status],$D$11,0)*MATCH(YEAR(orderHistory[invoice_date]),$D$15,0)),MATCH(ROW(orderHistory[customer]),ROW(orderHistory[customer])),""),ROWS($A$15:A57)+$B$3))),IF($D$15="",INDEX(orderHistory[payed],SMALL(IF(ISNUMBER(MATCH(orderHistory[status],$D$11,0)*MATCH(orderHistory[order_type],$D$13,0)),MATCH(ROW(orderHistory[customer]),ROW(orderHistory[customer])),""),ROWS($A$15:A57)+$B$3)),INDEX(orderHistory[payed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payed],SMALL(IF(ISNUMBER(MATCH(orderHistory[customer],$D$9,0)),MATCH(ROW(orderHistory[customer]),ROW(orderHistory[customer])),""),ROWS($A$15:A57)+$B$3)),INDEX(orderHistory[payed],SMALL(IF(ISNUMBER(MATCH(orderHistory[customer],$D$9,0)*MATCH(YEAR(orderHistory[invoice_date]),$D$15,0)),MATCH(ROW(orderHistory[customer]),ROW(orderHistory[customer])),""),ROWS($A$15:A57)+$B$3))),IF($D$15="",INDEX(orderHistory[payed],SMALL(IF(ISNUMBER(MATCH(orderHistory[customer],$D$9,0)*MATCH(orderHistory[order_type],$D$13,0)),MATCH(ROW(orderHistory[customer]),ROW(orderHistory[customer])),""),ROWS($A$15:A57)+$B$3)),INDEX(orderHistory[payed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payed],SMALL(IF(ISNUMBER(MATCH(orderHistory[customer],$D$9,0)*MATCH(orderHistory[status],$D$11,0)),MATCH(ROW(orderHistory[customer]),ROW(orderHistory[customer])),""),ROWS($A$15:A57)+$B$3)),INDEX(orderHistory[payed],SMALL(IF(ISNUMBER(MATCH(orderHistory[customer],$D$9,0)*MATCH(orderHistory[status],$D$11,0)*MATCH(YEAR(orderHistory[payed]),$D$15,0)),MATCH(ROW(orderHistory[customer]),ROW(orderHistory[customer])),""),ROWS($A$15:A57)+$B$3))),IF($D$15="",INDEX(orderHistory[payed],SMALL(IF(ISNUMBER(MATCH(orderHistory[customer],$D$9,0)*MATCH(orderHistory[status],$D$11,0)*MATCH(orderHistory[order_type],$D$13,0)),MATCH(ROW(orderHistory[customer]),ROW(orderHistory[customer])),""),ROWS($A$15:A57)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U52" s="541" t="str">
        <f t="array" ref="U52">IFERROR(IF($D$9="",IF($D$11="",IF($D$13="",IF($D$15="",INDEX(orderHistory[shipping_method],SMALL(MATCH(ROW(orderHistory[customer]),ROW(orderHistory[customer])),ROWS($A$15:A57)+$B$3)),INDEX(orderHistory[shipping_method],SMALL(IF(ISNUMBER(MATCH(YEAR(orderHistory[invoice_date]),$D$15,0)),MATCH(ROW(orderHistory[customer]),ROW(orderHistory[customer])),""),ROWS($A$15:A57)+$B$3))),IF($D$15="",INDEX(orderHistory[shipping_method],SMALL(IF(ISNUMBER(MATCH(orderHistory[order_type],$D$13,0)),MATCH(ROW(orderHistory[customer]),ROW(orderHistory[customer])),""),ROWS($A$15:A57)+$B$3)),INDEX(orderHistory[shipping_method],SMALL(IF(ISNUMBER(MATCH(orderHistory[order_type],$D$13,0)*MATCH(YEAR(orderHistory[invoice_date]),$D$15,0)),MATCH(ROW(orderHistory[customer]),ROW(orderHistory[customer])),""),ROWS($A$15:A57)+$B$3)))),IF($D$13="",IF($D$15="",INDEX(orderHistory[shipping_method],SMALL(IF(ISNUMBER(MATCH(orderHistory[status],$D$11,0)),MATCH(ROW(orderHistory[customer]),ROW(orderHistory[customer])),""),ROWS($A$15:A57)+$B$3)),INDEX(orderHistory[shipping_method],SMALL(IF(ISNUMBER(MATCH(orderHistory[status],$D$11,0)*MATCH(YEAR(orderHistory[invoice_date]),$D$15,0)),MATCH(ROW(orderHistory[customer]),ROW(orderHistory[customer])),""),ROWS($A$15:A57)+$B$3))),IF($D$15="",INDEX(orderHistory[shipping_method],SMALL(IF(ISNUMBER(MATCH(orderHistory[status],$D$11,0)*MATCH(orderHistory[order_type],$D$13,0)),MATCH(ROW(orderHistory[customer]),ROW(orderHistory[customer])),""),ROWS($A$15:A57)+$B$3)),INDEX(orderHistory[shipping_method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shipping_method],SMALL(IF(ISNUMBER(MATCH(orderHistory[customer],$D$9,0)),MATCH(ROW(orderHistory[customer]),ROW(orderHistory[customer])),""),ROWS($A$15:A57)+$B$3)),INDEX(orderHistory[shipping_method],SMALL(IF(ISNUMBER(MATCH(orderHistory[customer],$D$9,0)*MATCH(YEAR(orderHistory[invoice_date]),$D$15,0)),MATCH(ROW(orderHistory[customer]),ROW(orderHistory[customer])),""),ROWS($A$15:A57)+$B$3))),IF($D$15="",INDEX(orderHistory[shipping_method],SMALL(IF(ISNUMBER(MATCH(orderHistory[customer],$D$9,0)*MATCH(orderHistory[order_type],$D$13,0)),MATCH(ROW(orderHistory[customer]),ROW(orderHistory[customer])),""),ROWS($A$15:A57)+$B$3)),INDEX(orderHistory[shipping_method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shipping_method],SMALL(IF(ISNUMBER(MATCH(orderHistory[customer],$D$9,0)*MATCH(orderHistory[status],$D$11,0)),MATCH(ROW(orderHistory[customer]),ROW(orderHistory[customer])),""),ROWS($A$15:A57)+$B$3)),INDEX(orderHistory[shipping_method],SMALL(IF(ISNUMBER(MATCH(orderHistory[customer],$D$9,0)*MATCH(orderHistory[status],$D$11,0)*MATCH(YEAR(orderHistory[shipping_method]),$D$15,0)),MATCH(ROW(orderHistory[customer]),ROW(orderHistory[customer])),""),ROWS($A$15:A57)+$B$3))),IF($D$15="",INDEX(orderHistory[shipping_method],SMALL(IF(ISNUMBER(MATCH(orderHistory[customer],$D$9,0)*MATCH(orderHistory[status],$D$11,0)*MATCH(orderHistory[order_type],$D$13,0)),MATCH(ROW(orderHistory[customer]),ROW(orderHistory[customer])),""),ROWS($A$15:A57)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V52" s="548" t="str">
        <f t="array" ref="V52">IFERROR(IF($D$9="",IF($D$11="",IF($D$13="",IF($D$15="",INDEX(orderHistory[status],SMALL(MATCH(ROW(orderHistory[customer]),ROW(orderHistory[customer])),ROWS($A$15:A57)+$B$3)),INDEX(orderHistory[status],SMALL(IF(ISNUMBER(MATCH(YEAR(orderHistory[invoice_date]),$D$15,0)),MATCH(ROW(orderHistory[customer]),ROW(orderHistory[customer])),""),ROWS($A$15:A57)+$B$3))),IF($D$15="",INDEX(orderHistory[status],SMALL(IF(ISNUMBER(MATCH(orderHistory[order_type],$D$13,0)),MATCH(ROW(orderHistory[customer]),ROW(orderHistory[customer])),""),ROWS($A$15:A57)+$B$3)),INDEX(orderHistory[status],SMALL(IF(ISNUMBER(MATCH(orderHistory[order_type],$D$13,0)*MATCH(YEAR(orderHistory[invoice_date]),$D$15,0)),MATCH(ROW(orderHistory[customer]),ROW(orderHistory[customer])),""),ROWS($A$15:A57)+$B$3)))),IF($D$13="",IF($D$15="",INDEX(orderHistory[status],SMALL(IF(ISNUMBER(MATCH(orderHistory[status],$D$11,0)),MATCH(ROW(orderHistory[customer]),ROW(orderHistory[customer])),""),ROWS($A$15:A57)+$B$3)),INDEX(orderHistory[status],SMALL(IF(ISNUMBER(MATCH(orderHistory[status],$D$11,0)*MATCH(YEAR(orderHistory[invoice_date]),$D$15,0)),MATCH(ROW(orderHistory[customer]),ROW(orderHistory[customer])),""),ROWS($A$15:A57)+$B$3))),IF($D$15="",INDEX(orderHistory[status],SMALL(IF(ISNUMBER(MATCH(orderHistory[status],$D$11,0)*MATCH(orderHistory[order_type],$D$13,0)),MATCH(ROW(orderHistory[customer]),ROW(orderHistory[customer])),""),ROWS($A$15:A57)+$B$3)),INDEX(orderHistory[status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status],SMALL(IF(ISNUMBER(MATCH(orderHistory[customer],$D$9,0)),MATCH(ROW(orderHistory[customer]),ROW(orderHistory[customer])),""),ROWS($A$15:A57)+$B$3)),INDEX(orderHistory[status],SMALL(IF(ISNUMBER(MATCH(orderHistory[customer],$D$9,0)*MATCH(YEAR(orderHistory[invoice_date]),$D$15,0)),MATCH(ROW(orderHistory[customer]),ROW(orderHistory[customer])),""),ROWS($A$15:A57)+$B$3))),IF($D$15="",INDEX(orderHistory[status],SMALL(IF(ISNUMBER(MATCH(orderHistory[customer],$D$9,0)*MATCH(orderHistory[order_type],$D$13,0)),MATCH(ROW(orderHistory[customer]),ROW(orderHistory[customer])),""),ROWS($A$15:A57)+$B$3)),INDEX(orderHistory[status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status],SMALL(IF(ISNUMBER(MATCH(orderHistory[customer],$D$9,0)*MATCH(orderHistory[status],$D$11,0)),MATCH(ROW(orderHistory[customer]),ROW(orderHistory[customer])),""),ROWS($A$15:A57)+$B$3)),INDEX(orderHistory[status],SMALL(IF(ISNUMBER(MATCH(orderHistory[customer],$D$9,0)*MATCH(orderHistory[status],$D$11,0)*MATCH(YEAR(orderHistory[status]),$D$15,0)),MATCH(ROW(orderHistory[customer]),ROW(orderHistory[customer])),""),ROWS($A$15:A57)+$B$3))),IF($D$15="",INDEX(orderHistory[status],SMALL(IF(ISNUMBER(MATCH(orderHistory[customer],$D$9,0)*MATCH(orderHistory[status],$D$11,0)*MATCH(orderHistory[order_type],$D$13,0)),MATCH(ROW(orderHistory[customer]),ROW(orderHistory[customer])),""),ROWS($A$15:A57)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W52" s="327"/>
      <c r="X52" s="414"/>
      <c r="AQ52" s="432"/>
      <c r="AR52" s="432" t="s">
        <v>620</v>
      </c>
      <c r="BG52" s="296"/>
      <c r="BK52" s="450"/>
      <c r="BL52" s="451"/>
      <c r="BM52" s="452"/>
      <c r="BN52" s="451"/>
      <c r="BO52" s="452"/>
      <c r="BZ52" s="168"/>
      <c r="CA52" s="154" t="str">
        <f>IF(BZ52="","",INDEX(bhpc_data[description],MATCH(BZ52,bhpc_data[sku],0)))</f>
        <v/>
      </c>
      <c r="CB52" s="159"/>
      <c r="CC52" s="357"/>
      <c r="CD52" s="160"/>
      <c r="CE52" s="360"/>
      <c r="CF52" s="161"/>
      <c r="CG52" s="164" t="str">
        <f>IFERROR(ROUNDUP(CB52/INDEX(bhpc_data[units_per_carton],MATCH(BZ52,bhpc_data[sku],0)),0),"")</f>
        <v/>
      </c>
      <c r="CH52" s="165" t="str">
        <f>IFERROR(ROUNDUP(CD52/INDEX(bhpc_data[units_per_carton],MATCH(BZ52,bhpc_data[sku],0)),0),"")</f>
        <v/>
      </c>
      <c r="CI52" s="165" t="str">
        <f>IFERROR(ROUNDUP(CF52/INDEX(bhpc_data[units_per_carton],MATCH(BZ52,bhpc_data[sku])),0),"")</f>
        <v/>
      </c>
      <c r="CJ52" s="165" t="str">
        <f>IFERROR(((CB52+CD52+CF52)/INDEX(bhpc_data[units_per_carton],MATCH(BZ52,bhpc_data[sku],0)))*INDEX(bhpc_data[net_weight],MATCH(BZ52,bhpc_data[sku],0)),"")</f>
        <v/>
      </c>
      <c r="CK52" s="165" t="str">
        <f>IFERROR(((CB52+CD52+CF52)/INDEX(bhpc_data[units_per_carton],MATCH(BZ52,bhpc_data[sku],0)))*INDEX(bhpc_data[gross_weight],MATCH(BZ52,bhpc_data[sku],0)),"")</f>
        <v/>
      </c>
      <c r="CL52" s="180" t="str">
        <f>IFERROR((CB52+CD52+CF52)/INDEX(bhpc_data[units_per_carton],MATCH(BZ52,bhpc_data[sku],0))*INDEX(bhpc_data[lenght],MATCH(BZ52,bhpc_data[sku],0))*INDEX(bhpc_data[width],MATCH(BZ52,bhpc_data[sku],0))*INDEX(bhpc_data[height],MATCH(BZ52,bhpc_data[sku],0))/1000000000,"")</f>
        <v/>
      </c>
      <c r="CM52" s="189" t="str">
        <f>IFERROR(INDEX(bhpc_data[category],MATCH(BZ52,bhpc_data[sku],0)),"")</f>
        <v/>
      </c>
      <c r="CN52" s="189" t="str">
        <f>IFERROR(INDEX(bhpc_data[size1],MATCH(BZ52,bhpc_data[sku],0)),"")</f>
        <v/>
      </c>
      <c r="CO52" s="388" t="str">
        <f>IFERROR(INDEX(bhpc_data[hs_code],MATCH(BZ52,bhpc_data[sku],0)),"")</f>
        <v/>
      </c>
      <c r="CP52" s="377" t="str">
        <f>IFERROR(INDEX(inventory[ESISTENZA],MATCH(BZ52,inventory[ARTICOLO],0)),"")</f>
        <v/>
      </c>
      <c r="CQ52" s="364" t="str">
        <f>IFERROR(IF(BZ52="","",IF($BX$15="SALE",INDEX(inventory[COSTO UNITARIO],MATCH(BZ52,inventory[ARTICOLO],0)),IF($BX$15="SAMPLING",INDEX(inventory[COSTO UNITARIO],MATCH(BZ52,inventory[ARTICOLO],0)),""))),"")</f>
        <v/>
      </c>
      <c r="CR52" s="365" t="str">
        <f t="shared" si="3"/>
        <v/>
      </c>
      <c r="CS52" s="264" t="str">
        <f t="shared" si="4"/>
        <v/>
      </c>
      <c r="CU52" s="432"/>
      <c r="CV52" s="432"/>
      <c r="CW52" s="432"/>
      <c r="CX52" s="432"/>
      <c r="CY52" s="432"/>
      <c r="CZ52" s="432"/>
      <c r="DA52" s="432" t="str">
        <f>IFERROR(VLOOKUP(BZ52,bhpc_data[],22,FALSE),"")</f>
        <v/>
      </c>
      <c r="EE52" s="202" t="str" cm="1">
        <f t="array" ref="EE52">IFERROR(IF($EC$9="",IF($EC$11="",IF($EC$13="",INDEX(bhpc_data[sku],SMALL(MATCH(ROW(bhpc_data[sku]),ROW(bhpc_data[sku])),ROWS($A$15:A57)+$B$3)),INDEX(bhpc_data[sku],SMALL(IF(ISNUMBER(MATCH(bhpc_data[size1],$EC$13,0)),MATCH(ROW(bhpc_data[sku]),ROW(bhpc_data[sku])),""),ROWS($A$15:A57)+$B$3))),IF($EC$13="",INDEX(bhpc_data[sku],SMALL(IF(ISNUMBER(MATCH(bhpc_data[sex],$EC$11,0)),MATCH(ROW(bhpc_data[sku]),ROW(bhpc_data[sku])),""),ROWS($A$15:A57)+$B$3)),INDEX(bhpc_data[sku],SMALL(IF(ISNUMBER(MATCH(bhpc_data[sex],$EC$11,0)*MATCH(bhpc_data[size1],$EC$13,0)),MATCH(ROW(bhpc_data[sku]),ROW(bhpc_data[sku])),""),ROWS($A$15:A57)+$B$3)))),IF($EC$11="",IF($EC$13="",INDEX(bhpc_data[sku],SMALL(IF(ISNUMBER(MATCH(bhpc_data[category],$EC$9,0)),MATCH(ROW(bhpc_data[sku]),ROW(bhpc_data[sku])),""),ROWS($A$15:A57)+$B$3)),INDEX(bhpc_data[sku],SMALL(IF(ISNUMBER(MATCH(bhpc_data[category],$EC$9,0)*MATCH(bhpc_data[size1],$EC$13,0)),MATCH(ROW(bhpc_data[sku]),ROW(bhpc_data[sku])),""),ROWS($A$15:A57)+$B$3))),IF($EC$13="",INDEX(bhpc_data[sku],SMALL(IF(ISNUMBER(MATCH(bhpc_data[category],$EC$9,0)*MATCH(bhpc_data[sex],$EC$11,0)),MATCH(ROW(bhpc_data[sku]),ROW(bhpc_data[sku])),""),ROWS($A$15:A57)+$B$3)),INDEX(bhpc_data[sku],SMALL(IF(ISNUMBER(MATCH(bhpc_data[category],$EC$9,0)*MATCH(bhpc_data[sex],$EC$11,0)*MATCH(bhpc_data[size1],$EC$13,0)),MATCH(ROW(bhpc_data[sku]),ROW(bhpc_data[sku])),""),ROWS($A$15:A57)+$B$3))))),"")</f>
        <v>P05008</v>
      </c>
      <c r="EF52" s="198" t="str" cm="1">
        <f t="array" ref="EF52">IFERROR(IF($EC$9="",IF($EC$11="",IF($EC$13="",INDEX(bhpc_data[description],SMALL(MATCH(ROW(bhpc_data[sku]),ROW(bhpc_data[sku])),ROWS($A$15:A57)+$B$3)),INDEX(bhpc_data[description],SMALL(IF(ISNUMBER(MATCH(bhpc_data[size1],$EC$13,0)),MATCH(ROW(bhpc_data[sku]),ROW(bhpc_data[sku])),""),ROWS($A$15:A57)+$B$3))),IF($EC$13="",INDEX(bhpc_data[description],SMALL(IF(ISNUMBER(MATCH(bhpc_data[sex],$EC$11,0)),MATCH(ROW(bhpc_data[sku]),ROW(bhpc_data[sku])),""),ROWS($A$15:A57)+$B$3)),INDEX(bhpc_data[description],SMALL(IF(ISNUMBER(MATCH(bhpc_data[sex],$EC$11,0)*MATCH(bhpc_data[size1],$EC$13,0)),MATCH(ROW(bhpc_data[sku]),ROW(bhpc_data[sku])),""),ROWS($A$15:A57)+$B$3)))),IF($EC$11="",IF($EC$13="",INDEX(bhpc_data[description],SMALL(IF(ISNUMBER(MATCH(bhpc_data[category],$EC$9,0)),MATCH(ROW(bhpc_data[sku]),ROW(bhpc_data[sku])),""),ROWS($A$15:A57)+$B$3)),INDEX(bhpc_data[description],SMALL(IF(ISNUMBER(MATCH(bhpc_data[category],$EC$9,0)*MATCH(bhpc_data[size1],$EC$13,0)),MATCH(ROW(bhpc_data[sku]),ROW(bhpc_data[sku])),""),ROWS($A$15:A57)+$B$3))),IF($EC$13="",INDEX(bhpc_data[description],SMALL(IF(ISNUMBER(MATCH(bhpc_data[category],$EC$9,0)*MATCH(bhpc_data[sex],$EC$11,0)),MATCH(ROW(bhpc_data[sku]),ROW(bhpc_data[sku])),""),ROWS($A$15:A57)+$B$3)),INDEX(bhpc_data[description],SMALL(IF(ISNUMBER(MATCH(bhpc_data[category],$EC$9,0)*MATCH(bhpc_data[sex],$EC$11,0)*MATCH(bhpc_data[size1],$EC$13,0)),MATCH(ROW(bhpc_data[sku]),ROW(bhpc_data[sku])),""),ROWS($A$15:A57)+$B$3))))),"")</f>
        <v>BHPC SPORT MEN 1 EDT 50ML</v>
      </c>
      <c r="EG52" s="263">
        <f>IFERROR(IF(warehouse[[#This Row],[SKU]]="","",INDEX(inventory[ESISTENZA],MATCH(warehouse[[#This Row],[SKU]],inventory[ARTICOLO],0))),"")</f>
        <v>24</v>
      </c>
      <c r="EH52" s="328"/>
      <c r="EI52" s="328"/>
      <c r="EJ52" s="263"/>
      <c r="EK52" s="329"/>
      <c r="EO52" s="296" t="str">
        <f t="array" ref="EO52">IFERROR(INDEX(orderHistory[order_no],SMALL(IF(ISNUMBER(MATCH(orderHistory[status],$EO$7,0)),MATCH(ROW(orderHistory[order_no]),ROW(orderHistory[order_no])),""),ROWS($A$15:A57))),"")</f>
        <v/>
      </c>
    </row>
    <row r="53" spans="10:145" ht="15" customHeight="1" x14ac:dyDescent="0.35">
      <c r="J53" s="414"/>
      <c r="K53" s="414"/>
      <c r="L53" s="539" t="str">
        <f t="array" ref="L53">IFERROR(IF($D$9="",IF($D$11="",IF($D$13="",IF($D$15="",INDEX(orderHistory[customer],SMALL(MATCH(ROW(orderHistory[customer]),ROW(orderHistory[customer])),ROWS($A$15:A58)+$B$3)),INDEX(orderHistory[customer],SMALL(IF(ISNUMBER(MATCH(YEAR(orderHistory[invoice_date]),$D$15,0)),MATCH(ROW(orderHistory[customer]),ROW(orderHistory[customer])),""),ROWS($A$15:A58)+$B$3))),IF($D$15="",INDEX(orderHistory[customer],SMALL(IF(ISNUMBER(MATCH(orderHistory[order_type],$D$13,0)),MATCH(ROW(orderHistory[customer]),ROW(orderHistory[customer])),""),ROWS($A$15:A58)+$B$3)),INDEX(orderHistory[customer],SMALL(IF(ISNUMBER(MATCH(orderHistory[order_type],$D$13,0)*MATCH(YEAR(orderHistory[invoice_date]),$D$15,0)),MATCH(ROW(orderHistory[customer]),ROW(orderHistory[customer])),""),ROWS($A$15:A58)+$B$3)))),IF($D$13="",IF($D$15="",INDEX(orderHistory[customer],SMALL(IF(ISNUMBER(MATCH(orderHistory[status],$D$11,0)),MATCH(ROW(orderHistory[customer]),ROW(orderHistory[customer])),""),ROWS($A$15:A58)+$B$3)),INDEX(orderHistory[customer],SMALL(IF(ISNUMBER(MATCH(orderHistory[status],$D$11,0)*MATCH(YEAR(orderHistory[invoice_date]),$D$15,0)),MATCH(ROW(orderHistory[customer]),ROW(orderHistory[customer])),""),ROWS($A$15:A58)+$B$3))),IF($D$15="",INDEX(orderHistory[customer],SMALL(IF(ISNUMBER(MATCH(orderHistory[status],$D$11,0)*MATCH(orderHistory[order_type],$D$13,0)),MATCH(ROW(orderHistory[customer]),ROW(orderHistory[customer])),""),ROWS($A$15:A58)+$B$3)),INDEX(orderHistory[customer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customer],SMALL(IF(ISNUMBER(MATCH(orderHistory[customer],$D$9,0)),MATCH(ROW(orderHistory[customer]),ROW(orderHistory[customer])),""),ROWS($A$15:A58)+$B$3)),INDEX(orderHistory[customer],SMALL(IF(ISNUMBER(MATCH(orderHistory[customer],$D$9,0)*MATCH(YEAR(orderHistory[invoice_date]),$D$15,0)),MATCH(ROW(orderHistory[customer]),ROW(orderHistory[customer])),""),ROWS($A$15:A58)+$B$3))),IF($D$15="",INDEX(orderHistory[customer],SMALL(IF(ISNUMBER(MATCH(orderHistory[customer],$D$9,0)*MATCH(orderHistory[order_type],$D$13,0)),MATCH(ROW(orderHistory[customer]),ROW(orderHistory[customer])),""),ROWS($A$15:A58)+$B$3)),INDEX(orderHistory[customer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customer],SMALL(IF(ISNUMBER(MATCH(orderHistory[customer],$D$9,0)*MATCH(orderHistory[status],$D$11,0)),MATCH(ROW(orderHistory[customer]),ROW(orderHistory[customer])),""),ROWS($A$15:A58)+$B$3)),INDEX(orderHistory[customer],SMALL(IF(ISNUMBER(MATCH(orderHistory[customer],$D$9,0)*MATCH(orderHistory[status],$D$11,0)*MATCH(YEAR(orderHistory[invoice_date]),$D$15,0)),MATCH(ROW(orderHistory[customer]),ROW(orderHistory[customer])),""),ROWS($A$15:A58)+$B$3))),IF($D$15="",INDEX(orderHistory[customer],SMALL(IF(ISNUMBER(MATCH(orderHistory[customer],$D$9,0)*MATCH(orderHistory[status],$D$11,0)*MATCH(orderHistory[order_type],$D$13,0)),MATCH(ROW(orderHistory[customer]),ROW(orderHistory[customer])),""),ROWS($A$15:A58)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M53" s="540" t="str">
        <f t="array" ref="M53">IFERROR(IF($D$9="",IF($D$11="",IF($D$13="",IF($D$15="",INDEX(orderHistory[order_no],SMALL(MATCH(ROW(orderHistory[customer]),ROW(orderHistory[customer])),ROWS($A$15:A58)+$B$3)),INDEX(orderHistory[order_no],SMALL(IF(ISNUMBER(MATCH(YEAR(orderHistory[invoice_date]),$D$15,0)),MATCH(ROW(orderHistory[customer]),ROW(orderHistory[customer])),""),ROWS($A$15:A58)+$B$3))),IF($D$15="",INDEX(orderHistory[order_no],SMALL(IF(ISNUMBER(MATCH(orderHistory[order_type],$D$13,0)),MATCH(ROW(orderHistory[customer]),ROW(orderHistory[customer])),""),ROWS($A$15:A58)+$B$3)),INDEX(orderHistory[order_no],SMALL(IF(ISNUMBER(MATCH(orderHistory[order_type],$D$13,0)*MATCH(YEAR(orderHistory[invoice_date]),$D$15,0)),MATCH(ROW(orderHistory[customer]),ROW(orderHistory[customer])),""),ROWS($A$15:A58)+$B$3)))),IF($D$13="",IF($D$15="",INDEX(orderHistory[order_no],SMALL(IF(ISNUMBER(MATCH(orderHistory[status],$D$11,0)),MATCH(ROW(orderHistory[customer]),ROW(orderHistory[customer])),""),ROWS($A$15:A58)+$B$3)),INDEX(orderHistory[order_no],SMALL(IF(ISNUMBER(MATCH(orderHistory[status],$D$11,0)*MATCH(YEAR(orderHistory[invoice_date]),$D$15,0)),MATCH(ROW(orderHistory[customer]),ROW(orderHistory[customer])),""),ROWS($A$15:A58)+$B$3))),IF($D$15="",INDEX(orderHistory[order_no],SMALL(IF(ISNUMBER(MATCH(orderHistory[status],$D$11,0)*MATCH(orderHistory[order_type],$D$13,0)),MATCH(ROW(orderHistory[customer]),ROW(orderHistory[customer])),""),ROWS($A$15:A58)+$B$3)),INDEX(orderHistory[order_no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no],SMALL(IF(ISNUMBER(MATCH(orderHistory[customer],$D$9,0)),MATCH(ROW(orderHistory[customer]),ROW(orderHistory[customer])),""),ROWS($A$15:A58)+$B$3)),INDEX(orderHistory[order_no],SMALL(IF(ISNUMBER(MATCH(orderHistory[customer],$D$9,0)*MATCH(YEAR(orderHistory[invoice_date]),$D$15,0)),MATCH(ROW(orderHistory[customer]),ROW(orderHistory[customer])),""),ROWS($A$15:A58)+$B$3))),IF($D$15="",INDEX(orderHistory[order_no],SMALL(IF(ISNUMBER(MATCH(orderHistory[customer],$D$9,0)*MATCH(orderHistory[order_type],$D$13,0)),MATCH(ROW(orderHistory[customer]),ROW(orderHistory[customer])),""),ROWS($A$15:A58)+$B$3)),INDEX(orderHistory[order_no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no],SMALL(IF(ISNUMBER(MATCH(orderHistory[customer],$D$9,0)*MATCH(orderHistory[status],$D$11,0)),MATCH(ROW(orderHistory[customer]),ROW(orderHistory[customer])),""),ROWS($A$15:A58)+$B$3)),INDEX(orderHistory[order_no],SMALL(IF(ISNUMBER(MATCH(orderHistory[customer],$D$9,0)*MATCH(orderHistory[status],$D$11,0)*MATCH(YEAR(orderHistory[invoice_date]),$D$15,0)),MATCH(ROW(orderHistory[customer]),ROW(orderHistory[customer])),""),ROWS($A$15:A58)+$B$3))),IF($D$15="",INDEX(orderHistory[order_no],SMALL(IF(ISNUMBER(MATCH(orderHistory[customer],$D$9,0)*MATCH(orderHistory[status],$D$11,0)*MATCH(orderHistory[order_type],$D$13,0)),MATCH(ROW(orderHistory[customer]),ROW(orderHistory[customer])),""),ROWS($A$15:A58)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N53" s="541" t="str">
        <f t="array" ref="N53">IFERROR(IF($D$9="",IF($D$11="",IF($D$13="",IF($D$15="",INDEX(orderHistory[order_type],SMALL(MATCH(ROW(orderHistory[customer]),ROW(orderHistory[customer])),ROWS($A$15:A58)+$B$3)),INDEX(orderHistory[order_type],SMALL(IF(ISNUMBER(MATCH(YEAR(orderHistory[invoice_date]),$D$15,0)),MATCH(ROW(orderHistory[customer]),ROW(orderHistory[customer])),""),ROWS($A$15:A58)+$B$3))),IF($D$15="",INDEX(orderHistory[order_type],SMALL(IF(ISNUMBER(MATCH(orderHistory[order_type],$D$13,0)),MATCH(ROW(orderHistory[customer]),ROW(orderHistory[customer])),""),ROWS($A$15:A58)+$B$3)),INDEX(orderHistory[order_type],SMALL(IF(ISNUMBER(MATCH(orderHistory[order_type],$D$13,0)*MATCH(YEAR(orderHistory[invoice_date]),$D$15,0)),MATCH(ROW(orderHistory[customer]),ROW(orderHistory[customer])),""),ROWS($A$15:A58)+$B$3)))),IF($D$13="",IF($D$15="",INDEX(orderHistory[order_type],SMALL(IF(ISNUMBER(MATCH(orderHistory[status],$D$11,0)),MATCH(ROW(orderHistory[customer]),ROW(orderHistory[customer])),""),ROWS($A$15:A58)+$B$3)),INDEX(orderHistory[order_type],SMALL(IF(ISNUMBER(MATCH(orderHistory[status],$D$11,0)*MATCH(YEAR(orderHistory[invoice_date]),$D$15,0)),MATCH(ROW(orderHistory[customer]),ROW(orderHistory[customer])),""),ROWS($A$15:A58)+$B$3))),IF($D$15="",INDEX(orderHistory[order_type],SMALL(IF(ISNUMBER(MATCH(orderHistory[status],$D$11,0)*MATCH(orderHistory[order_type],$D$13,0)),MATCH(ROW(orderHistory[customer]),ROW(orderHistory[customer])),""),ROWS($A$15:A58)+$B$3)),INDEX(orderHistory[order_typ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type],SMALL(IF(ISNUMBER(MATCH(orderHistory[customer],$D$9,0)),MATCH(ROW(orderHistory[customer]),ROW(orderHistory[customer])),""),ROWS($A$15:A58)+$B$3)),INDEX(orderHistory[order_type],SMALL(IF(ISNUMBER(MATCH(orderHistory[customer],$D$9,0)*MATCH(YEAR(orderHistory[invoice_date]),$D$15,0)),MATCH(ROW(orderHistory[customer]),ROW(orderHistory[customer])),""),ROWS($A$15:A58)+$B$3))),IF($D$15="",INDEX(orderHistory[order_type],SMALL(IF(ISNUMBER(MATCH(orderHistory[customer],$D$9,0)*MATCH(orderHistory[order_type],$D$13,0)),MATCH(ROW(orderHistory[customer]),ROW(orderHistory[customer])),""),ROWS($A$15:A58)+$B$3)),INDEX(orderHistory[order_typ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type],SMALL(IF(ISNUMBER(MATCH(orderHistory[customer],$D$9,0)*MATCH(orderHistory[status],$D$11,0)),MATCH(ROW(orderHistory[customer]),ROW(orderHistory[customer])),""),ROWS($A$15:A58)+$B$3)),INDEX(orderHistory[order_type],SMALL(IF(ISNUMBER(MATCH(orderHistory[customer],$D$9,0)*MATCH(orderHistory[status],$D$11,0)*MATCH(YEAR(orderHistory[invoice_date]),$D$15,0)),MATCH(ROW(orderHistory[customer]),ROW(orderHistory[customer])),""),ROWS($A$15:A58)+$B$3))),IF($D$15="",INDEX(orderHistory[order_type],SMALL(IF(ISNUMBER(MATCH(orderHistory[customer],$D$9,0)*MATCH(orderHistory[status],$D$11,0)*MATCH(orderHistory[order_type],$D$13,0)),MATCH(ROW(orderHistory[customer]),ROW(orderHistory[customer])),""),ROWS($A$15:A58)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O53" s="542" t="str">
        <f t="array" ref="O53">IFERROR(IF($D$9="",IF($D$11="",IF($D$13="",IF($D$15="",INDEX(orderHistory[order_date],SMALL(MATCH(ROW(orderHistory[customer]),ROW(orderHistory[customer])),ROWS($A$15:A58)+$B$3)),INDEX(orderHistory[order_date],SMALL(IF(ISNUMBER(MATCH(YEAR(orderHistory[invoice_date]),$D$15,0)),MATCH(ROW(orderHistory[customer]),ROW(orderHistory[customer])),""),ROWS($A$15:A58)+$B$3))),IF($D$15="",INDEX(orderHistory[order_date],SMALL(IF(ISNUMBER(MATCH(orderHistory[order_type],$D$13,0)),MATCH(ROW(orderHistory[customer]),ROW(orderHistory[customer])),""),ROWS($A$15:A58)+$B$3)),INDEX(orderHistory[order_date],SMALL(IF(ISNUMBER(MATCH(orderHistory[order_type],$D$13,0)*MATCH(YEAR(orderHistory[invoice_date]),$D$15,0)),MATCH(ROW(orderHistory[customer]),ROW(orderHistory[customer])),""),ROWS($A$15:A58)+$B$3)))),IF($D$13="",IF($D$15="",INDEX(orderHistory[order_date],SMALL(IF(ISNUMBER(MATCH(orderHistory[status],$D$11,0)),MATCH(ROW(orderHistory[customer]),ROW(orderHistory[customer])),""),ROWS($A$15:A58)+$B$3)),INDEX(orderHistory[order_date],SMALL(IF(ISNUMBER(MATCH(orderHistory[status],$D$11,0)*MATCH(YEAR(orderHistory[invoice_date]),$D$15,0)),MATCH(ROW(orderHistory[customer]),ROW(orderHistory[customer])),""),ROWS($A$15:A58)+$B$3))),IF($D$15="",INDEX(orderHistory[order_date],SMALL(IF(ISNUMBER(MATCH(orderHistory[status],$D$11,0)*MATCH(orderHistory[order_type],$D$13,0)),MATCH(ROW(orderHistory[customer]),ROW(orderHistory[customer])),""),ROWS($A$15:A58)+$B$3)),INDEX(orderHistory[order_dat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date],SMALL(IF(ISNUMBER(MATCH(orderHistory[customer],$D$9,0)),MATCH(ROW(orderHistory[customer]),ROW(orderHistory[customer])),""),ROWS($A$15:A58)+$B$3)),INDEX(orderHistory[order_date],SMALL(IF(ISNUMBER(MATCH(orderHistory[customer],$D$9,0)*MATCH(YEAR(orderHistory[invoice_date]),$D$15,0)),MATCH(ROW(orderHistory[customer]),ROW(orderHistory[customer])),""),ROWS($A$15:A58)+$B$3))),IF($D$15="",INDEX(orderHistory[order_date],SMALL(IF(ISNUMBER(MATCH(orderHistory[customer],$D$9,0)*MATCH(orderHistory[order_type],$D$13,0)),MATCH(ROW(orderHistory[customer]),ROW(orderHistory[customer])),""),ROWS($A$15:A58)+$B$3)),INDEX(orderHistory[order_dat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date],SMALL(IF(ISNUMBER(MATCH(orderHistory[customer],$D$9,0)*MATCH(orderHistory[status],$D$11,0)),MATCH(ROW(orderHistory[customer]),ROW(orderHistory[customer])),""),ROWS($A$15:A58)+$B$3)),INDEX(orderHistory[order_date],SMALL(IF(ISNUMBER(MATCH(orderHistory[customer],$D$9,0)*MATCH(orderHistory[status],$D$11,0)*MATCH(YEAR(orderHistory[invoice_date]),$D$15,0)),MATCH(ROW(orderHistory[customer]),ROW(orderHistory[customer])),""),ROWS($A$15:A58)+$B$3))),IF($D$15="",INDEX(orderHistory[order_date],SMALL(IF(ISNUMBER(MATCH(orderHistory[customer],$D$9,0)*MATCH(orderHistory[status],$D$11,0)*MATCH(orderHistory[order_type],$D$13,0)),MATCH(ROW(orderHistory[customer]),ROW(orderHistory[customer])),""),ROWS($A$15:A58)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P53" s="543" t="str">
        <f t="array" ref="P53">IFERROR(IF($D$9="",IF($D$11="",IF($D$13="",IF($D$15="",INDEX(orderHistory[invoice_no],SMALL(MATCH(ROW(orderHistory[customer]),ROW(orderHistory[customer])),ROWS($A$15:A58)+$B$3)),INDEX(orderHistory[invoice_no],SMALL(IF(ISNUMBER(MATCH(YEAR(orderHistory[invoice_date]),$D$15,0)),MATCH(ROW(orderHistory[customer]),ROW(orderHistory[customer])),""),ROWS($A$15:A58)+$B$3))),IF($D$15="",INDEX(orderHistory[invoice_no],SMALL(IF(ISNUMBER(MATCH(orderHistory[order_type],$D$13,0)),MATCH(ROW(orderHistory[customer]),ROW(orderHistory[customer])),""),ROWS($A$15:A58)+$B$3)),INDEX(orderHistory[invoice_no],SMALL(IF(ISNUMBER(MATCH(orderHistory[order_type],$D$13,0)*MATCH(YEAR(orderHistory[invoice_date]),$D$15,0)),MATCH(ROW(orderHistory[customer]),ROW(orderHistory[customer])),""),ROWS($A$15:A58)+$B$3)))),IF($D$13="",IF($D$15="",INDEX(orderHistory[invoice_no],SMALL(IF(ISNUMBER(MATCH(orderHistory[status],$D$11,0)),MATCH(ROW(orderHistory[customer]),ROW(orderHistory[customer])),""),ROWS($A$15:A58)+$B$3)),INDEX(orderHistory[invoice_no],SMALL(IF(ISNUMBER(MATCH(orderHistory[status],$D$11,0)*MATCH(YEAR(orderHistory[invoice_date]),$D$15,0)),MATCH(ROW(orderHistory[customer]),ROW(orderHistory[customer])),""),ROWS($A$15:A58)+$B$3))),IF($D$15="",INDEX(orderHistory[invoice_no],SMALL(IF(ISNUMBER(MATCH(orderHistory[status],$D$11,0)*MATCH(orderHistory[order_type],$D$13,0)),MATCH(ROW(orderHistory[customer]),ROW(orderHistory[customer])),""),ROWS($A$15:A58)+$B$3)),INDEX(orderHistory[invoice_no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oice_no],SMALL(IF(ISNUMBER(MATCH(orderHistory[customer],$D$9,0)),MATCH(ROW(orderHistory[customer]),ROW(orderHistory[customer])),""),ROWS($A$15:A58)+$B$3)),INDEX(orderHistory[invoice_no],SMALL(IF(ISNUMBER(MATCH(orderHistory[customer],$D$9,0)*MATCH(YEAR(orderHistory[invoice_date]),$D$15,0)),MATCH(ROW(orderHistory[customer]),ROW(orderHistory[customer])),""),ROWS($A$15:A58)+$B$3))),IF($D$15="",INDEX(orderHistory[invoice_no],SMALL(IF(ISNUMBER(MATCH(orderHistory[customer],$D$9,0)*MATCH(orderHistory[order_type],$D$13,0)),MATCH(ROW(orderHistory[customer]),ROW(orderHistory[customer])),""),ROWS($A$15:A58)+$B$3)),INDEX(orderHistory[invoice_no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oice_no],SMALL(IF(ISNUMBER(MATCH(orderHistory[customer],$D$9,0)*MATCH(orderHistory[status],$D$11,0)),MATCH(ROW(orderHistory[customer]),ROW(orderHistory[customer])),""),ROWS($A$15:A58)+$B$3)),INDEX(orderHistory[invoice_no],SMALL(IF(ISNUMBER(MATCH(orderHistory[customer],$D$9,0)*MATCH(orderHistory[status],$D$11,0)*MATCH(YEAR(orderHistory[invoice_date]),$D$15,0)),MATCH(ROW(orderHistory[customer]),ROW(orderHistory[customer])),""),ROWS($A$15:A58)+$B$3))),IF($D$15="",INDEX(orderHistory[invoice_no],SMALL(IF(ISNUMBER(MATCH(orderHistory[customer],$D$9,0)*MATCH(orderHistory[status],$D$11,0)*MATCH(orderHistory[order_type],$D$13,0)),MATCH(ROW(orderHistory[customer]),ROW(orderHistory[customer])),""),ROWS($A$15:A58)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Q53" s="544" t="str">
        <f t="array" ref="Q53">IFERROR(IF($D$9="",IF($D$11="",IF($D$13="",IF($D$15="",INDEX(orderHistory[invoice_date],SMALL(MATCH(ROW(orderHistory[customer]),ROW(orderHistory[customer])),ROWS($A$15:A58)+$B$3)),INDEX(orderHistory[invoice_date],SMALL(IF(ISNUMBER(MATCH(YEAR(orderHistory[invoice_date]),$D$15,0)),MATCH(ROW(orderHistory[customer]),ROW(orderHistory[customer])),""),ROWS($A$15:A58)+$B$3))),IF($D$15="",INDEX(orderHistory[invoice_date],SMALL(IF(ISNUMBER(MATCH(orderHistory[order_type],$D$13,0)),MATCH(ROW(orderHistory[customer]),ROW(orderHistory[customer])),""),ROWS($A$15:A58)+$B$3)),INDEX(orderHistory[invoice_date],SMALL(IF(ISNUMBER(MATCH(orderHistory[order_type],$D$13,0)*MATCH(YEAR(orderHistory[invoice_date]),$D$15,0)),MATCH(ROW(orderHistory[customer]),ROW(orderHistory[customer])),""),ROWS($A$15:A58)+$B$3)))),IF($D$13="",IF($D$15="",INDEX(orderHistory[invoice_date],SMALL(IF(ISNUMBER(MATCH(orderHistory[status],$D$11,0)),MATCH(ROW(orderHistory[customer]),ROW(orderHistory[customer])),""),ROWS($A$15:A58)+$B$3)),INDEX(orderHistory[invoice_date],SMALL(IF(ISNUMBER(MATCH(orderHistory[status],$D$11,0)*MATCH(YEAR(orderHistory[invoice_date]),$D$15,0)),MATCH(ROW(orderHistory[customer]),ROW(orderHistory[customer])),""),ROWS($A$15:A58)+$B$3))),IF($D$15="",INDEX(orderHistory[invoice_date],SMALL(IF(ISNUMBER(MATCH(orderHistory[status],$D$11,0)*MATCH(orderHistory[order_type],$D$13,0)),MATCH(ROW(orderHistory[customer]),ROW(orderHistory[customer])),""),ROWS($A$15:A58)+$B$3)),INDEX(orderHistory[invoice_dat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oice_date],SMALL(IF(ISNUMBER(MATCH(orderHistory[customer],$D$9,0)),MATCH(ROW(orderHistory[customer]),ROW(orderHistory[customer])),""),ROWS($A$15:A58)+$B$3)),INDEX(orderHistory[invoice_date],SMALL(IF(ISNUMBER(MATCH(orderHistory[customer],$D$9,0)*MATCH(YEAR(orderHistory[invoice_date]),$D$15,0)),MATCH(ROW(orderHistory[customer]),ROW(orderHistory[customer])),""),ROWS($A$15:A58)+$B$3))),IF($D$15="",INDEX(orderHistory[invoice_date],SMALL(IF(ISNUMBER(MATCH(orderHistory[customer],$D$9,0)*MATCH(orderHistory[order_type],$D$13,0)),MATCH(ROW(orderHistory[customer]),ROW(orderHistory[customer])),""),ROWS($A$15:A58)+$B$3)),INDEX(orderHistory[invoice_dat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oice_date],SMALL(IF(ISNUMBER(MATCH(orderHistory[customer],$D$9,0)*MATCH(orderHistory[status],$D$11,0)),MATCH(ROW(orderHistory[customer]),ROW(orderHistory[customer])),""),ROWS($A$15:A58)+$B$3)),INDEX(orderHistory[invoice_date],SMALL(IF(ISNUMBER(MATCH(orderHistory[customer],$D$9,0)*MATCH(orderHistory[status],$D$11,0)*MATCH(YEAR(orderHistory[invoice_date]),$D$15,0)),MATCH(ROW(orderHistory[customer]),ROW(orderHistory[customer])),""),ROWS($A$15:A58)+$B$3))),IF($D$15="",INDEX(orderHistory[invoice_date],SMALL(IF(ISNUMBER(MATCH(orderHistory[customer],$D$9,0)*MATCH(orderHistory[status],$D$11,0)*MATCH(orderHistory[order_type],$D$13,0)),MATCH(ROW(orderHistory[customer]),ROW(orderHistory[customer])),""),ROWS($A$15:A58)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R53" s="545" t="str">
        <f t="array" ref="R53">IFERROR(IF($D$9="",IF($D$11="",IF($D$13="",IF($D$15="",INDEX(orderHistory[inv_amount],SMALL(MATCH(ROW(orderHistory[customer]),ROW(orderHistory[customer])),ROWS($A$15:A58)+$B$3)),INDEX(orderHistory[inv_amount],SMALL(IF(ISNUMBER(MATCH(YEAR(orderHistory[invoice_date]),$D$15,0)),MATCH(ROW(orderHistory[customer]),ROW(orderHistory[customer])),""),ROWS($A$15:A58)+$B$3))),IF($D$15="",INDEX(orderHistory[inv_amount],SMALL(IF(ISNUMBER(MATCH(orderHistory[order_type],$D$13,0)),MATCH(ROW(orderHistory[customer]),ROW(orderHistory[customer])),""),ROWS($A$15:A58)+$B$3)),INDEX(orderHistory[inv_amount],SMALL(IF(ISNUMBER(MATCH(orderHistory[order_type],$D$13,0)*MATCH(YEAR(orderHistory[invoice_date]),$D$15,0)),MATCH(ROW(orderHistory[customer]),ROW(orderHistory[customer])),""),ROWS($A$15:A58)+$B$3)))),IF($D$13="",IF($D$15="",INDEX(orderHistory[inv_amount],SMALL(IF(ISNUMBER(MATCH(orderHistory[status],$D$11,0)),MATCH(ROW(orderHistory[customer]),ROW(orderHistory[customer])),""),ROWS($A$15:A58)+$B$3)),INDEX(orderHistory[inv_amount],SMALL(IF(ISNUMBER(MATCH(orderHistory[status],$D$11,0)*MATCH(YEAR(orderHistory[invoice_date]),$D$15,0)),MATCH(ROW(orderHistory[customer]),ROW(orderHistory[customer])),""),ROWS($A$15:A58)+$B$3))),IF($D$15="",INDEX(orderHistory[inv_amount],SMALL(IF(ISNUMBER(MATCH(orderHistory[status],$D$11,0)*MATCH(orderHistory[order_type],$D$13,0)),MATCH(ROW(orderHistory[customer]),ROW(orderHistory[customer])),""),ROWS($A$15:A58)+$B$3)),INDEX(orderHistory[inv_amount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_amount],SMALL(IF(ISNUMBER(MATCH(orderHistory[customer],$D$9,0)),MATCH(ROW(orderHistory[customer]),ROW(orderHistory[customer])),""),ROWS($A$15:A58)+$B$3)),INDEX(orderHistory[inv_amount],SMALL(IF(ISNUMBER(MATCH(orderHistory[customer],$D$9,0)*MATCH(YEAR(orderHistory[invoice_date]),$D$15,0)),MATCH(ROW(orderHistory[customer]),ROW(orderHistory[customer])),""),ROWS($A$15:A58)+$B$3))),IF($D$15="",INDEX(orderHistory[inv_amount],SMALL(IF(ISNUMBER(MATCH(orderHistory[customer],$D$9,0)*MATCH(orderHistory[order_type],$D$13,0)),MATCH(ROW(orderHistory[customer]),ROW(orderHistory[customer])),""),ROWS($A$15:A58)+$B$3)),INDEX(orderHistory[inv_amount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_amount],SMALL(IF(ISNUMBER(MATCH(orderHistory[customer],$D$9,0)*MATCH(orderHistory[status],$D$11,0)),MATCH(ROW(orderHistory[customer]),ROW(orderHistory[customer])),""),ROWS($A$15:A58)+$B$3)),INDEX(orderHistory[inv_amount],SMALL(IF(ISNUMBER(MATCH(orderHistory[customer],$D$9,0)*MATCH(orderHistory[status],$D$11,0)*MATCH(YEAR(orderHistory[inv_amount]),$D$15,0)),MATCH(ROW(orderHistory[customer]),ROW(orderHistory[customer])),""),ROWS($A$15:A58)+$B$3))),IF($D$15="",INDEX(orderHistory[inv_amount],SMALL(IF(ISNUMBER(MATCH(orderHistory[customer],$D$9,0)*MATCH(orderHistory[status],$D$11,0)*MATCH(orderHistory[order_type],$D$13,0)),MATCH(ROW(orderHistory[customer]),ROW(orderHistory[customer])),""),ROWS($A$15:A58)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S53" s="546" t="str">
        <f t="shared" si="2"/>
        <v/>
      </c>
      <c r="T53" s="547" t="str">
        <f t="array" ref="T53">IFERROR(IF($D$9="",IF($D$11="",IF($D$13="",IF($D$15="",INDEX(orderHistory[payed],SMALL(MATCH(ROW(orderHistory[customer]),ROW(orderHistory[customer])),ROWS($A$15:A58)+$B$3)),INDEX(orderHistory[payed],SMALL(IF(ISNUMBER(MATCH(YEAR(orderHistory[invoice_date]),$D$15,0)),MATCH(ROW(orderHistory[customer]),ROW(orderHistory[customer])),""),ROWS($A$15:A58)+$B$3))),IF($D$15="",INDEX(orderHistory[payed],SMALL(IF(ISNUMBER(MATCH(orderHistory[order_type],$D$13,0)),MATCH(ROW(orderHistory[customer]),ROW(orderHistory[customer])),""),ROWS($A$15:A58)+$B$3)),INDEX(orderHistory[payed],SMALL(IF(ISNUMBER(MATCH(orderHistory[order_type],$D$13,0)*MATCH(YEAR(orderHistory[invoice_date]),$D$15,0)),MATCH(ROW(orderHistory[customer]),ROW(orderHistory[customer])),""),ROWS($A$15:A58)+$B$3)))),IF($D$13="",IF($D$15="",INDEX(orderHistory[payed],SMALL(IF(ISNUMBER(MATCH(orderHistory[status],$D$11,0)),MATCH(ROW(orderHistory[customer]),ROW(orderHistory[customer])),""),ROWS($A$15:A58)+$B$3)),INDEX(orderHistory[payed],SMALL(IF(ISNUMBER(MATCH(orderHistory[status],$D$11,0)*MATCH(YEAR(orderHistory[invoice_date]),$D$15,0)),MATCH(ROW(orderHistory[customer]),ROW(orderHistory[customer])),""),ROWS($A$15:A58)+$B$3))),IF($D$15="",INDEX(orderHistory[payed],SMALL(IF(ISNUMBER(MATCH(orderHistory[status],$D$11,0)*MATCH(orderHistory[order_type],$D$13,0)),MATCH(ROW(orderHistory[customer]),ROW(orderHistory[customer])),""),ROWS($A$15:A58)+$B$3)),INDEX(orderHistory[payed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payed],SMALL(IF(ISNUMBER(MATCH(orderHistory[customer],$D$9,0)),MATCH(ROW(orderHistory[customer]),ROW(orderHistory[customer])),""),ROWS($A$15:A58)+$B$3)),INDEX(orderHistory[payed],SMALL(IF(ISNUMBER(MATCH(orderHistory[customer],$D$9,0)*MATCH(YEAR(orderHistory[invoice_date]),$D$15,0)),MATCH(ROW(orderHistory[customer]),ROW(orderHistory[customer])),""),ROWS($A$15:A58)+$B$3))),IF($D$15="",INDEX(orderHistory[payed],SMALL(IF(ISNUMBER(MATCH(orderHistory[customer],$D$9,0)*MATCH(orderHistory[order_type],$D$13,0)),MATCH(ROW(orderHistory[customer]),ROW(orderHistory[customer])),""),ROWS($A$15:A58)+$B$3)),INDEX(orderHistory[payed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payed],SMALL(IF(ISNUMBER(MATCH(orderHistory[customer],$D$9,0)*MATCH(orderHistory[status],$D$11,0)),MATCH(ROW(orderHistory[customer]),ROW(orderHistory[customer])),""),ROWS($A$15:A58)+$B$3)),INDEX(orderHistory[payed],SMALL(IF(ISNUMBER(MATCH(orderHistory[customer],$D$9,0)*MATCH(orderHistory[status],$D$11,0)*MATCH(YEAR(orderHistory[payed]),$D$15,0)),MATCH(ROW(orderHistory[customer]),ROW(orderHistory[customer])),""),ROWS($A$15:A58)+$B$3))),IF($D$15="",INDEX(orderHistory[payed],SMALL(IF(ISNUMBER(MATCH(orderHistory[customer],$D$9,0)*MATCH(orderHistory[status],$D$11,0)*MATCH(orderHistory[order_type],$D$13,0)),MATCH(ROW(orderHistory[customer]),ROW(orderHistory[customer])),""),ROWS($A$15:A58)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U53" s="541" t="str">
        <f t="array" ref="U53">IFERROR(IF($D$9="",IF($D$11="",IF($D$13="",IF($D$15="",INDEX(orderHistory[shipping_method],SMALL(MATCH(ROW(orderHistory[customer]),ROW(orderHistory[customer])),ROWS($A$15:A58)+$B$3)),INDEX(orderHistory[shipping_method],SMALL(IF(ISNUMBER(MATCH(YEAR(orderHistory[invoice_date]),$D$15,0)),MATCH(ROW(orderHistory[customer]),ROW(orderHistory[customer])),""),ROWS($A$15:A58)+$B$3))),IF($D$15="",INDEX(orderHistory[shipping_method],SMALL(IF(ISNUMBER(MATCH(orderHistory[order_type],$D$13,0)),MATCH(ROW(orderHistory[customer]),ROW(orderHistory[customer])),""),ROWS($A$15:A58)+$B$3)),INDEX(orderHistory[shipping_method],SMALL(IF(ISNUMBER(MATCH(orderHistory[order_type],$D$13,0)*MATCH(YEAR(orderHistory[invoice_date]),$D$15,0)),MATCH(ROW(orderHistory[customer]),ROW(orderHistory[customer])),""),ROWS($A$15:A58)+$B$3)))),IF($D$13="",IF($D$15="",INDEX(orderHistory[shipping_method],SMALL(IF(ISNUMBER(MATCH(orderHistory[status],$D$11,0)),MATCH(ROW(orderHistory[customer]),ROW(orderHistory[customer])),""),ROWS($A$15:A58)+$B$3)),INDEX(orderHistory[shipping_method],SMALL(IF(ISNUMBER(MATCH(orderHistory[status],$D$11,0)*MATCH(YEAR(orderHistory[invoice_date]),$D$15,0)),MATCH(ROW(orderHistory[customer]),ROW(orderHistory[customer])),""),ROWS($A$15:A58)+$B$3))),IF($D$15="",INDEX(orderHistory[shipping_method],SMALL(IF(ISNUMBER(MATCH(orderHistory[status],$D$11,0)*MATCH(orderHistory[order_type],$D$13,0)),MATCH(ROW(orderHistory[customer]),ROW(orderHistory[customer])),""),ROWS($A$15:A58)+$B$3)),INDEX(orderHistory[shipping_method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shipping_method],SMALL(IF(ISNUMBER(MATCH(orderHistory[customer],$D$9,0)),MATCH(ROW(orderHistory[customer]),ROW(orderHistory[customer])),""),ROWS($A$15:A58)+$B$3)),INDEX(orderHistory[shipping_method],SMALL(IF(ISNUMBER(MATCH(orderHistory[customer],$D$9,0)*MATCH(YEAR(orderHistory[invoice_date]),$D$15,0)),MATCH(ROW(orderHistory[customer]),ROW(orderHistory[customer])),""),ROWS($A$15:A58)+$B$3))),IF($D$15="",INDEX(orderHistory[shipping_method],SMALL(IF(ISNUMBER(MATCH(orderHistory[customer],$D$9,0)*MATCH(orderHistory[order_type],$D$13,0)),MATCH(ROW(orderHistory[customer]),ROW(orderHistory[customer])),""),ROWS($A$15:A58)+$B$3)),INDEX(orderHistory[shipping_method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shipping_method],SMALL(IF(ISNUMBER(MATCH(orderHistory[customer],$D$9,0)*MATCH(orderHistory[status],$D$11,0)),MATCH(ROW(orderHistory[customer]),ROW(orderHistory[customer])),""),ROWS($A$15:A58)+$B$3)),INDEX(orderHistory[shipping_method],SMALL(IF(ISNUMBER(MATCH(orderHistory[customer],$D$9,0)*MATCH(orderHistory[status],$D$11,0)*MATCH(YEAR(orderHistory[shipping_method]),$D$15,0)),MATCH(ROW(orderHistory[customer]),ROW(orderHistory[customer])),""),ROWS($A$15:A58)+$B$3))),IF($D$15="",INDEX(orderHistory[shipping_method],SMALL(IF(ISNUMBER(MATCH(orderHistory[customer],$D$9,0)*MATCH(orderHistory[status],$D$11,0)*MATCH(orderHistory[order_type],$D$13,0)),MATCH(ROW(orderHistory[customer]),ROW(orderHistory[customer])),""),ROWS($A$15:A58)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V53" s="548" t="str">
        <f t="array" ref="V53">IFERROR(IF($D$9="",IF($D$11="",IF($D$13="",IF($D$15="",INDEX(orderHistory[status],SMALL(MATCH(ROW(orderHistory[customer]),ROW(orderHistory[customer])),ROWS($A$15:A58)+$B$3)),INDEX(orderHistory[status],SMALL(IF(ISNUMBER(MATCH(YEAR(orderHistory[invoice_date]),$D$15,0)),MATCH(ROW(orderHistory[customer]),ROW(orderHistory[customer])),""),ROWS($A$15:A58)+$B$3))),IF($D$15="",INDEX(orderHistory[status],SMALL(IF(ISNUMBER(MATCH(orderHistory[order_type],$D$13,0)),MATCH(ROW(orderHistory[customer]),ROW(orderHistory[customer])),""),ROWS($A$15:A58)+$B$3)),INDEX(orderHistory[status],SMALL(IF(ISNUMBER(MATCH(orderHistory[order_type],$D$13,0)*MATCH(YEAR(orderHistory[invoice_date]),$D$15,0)),MATCH(ROW(orderHistory[customer]),ROW(orderHistory[customer])),""),ROWS($A$15:A58)+$B$3)))),IF($D$13="",IF($D$15="",INDEX(orderHistory[status],SMALL(IF(ISNUMBER(MATCH(orderHistory[status],$D$11,0)),MATCH(ROW(orderHistory[customer]),ROW(orderHistory[customer])),""),ROWS($A$15:A58)+$B$3)),INDEX(orderHistory[status],SMALL(IF(ISNUMBER(MATCH(orderHistory[status],$D$11,0)*MATCH(YEAR(orderHistory[invoice_date]),$D$15,0)),MATCH(ROW(orderHistory[customer]),ROW(orderHistory[customer])),""),ROWS($A$15:A58)+$B$3))),IF($D$15="",INDEX(orderHistory[status],SMALL(IF(ISNUMBER(MATCH(orderHistory[status],$D$11,0)*MATCH(orderHistory[order_type],$D$13,0)),MATCH(ROW(orderHistory[customer]),ROW(orderHistory[customer])),""),ROWS($A$15:A58)+$B$3)),INDEX(orderHistory[status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status],SMALL(IF(ISNUMBER(MATCH(orderHistory[customer],$D$9,0)),MATCH(ROW(orderHistory[customer]),ROW(orderHistory[customer])),""),ROWS($A$15:A58)+$B$3)),INDEX(orderHistory[status],SMALL(IF(ISNUMBER(MATCH(orderHistory[customer],$D$9,0)*MATCH(YEAR(orderHistory[invoice_date]),$D$15,0)),MATCH(ROW(orderHistory[customer]),ROW(orderHistory[customer])),""),ROWS($A$15:A58)+$B$3))),IF($D$15="",INDEX(orderHistory[status],SMALL(IF(ISNUMBER(MATCH(orderHistory[customer],$D$9,0)*MATCH(orderHistory[order_type],$D$13,0)),MATCH(ROW(orderHistory[customer]),ROW(orderHistory[customer])),""),ROWS($A$15:A58)+$B$3)),INDEX(orderHistory[status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status],SMALL(IF(ISNUMBER(MATCH(orderHistory[customer],$D$9,0)*MATCH(orderHistory[status],$D$11,0)),MATCH(ROW(orderHistory[customer]),ROW(orderHistory[customer])),""),ROWS($A$15:A58)+$B$3)),INDEX(orderHistory[status],SMALL(IF(ISNUMBER(MATCH(orderHistory[customer],$D$9,0)*MATCH(orderHistory[status],$D$11,0)*MATCH(YEAR(orderHistory[status]),$D$15,0)),MATCH(ROW(orderHistory[customer]),ROW(orderHistory[customer])),""),ROWS($A$15:A58)+$B$3))),IF($D$15="",INDEX(orderHistory[status],SMALL(IF(ISNUMBER(MATCH(orderHistory[customer],$D$9,0)*MATCH(orderHistory[status],$D$11,0)*MATCH(orderHistory[order_type],$D$13,0)),MATCH(ROW(orderHistory[customer]),ROW(orderHistory[customer])),""),ROWS($A$15:A58)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W53" s="327"/>
      <c r="X53" s="414"/>
      <c r="AQ53" s="432"/>
      <c r="AR53" s="432" t="s">
        <v>409</v>
      </c>
      <c r="BG53" s="296"/>
      <c r="BK53" s="450"/>
      <c r="BL53" s="451"/>
      <c r="BM53" s="452"/>
      <c r="BN53" s="451"/>
      <c r="BO53" s="452"/>
      <c r="BZ53" s="167"/>
      <c r="CA53" s="154" t="str">
        <f>IF(BZ53="","",INDEX(bhpc_data[description],MATCH(BZ53,bhpc_data[sku],0)))</f>
        <v/>
      </c>
      <c r="CB53" s="166"/>
      <c r="CC53" s="357"/>
      <c r="CD53" s="160"/>
      <c r="CE53" s="360"/>
      <c r="CF53" s="161"/>
      <c r="CG53" s="164" t="str">
        <f>IFERROR(ROUNDUP(CB53/INDEX(bhpc_data[units_per_carton],MATCH(BZ53,bhpc_data[sku],0)),0),"")</f>
        <v/>
      </c>
      <c r="CH53" s="165" t="str">
        <f>IFERROR(ROUNDUP(CD53/INDEX(bhpc_data[units_per_carton],MATCH(BZ53,bhpc_data[sku],0)),0),"")</f>
        <v/>
      </c>
      <c r="CI53" s="165" t="str">
        <f>IFERROR(ROUNDUP(CF53/INDEX(bhpc_data[units_per_carton],MATCH(BZ53,bhpc_data[sku])),0),"")</f>
        <v/>
      </c>
      <c r="CJ53" s="165" t="str">
        <f>IFERROR(((CB53+CD53+CF53)/INDEX(bhpc_data[units_per_carton],MATCH(BZ53,bhpc_data[sku],0)))*INDEX(bhpc_data[net_weight],MATCH(BZ53,bhpc_data[sku],0)),"")</f>
        <v/>
      </c>
      <c r="CK53" s="165" t="str">
        <f>IFERROR(((CB53+CD53+CF53)/INDEX(bhpc_data[units_per_carton],MATCH(BZ53,bhpc_data[sku],0)))*INDEX(bhpc_data[gross_weight],MATCH(BZ53,bhpc_data[sku],0)),"")</f>
        <v/>
      </c>
      <c r="CL53" s="180" t="str">
        <f>IFERROR((CB53+CD53+CF53)/INDEX(bhpc_data[units_per_carton],MATCH(BZ53,bhpc_data[sku],0))*INDEX(bhpc_data[lenght],MATCH(BZ53,bhpc_data[sku],0))*INDEX(bhpc_data[width],MATCH(BZ53,bhpc_data[sku],0))*INDEX(bhpc_data[height],MATCH(BZ53,bhpc_data[sku],0))/1000000000,"")</f>
        <v/>
      </c>
      <c r="CM53" s="189" t="str">
        <f>IFERROR(INDEX(bhpc_data[category],MATCH(BZ53,bhpc_data[sku],0)),"")</f>
        <v/>
      </c>
      <c r="CN53" s="189" t="str">
        <f>IFERROR(INDEX(bhpc_data[size1],MATCH(BZ53,bhpc_data[sku],0)),"")</f>
        <v/>
      </c>
      <c r="CO53" s="388" t="str">
        <f>IFERROR(INDEX(bhpc_data[hs_code],MATCH(BZ53,bhpc_data[sku],0)),"")</f>
        <v/>
      </c>
      <c r="CP53" s="377" t="str">
        <f>IFERROR(INDEX(inventory[ESISTENZA],MATCH(BZ53,inventory[ARTICOLO],0)),"")</f>
        <v/>
      </c>
      <c r="CQ53" s="364" t="str">
        <f>IFERROR(IF(BZ53="","",IF($BX$15="SALE",INDEX(inventory[COSTO UNITARIO],MATCH(BZ53,inventory[ARTICOLO],0)),IF($BX$15="SAMPLING",INDEX(inventory[COSTO UNITARIO],MATCH(BZ53,inventory[ARTICOLO],0)),""))),"")</f>
        <v/>
      </c>
      <c r="CR53" s="365" t="str">
        <f t="shared" si="3"/>
        <v/>
      </c>
      <c r="CS53" s="264" t="str">
        <f t="shared" si="4"/>
        <v/>
      </c>
      <c r="CU53" s="432"/>
      <c r="CV53" s="432"/>
      <c r="CW53" s="432"/>
      <c r="CX53" s="432"/>
      <c r="CY53" s="432"/>
      <c r="CZ53" s="432"/>
      <c r="DA53" s="432" t="str">
        <f>IFERROR(VLOOKUP(BZ53,bhpc_data[],22,FALSE),"")</f>
        <v/>
      </c>
      <c r="EE53" s="202" t="str" cm="1">
        <f t="array" ref="EE53">IFERROR(IF($EC$9="",IF($EC$11="",IF($EC$13="",INDEX(bhpc_data[sku],SMALL(MATCH(ROW(bhpc_data[sku]),ROW(bhpc_data[sku])),ROWS($A$15:A58)+$B$3)),INDEX(bhpc_data[sku],SMALL(IF(ISNUMBER(MATCH(bhpc_data[size1],$EC$13,0)),MATCH(ROW(bhpc_data[sku]),ROW(bhpc_data[sku])),""),ROWS($A$15:A58)+$B$3))),IF($EC$13="",INDEX(bhpc_data[sku],SMALL(IF(ISNUMBER(MATCH(bhpc_data[sex],$EC$11,0)),MATCH(ROW(bhpc_data[sku]),ROW(bhpc_data[sku])),""),ROWS($A$15:A58)+$B$3)),INDEX(bhpc_data[sku],SMALL(IF(ISNUMBER(MATCH(bhpc_data[sex],$EC$11,0)*MATCH(bhpc_data[size1],$EC$13,0)),MATCH(ROW(bhpc_data[sku]),ROW(bhpc_data[sku])),""),ROWS($A$15:A58)+$B$3)))),IF($EC$11="",IF($EC$13="",INDEX(bhpc_data[sku],SMALL(IF(ISNUMBER(MATCH(bhpc_data[category],$EC$9,0)),MATCH(ROW(bhpc_data[sku]),ROW(bhpc_data[sku])),""),ROWS($A$15:A58)+$B$3)),INDEX(bhpc_data[sku],SMALL(IF(ISNUMBER(MATCH(bhpc_data[category],$EC$9,0)*MATCH(bhpc_data[size1],$EC$13,0)),MATCH(ROW(bhpc_data[sku]),ROW(bhpc_data[sku])),""),ROWS($A$15:A58)+$B$3))),IF($EC$13="",INDEX(bhpc_data[sku],SMALL(IF(ISNUMBER(MATCH(bhpc_data[category],$EC$9,0)*MATCH(bhpc_data[sex],$EC$11,0)),MATCH(ROW(bhpc_data[sku]),ROW(bhpc_data[sku])),""),ROWS($A$15:A58)+$B$3)),INDEX(bhpc_data[sku],SMALL(IF(ISNUMBER(MATCH(bhpc_data[category],$EC$9,0)*MATCH(bhpc_data[sex],$EC$11,0)*MATCH(bhpc_data[size1],$EC$13,0)),MATCH(ROW(bhpc_data[sku]),ROW(bhpc_data[sku])),""),ROWS($A$15:A58)+$B$3))))),"")</f>
        <v>P05009</v>
      </c>
      <c r="EF53" s="198" t="str" cm="1">
        <f t="array" ref="EF53">IFERROR(IF($EC$9="",IF($EC$11="",IF($EC$13="",INDEX(bhpc_data[description],SMALL(MATCH(ROW(bhpc_data[sku]),ROW(bhpc_data[sku])),ROWS($A$15:A58)+$B$3)),INDEX(bhpc_data[description],SMALL(IF(ISNUMBER(MATCH(bhpc_data[size1],$EC$13,0)),MATCH(ROW(bhpc_data[sku]),ROW(bhpc_data[sku])),""),ROWS($A$15:A58)+$B$3))),IF($EC$13="",INDEX(bhpc_data[description],SMALL(IF(ISNUMBER(MATCH(bhpc_data[sex],$EC$11,0)),MATCH(ROW(bhpc_data[sku]),ROW(bhpc_data[sku])),""),ROWS($A$15:A58)+$B$3)),INDEX(bhpc_data[description],SMALL(IF(ISNUMBER(MATCH(bhpc_data[sex],$EC$11,0)*MATCH(bhpc_data[size1],$EC$13,0)),MATCH(ROW(bhpc_data[sku]),ROW(bhpc_data[sku])),""),ROWS($A$15:A58)+$B$3)))),IF($EC$11="",IF($EC$13="",INDEX(bhpc_data[description],SMALL(IF(ISNUMBER(MATCH(bhpc_data[category],$EC$9,0)),MATCH(ROW(bhpc_data[sku]),ROW(bhpc_data[sku])),""),ROWS($A$15:A58)+$B$3)),INDEX(bhpc_data[description],SMALL(IF(ISNUMBER(MATCH(bhpc_data[category],$EC$9,0)*MATCH(bhpc_data[size1],$EC$13,0)),MATCH(ROW(bhpc_data[sku]),ROW(bhpc_data[sku])),""),ROWS($A$15:A58)+$B$3))),IF($EC$13="",INDEX(bhpc_data[description],SMALL(IF(ISNUMBER(MATCH(bhpc_data[category],$EC$9,0)*MATCH(bhpc_data[sex],$EC$11,0)),MATCH(ROW(bhpc_data[sku]),ROW(bhpc_data[sku])),""),ROWS($A$15:A58)+$B$3)),INDEX(bhpc_data[description],SMALL(IF(ISNUMBER(MATCH(bhpc_data[category],$EC$9,0)*MATCH(bhpc_data[sex],$EC$11,0)*MATCH(bhpc_data[size1],$EC$13,0)),MATCH(ROW(bhpc_data[sku]),ROW(bhpc_data[sku])),""),ROWS($A$15:A58)+$B$3))))),"")</f>
        <v>BHPC SPORT MEN 9 EDT 50ML</v>
      </c>
      <c r="EG53" s="263">
        <f>IFERROR(IF(warehouse[[#This Row],[SKU]]="","",INDEX(inventory[ESISTENZA],MATCH(warehouse[[#This Row],[SKU]],inventory[ARTICOLO],0))),"")</f>
        <v>0</v>
      </c>
      <c r="EH53" s="328"/>
      <c r="EI53" s="328"/>
      <c r="EJ53" s="263"/>
      <c r="EK53" s="329"/>
      <c r="EO53" s="296" t="str">
        <f t="array" ref="EO53">IFERROR(INDEX(orderHistory[order_no],SMALL(IF(ISNUMBER(MATCH(orderHistory[status],$EO$7,0)),MATCH(ROW(orderHistory[order_no]),ROW(orderHistory[order_no])),""),ROWS($A$15:A58))),"")</f>
        <v/>
      </c>
    </row>
    <row r="54" spans="10:145" ht="15" customHeight="1" x14ac:dyDescent="0.35">
      <c r="J54" s="414"/>
      <c r="K54" s="414"/>
      <c r="L54" s="539" t="str">
        <f t="array" ref="L54">IFERROR(IF($D$9="",IF($D$11="",IF($D$13="",IF($D$15="",INDEX(orderHistory[customer],SMALL(MATCH(ROW(orderHistory[customer]),ROW(orderHistory[customer])),ROWS($A$15:A59)+$B$3)),INDEX(orderHistory[customer],SMALL(IF(ISNUMBER(MATCH(YEAR(orderHistory[invoice_date]),$D$15,0)),MATCH(ROW(orderHistory[customer]),ROW(orderHistory[customer])),""),ROWS($A$15:A59)+$B$3))),IF($D$15="",INDEX(orderHistory[customer],SMALL(IF(ISNUMBER(MATCH(orderHistory[order_type],$D$13,0)),MATCH(ROW(orderHistory[customer]),ROW(orderHistory[customer])),""),ROWS($A$15:A59)+$B$3)),INDEX(orderHistory[customer],SMALL(IF(ISNUMBER(MATCH(orderHistory[order_type],$D$13,0)*MATCH(YEAR(orderHistory[invoice_date]),$D$15,0)),MATCH(ROW(orderHistory[customer]),ROW(orderHistory[customer])),""),ROWS($A$15:A59)+$B$3)))),IF($D$13="",IF($D$15="",INDEX(orderHistory[customer],SMALL(IF(ISNUMBER(MATCH(orderHistory[status],$D$11,0)),MATCH(ROW(orderHistory[customer]),ROW(orderHistory[customer])),""),ROWS($A$15:A59)+$B$3)),INDEX(orderHistory[customer],SMALL(IF(ISNUMBER(MATCH(orderHistory[status],$D$11,0)*MATCH(YEAR(orderHistory[invoice_date]),$D$15,0)),MATCH(ROW(orderHistory[customer]),ROW(orderHistory[customer])),""),ROWS($A$15:A59)+$B$3))),IF($D$15="",INDEX(orderHistory[customer],SMALL(IF(ISNUMBER(MATCH(orderHistory[status],$D$11,0)*MATCH(orderHistory[order_type],$D$13,0)),MATCH(ROW(orderHistory[customer]),ROW(orderHistory[customer])),""),ROWS($A$15:A59)+$B$3)),INDEX(orderHistory[customer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customer],SMALL(IF(ISNUMBER(MATCH(orderHistory[customer],$D$9,0)),MATCH(ROW(orderHistory[customer]),ROW(orderHistory[customer])),""),ROWS($A$15:A59)+$B$3)),INDEX(orderHistory[customer],SMALL(IF(ISNUMBER(MATCH(orderHistory[customer],$D$9,0)*MATCH(YEAR(orderHistory[invoice_date]),$D$15,0)),MATCH(ROW(orderHistory[customer]),ROW(orderHistory[customer])),""),ROWS($A$15:A59)+$B$3))),IF($D$15="",INDEX(orderHistory[customer],SMALL(IF(ISNUMBER(MATCH(orderHistory[customer],$D$9,0)*MATCH(orderHistory[order_type],$D$13,0)),MATCH(ROW(orderHistory[customer]),ROW(orderHistory[customer])),""),ROWS($A$15:A59)+$B$3)),INDEX(orderHistory[customer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customer],SMALL(IF(ISNUMBER(MATCH(orderHistory[customer],$D$9,0)*MATCH(orderHistory[status],$D$11,0)),MATCH(ROW(orderHistory[customer]),ROW(orderHistory[customer])),""),ROWS($A$15:A59)+$B$3)),INDEX(orderHistory[customer],SMALL(IF(ISNUMBER(MATCH(orderHistory[customer],$D$9,0)*MATCH(orderHistory[status],$D$11,0)*MATCH(YEAR(orderHistory[invoice_date]),$D$15,0)),MATCH(ROW(orderHistory[customer]),ROW(orderHistory[customer])),""),ROWS($A$15:A59)+$B$3))),IF($D$15="",INDEX(orderHistory[customer],SMALL(IF(ISNUMBER(MATCH(orderHistory[customer],$D$9,0)*MATCH(orderHistory[status],$D$11,0)*MATCH(orderHistory[order_type],$D$13,0)),MATCH(ROW(orderHistory[customer]),ROW(orderHistory[customer])),""),ROWS($A$15:A59)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M54" s="540" t="str">
        <f t="array" ref="M54">IFERROR(IF($D$9="",IF($D$11="",IF($D$13="",IF($D$15="",INDEX(orderHistory[order_no],SMALL(MATCH(ROW(orderHistory[customer]),ROW(orderHistory[customer])),ROWS($A$15:A59)+$B$3)),INDEX(orderHistory[order_no],SMALL(IF(ISNUMBER(MATCH(YEAR(orderHistory[invoice_date]),$D$15,0)),MATCH(ROW(orderHistory[customer]),ROW(orderHistory[customer])),""),ROWS($A$15:A59)+$B$3))),IF($D$15="",INDEX(orderHistory[order_no],SMALL(IF(ISNUMBER(MATCH(orderHistory[order_type],$D$13,0)),MATCH(ROW(orderHistory[customer]),ROW(orderHistory[customer])),""),ROWS($A$15:A59)+$B$3)),INDEX(orderHistory[order_no],SMALL(IF(ISNUMBER(MATCH(orderHistory[order_type],$D$13,0)*MATCH(YEAR(orderHistory[invoice_date]),$D$15,0)),MATCH(ROW(orderHistory[customer]),ROW(orderHistory[customer])),""),ROWS($A$15:A59)+$B$3)))),IF($D$13="",IF($D$15="",INDEX(orderHistory[order_no],SMALL(IF(ISNUMBER(MATCH(orderHistory[status],$D$11,0)),MATCH(ROW(orderHistory[customer]),ROW(orderHistory[customer])),""),ROWS($A$15:A59)+$B$3)),INDEX(orderHistory[order_no],SMALL(IF(ISNUMBER(MATCH(orderHistory[status],$D$11,0)*MATCH(YEAR(orderHistory[invoice_date]),$D$15,0)),MATCH(ROW(orderHistory[customer]),ROW(orderHistory[customer])),""),ROWS($A$15:A59)+$B$3))),IF($D$15="",INDEX(orderHistory[order_no],SMALL(IF(ISNUMBER(MATCH(orderHistory[status],$D$11,0)*MATCH(orderHistory[order_type],$D$13,0)),MATCH(ROW(orderHistory[customer]),ROW(orderHistory[customer])),""),ROWS($A$15:A59)+$B$3)),INDEX(orderHistory[order_no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no],SMALL(IF(ISNUMBER(MATCH(orderHistory[customer],$D$9,0)),MATCH(ROW(orderHistory[customer]),ROW(orderHistory[customer])),""),ROWS($A$15:A59)+$B$3)),INDEX(orderHistory[order_no],SMALL(IF(ISNUMBER(MATCH(orderHistory[customer],$D$9,0)*MATCH(YEAR(orderHistory[invoice_date]),$D$15,0)),MATCH(ROW(orderHistory[customer]),ROW(orderHistory[customer])),""),ROWS($A$15:A59)+$B$3))),IF($D$15="",INDEX(orderHistory[order_no],SMALL(IF(ISNUMBER(MATCH(orderHistory[customer],$D$9,0)*MATCH(orderHistory[order_type],$D$13,0)),MATCH(ROW(orderHistory[customer]),ROW(orderHistory[customer])),""),ROWS($A$15:A59)+$B$3)),INDEX(orderHistory[order_no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no],SMALL(IF(ISNUMBER(MATCH(orderHistory[customer],$D$9,0)*MATCH(orderHistory[status],$D$11,0)),MATCH(ROW(orderHistory[customer]),ROW(orderHistory[customer])),""),ROWS($A$15:A59)+$B$3)),INDEX(orderHistory[order_no],SMALL(IF(ISNUMBER(MATCH(orderHistory[customer],$D$9,0)*MATCH(orderHistory[status],$D$11,0)*MATCH(YEAR(orderHistory[invoice_date]),$D$15,0)),MATCH(ROW(orderHistory[customer]),ROW(orderHistory[customer])),""),ROWS($A$15:A59)+$B$3))),IF($D$15="",INDEX(orderHistory[order_no],SMALL(IF(ISNUMBER(MATCH(orderHistory[customer],$D$9,0)*MATCH(orderHistory[status],$D$11,0)*MATCH(orderHistory[order_type],$D$13,0)),MATCH(ROW(orderHistory[customer]),ROW(orderHistory[customer])),""),ROWS($A$15:A59)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N54" s="541" t="str">
        <f t="array" ref="N54">IFERROR(IF($D$9="",IF($D$11="",IF($D$13="",IF($D$15="",INDEX(orderHistory[order_type],SMALL(MATCH(ROW(orderHistory[customer]),ROW(orderHistory[customer])),ROWS($A$15:A59)+$B$3)),INDEX(orderHistory[order_type],SMALL(IF(ISNUMBER(MATCH(YEAR(orderHistory[invoice_date]),$D$15,0)),MATCH(ROW(orderHistory[customer]),ROW(orderHistory[customer])),""),ROWS($A$15:A59)+$B$3))),IF($D$15="",INDEX(orderHistory[order_type],SMALL(IF(ISNUMBER(MATCH(orderHistory[order_type],$D$13,0)),MATCH(ROW(orderHistory[customer]),ROW(orderHistory[customer])),""),ROWS($A$15:A59)+$B$3)),INDEX(orderHistory[order_type],SMALL(IF(ISNUMBER(MATCH(orderHistory[order_type],$D$13,0)*MATCH(YEAR(orderHistory[invoice_date]),$D$15,0)),MATCH(ROW(orderHistory[customer]),ROW(orderHistory[customer])),""),ROWS($A$15:A59)+$B$3)))),IF($D$13="",IF($D$15="",INDEX(orderHistory[order_type],SMALL(IF(ISNUMBER(MATCH(orderHistory[status],$D$11,0)),MATCH(ROW(orderHistory[customer]),ROW(orderHistory[customer])),""),ROWS($A$15:A59)+$B$3)),INDEX(orderHistory[order_type],SMALL(IF(ISNUMBER(MATCH(orderHistory[status],$D$11,0)*MATCH(YEAR(orderHistory[invoice_date]),$D$15,0)),MATCH(ROW(orderHistory[customer]),ROW(orderHistory[customer])),""),ROWS($A$15:A59)+$B$3))),IF($D$15="",INDEX(orderHistory[order_type],SMALL(IF(ISNUMBER(MATCH(orderHistory[status],$D$11,0)*MATCH(orderHistory[order_type],$D$13,0)),MATCH(ROW(orderHistory[customer]),ROW(orderHistory[customer])),""),ROWS($A$15:A59)+$B$3)),INDEX(orderHistory[order_typ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type],SMALL(IF(ISNUMBER(MATCH(orderHistory[customer],$D$9,0)),MATCH(ROW(orderHistory[customer]),ROW(orderHistory[customer])),""),ROWS($A$15:A59)+$B$3)),INDEX(orderHistory[order_type],SMALL(IF(ISNUMBER(MATCH(orderHistory[customer],$D$9,0)*MATCH(YEAR(orderHistory[invoice_date]),$D$15,0)),MATCH(ROW(orderHistory[customer]),ROW(orderHistory[customer])),""),ROWS($A$15:A59)+$B$3))),IF($D$15="",INDEX(orderHistory[order_type],SMALL(IF(ISNUMBER(MATCH(orderHistory[customer],$D$9,0)*MATCH(orderHistory[order_type],$D$13,0)),MATCH(ROW(orderHistory[customer]),ROW(orderHistory[customer])),""),ROWS($A$15:A59)+$B$3)),INDEX(orderHistory[order_typ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type],SMALL(IF(ISNUMBER(MATCH(orderHistory[customer],$D$9,0)*MATCH(orderHistory[status],$D$11,0)),MATCH(ROW(orderHistory[customer]),ROW(orderHistory[customer])),""),ROWS($A$15:A59)+$B$3)),INDEX(orderHistory[order_type],SMALL(IF(ISNUMBER(MATCH(orderHistory[customer],$D$9,0)*MATCH(orderHistory[status],$D$11,0)*MATCH(YEAR(orderHistory[invoice_date]),$D$15,0)),MATCH(ROW(orderHistory[customer]),ROW(orderHistory[customer])),""),ROWS($A$15:A59)+$B$3))),IF($D$15="",INDEX(orderHistory[order_type],SMALL(IF(ISNUMBER(MATCH(orderHistory[customer],$D$9,0)*MATCH(orderHistory[status],$D$11,0)*MATCH(orderHistory[order_type],$D$13,0)),MATCH(ROW(orderHistory[customer]),ROW(orderHistory[customer])),""),ROWS($A$15:A59)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O54" s="542" t="str">
        <f t="array" ref="O54">IFERROR(IF($D$9="",IF($D$11="",IF($D$13="",IF($D$15="",INDEX(orderHistory[order_date],SMALL(MATCH(ROW(orderHistory[customer]),ROW(orderHistory[customer])),ROWS($A$15:A59)+$B$3)),INDEX(orderHistory[order_date],SMALL(IF(ISNUMBER(MATCH(YEAR(orderHistory[invoice_date]),$D$15,0)),MATCH(ROW(orderHistory[customer]),ROW(orderHistory[customer])),""),ROWS($A$15:A59)+$B$3))),IF($D$15="",INDEX(orderHistory[order_date],SMALL(IF(ISNUMBER(MATCH(orderHistory[order_type],$D$13,0)),MATCH(ROW(orderHistory[customer]),ROW(orderHistory[customer])),""),ROWS($A$15:A59)+$B$3)),INDEX(orderHistory[order_date],SMALL(IF(ISNUMBER(MATCH(orderHistory[order_type],$D$13,0)*MATCH(YEAR(orderHistory[invoice_date]),$D$15,0)),MATCH(ROW(orderHistory[customer]),ROW(orderHistory[customer])),""),ROWS($A$15:A59)+$B$3)))),IF($D$13="",IF($D$15="",INDEX(orderHistory[order_date],SMALL(IF(ISNUMBER(MATCH(orderHistory[status],$D$11,0)),MATCH(ROW(orderHistory[customer]),ROW(orderHistory[customer])),""),ROWS($A$15:A59)+$B$3)),INDEX(orderHistory[order_date],SMALL(IF(ISNUMBER(MATCH(orderHistory[status],$D$11,0)*MATCH(YEAR(orderHistory[invoice_date]),$D$15,0)),MATCH(ROW(orderHistory[customer]),ROW(orderHistory[customer])),""),ROWS($A$15:A59)+$B$3))),IF($D$15="",INDEX(orderHistory[order_date],SMALL(IF(ISNUMBER(MATCH(orderHistory[status],$D$11,0)*MATCH(orderHistory[order_type],$D$13,0)),MATCH(ROW(orderHistory[customer]),ROW(orderHistory[customer])),""),ROWS($A$15:A59)+$B$3)),INDEX(orderHistory[order_dat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date],SMALL(IF(ISNUMBER(MATCH(orderHistory[customer],$D$9,0)),MATCH(ROW(orderHistory[customer]),ROW(orderHistory[customer])),""),ROWS($A$15:A59)+$B$3)),INDEX(orderHistory[order_date],SMALL(IF(ISNUMBER(MATCH(orderHistory[customer],$D$9,0)*MATCH(YEAR(orderHistory[invoice_date]),$D$15,0)),MATCH(ROW(orderHistory[customer]),ROW(orderHistory[customer])),""),ROWS($A$15:A59)+$B$3))),IF($D$15="",INDEX(orderHistory[order_date],SMALL(IF(ISNUMBER(MATCH(orderHistory[customer],$D$9,0)*MATCH(orderHistory[order_type],$D$13,0)),MATCH(ROW(orderHistory[customer]),ROW(orderHistory[customer])),""),ROWS($A$15:A59)+$B$3)),INDEX(orderHistory[order_dat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date],SMALL(IF(ISNUMBER(MATCH(orderHistory[customer],$D$9,0)*MATCH(orderHistory[status],$D$11,0)),MATCH(ROW(orderHistory[customer]),ROW(orderHistory[customer])),""),ROWS($A$15:A59)+$B$3)),INDEX(orderHistory[order_date],SMALL(IF(ISNUMBER(MATCH(orderHistory[customer],$D$9,0)*MATCH(orderHistory[status],$D$11,0)*MATCH(YEAR(orderHistory[invoice_date]),$D$15,0)),MATCH(ROW(orderHistory[customer]),ROW(orderHistory[customer])),""),ROWS($A$15:A59)+$B$3))),IF($D$15="",INDEX(orderHistory[order_date],SMALL(IF(ISNUMBER(MATCH(orderHistory[customer],$D$9,0)*MATCH(orderHistory[status],$D$11,0)*MATCH(orderHistory[order_type],$D$13,0)),MATCH(ROW(orderHistory[customer]),ROW(orderHistory[customer])),""),ROWS($A$15:A59)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P54" s="543" t="str">
        <f t="array" ref="P54">IFERROR(IF($D$9="",IF($D$11="",IF($D$13="",IF($D$15="",INDEX(orderHistory[invoice_no],SMALL(MATCH(ROW(orderHistory[customer]),ROW(orderHistory[customer])),ROWS($A$15:A59)+$B$3)),INDEX(orderHistory[invoice_no],SMALL(IF(ISNUMBER(MATCH(YEAR(orderHistory[invoice_date]),$D$15,0)),MATCH(ROW(orderHistory[customer]),ROW(orderHistory[customer])),""),ROWS($A$15:A59)+$B$3))),IF($D$15="",INDEX(orderHistory[invoice_no],SMALL(IF(ISNUMBER(MATCH(orderHistory[order_type],$D$13,0)),MATCH(ROW(orderHistory[customer]),ROW(orderHistory[customer])),""),ROWS($A$15:A59)+$B$3)),INDEX(orderHistory[invoice_no],SMALL(IF(ISNUMBER(MATCH(orderHistory[order_type],$D$13,0)*MATCH(YEAR(orderHistory[invoice_date]),$D$15,0)),MATCH(ROW(orderHistory[customer]),ROW(orderHistory[customer])),""),ROWS($A$15:A59)+$B$3)))),IF($D$13="",IF($D$15="",INDEX(orderHistory[invoice_no],SMALL(IF(ISNUMBER(MATCH(orderHistory[status],$D$11,0)),MATCH(ROW(orderHistory[customer]),ROW(orderHistory[customer])),""),ROWS($A$15:A59)+$B$3)),INDEX(orderHistory[invoice_no],SMALL(IF(ISNUMBER(MATCH(orderHistory[status],$D$11,0)*MATCH(YEAR(orderHistory[invoice_date]),$D$15,0)),MATCH(ROW(orderHistory[customer]),ROW(orderHistory[customer])),""),ROWS($A$15:A59)+$B$3))),IF($D$15="",INDEX(orderHistory[invoice_no],SMALL(IF(ISNUMBER(MATCH(orderHistory[status],$D$11,0)*MATCH(orderHistory[order_type],$D$13,0)),MATCH(ROW(orderHistory[customer]),ROW(orderHistory[customer])),""),ROWS($A$15:A59)+$B$3)),INDEX(orderHistory[invoice_no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oice_no],SMALL(IF(ISNUMBER(MATCH(orderHistory[customer],$D$9,0)),MATCH(ROW(orderHistory[customer]),ROW(orderHistory[customer])),""),ROWS($A$15:A59)+$B$3)),INDEX(orderHistory[invoice_no],SMALL(IF(ISNUMBER(MATCH(orderHistory[customer],$D$9,0)*MATCH(YEAR(orderHistory[invoice_date]),$D$15,0)),MATCH(ROW(orderHistory[customer]),ROW(orderHistory[customer])),""),ROWS($A$15:A59)+$B$3))),IF($D$15="",INDEX(orderHistory[invoice_no],SMALL(IF(ISNUMBER(MATCH(orderHistory[customer],$D$9,0)*MATCH(orderHistory[order_type],$D$13,0)),MATCH(ROW(orderHistory[customer]),ROW(orderHistory[customer])),""),ROWS($A$15:A59)+$B$3)),INDEX(orderHistory[invoice_no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oice_no],SMALL(IF(ISNUMBER(MATCH(orderHistory[customer],$D$9,0)*MATCH(orderHistory[status],$D$11,0)),MATCH(ROW(orderHistory[customer]),ROW(orderHistory[customer])),""),ROWS($A$15:A59)+$B$3)),INDEX(orderHistory[invoice_no],SMALL(IF(ISNUMBER(MATCH(orderHistory[customer],$D$9,0)*MATCH(orderHistory[status],$D$11,0)*MATCH(YEAR(orderHistory[invoice_date]),$D$15,0)),MATCH(ROW(orderHistory[customer]),ROW(orderHistory[customer])),""),ROWS($A$15:A59)+$B$3))),IF($D$15="",INDEX(orderHistory[invoice_no],SMALL(IF(ISNUMBER(MATCH(orderHistory[customer],$D$9,0)*MATCH(orderHistory[status],$D$11,0)*MATCH(orderHistory[order_type],$D$13,0)),MATCH(ROW(orderHistory[customer]),ROW(orderHistory[customer])),""),ROWS($A$15:A59)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Q54" s="544" t="str">
        <f t="array" ref="Q54">IFERROR(IF($D$9="",IF($D$11="",IF($D$13="",IF($D$15="",INDEX(orderHistory[invoice_date],SMALL(MATCH(ROW(orderHistory[customer]),ROW(orderHistory[customer])),ROWS($A$15:A59)+$B$3)),INDEX(orderHistory[invoice_date],SMALL(IF(ISNUMBER(MATCH(YEAR(orderHistory[invoice_date]),$D$15,0)),MATCH(ROW(orderHistory[customer]),ROW(orderHistory[customer])),""),ROWS($A$15:A59)+$B$3))),IF($D$15="",INDEX(orderHistory[invoice_date],SMALL(IF(ISNUMBER(MATCH(orderHistory[order_type],$D$13,0)),MATCH(ROW(orderHistory[customer]),ROW(orderHistory[customer])),""),ROWS($A$15:A59)+$B$3)),INDEX(orderHistory[invoice_date],SMALL(IF(ISNUMBER(MATCH(orderHistory[order_type],$D$13,0)*MATCH(YEAR(orderHistory[invoice_date]),$D$15,0)),MATCH(ROW(orderHistory[customer]),ROW(orderHistory[customer])),""),ROWS($A$15:A59)+$B$3)))),IF($D$13="",IF($D$15="",INDEX(orderHistory[invoice_date],SMALL(IF(ISNUMBER(MATCH(orderHistory[status],$D$11,0)),MATCH(ROW(orderHistory[customer]),ROW(orderHistory[customer])),""),ROWS($A$15:A59)+$B$3)),INDEX(orderHistory[invoice_date],SMALL(IF(ISNUMBER(MATCH(orderHistory[status],$D$11,0)*MATCH(YEAR(orderHistory[invoice_date]),$D$15,0)),MATCH(ROW(orderHistory[customer]),ROW(orderHistory[customer])),""),ROWS($A$15:A59)+$B$3))),IF($D$15="",INDEX(orderHistory[invoice_date],SMALL(IF(ISNUMBER(MATCH(orderHistory[status],$D$11,0)*MATCH(orderHistory[order_type],$D$13,0)),MATCH(ROW(orderHistory[customer]),ROW(orderHistory[customer])),""),ROWS($A$15:A59)+$B$3)),INDEX(orderHistory[invoice_dat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oice_date],SMALL(IF(ISNUMBER(MATCH(orderHistory[customer],$D$9,0)),MATCH(ROW(orderHistory[customer]),ROW(orderHistory[customer])),""),ROWS($A$15:A59)+$B$3)),INDEX(orderHistory[invoice_date],SMALL(IF(ISNUMBER(MATCH(orderHistory[customer],$D$9,0)*MATCH(YEAR(orderHistory[invoice_date]),$D$15,0)),MATCH(ROW(orderHistory[customer]),ROW(orderHistory[customer])),""),ROWS($A$15:A59)+$B$3))),IF($D$15="",INDEX(orderHistory[invoice_date],SMALL(IF(ISNUMBER(MATCH(orderHistory[customer],$D$9,0)*MATCH(orderHistory[order_type],$D$13,0)),MATCH(ROW(orderHistory[customer]),ROW(orderHistory[customer])),""),ROWS($A$15:A59)+$B$3)),INDEX(orderHistory[invoice_dat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oice_date],SMALL(IF(ISNUMBER(MATCH(orderHistory[customer],$D$9,0)*MATCH(orderHistory[status],$D$11,0)),MATCH(ROW(orderHistory[customer]),ROW(orderHistory[customer])),""),ROWS($A$15:A59)+$B$3)),INDEX(orderHistory[invoice_date],SMALL(IF(ISNUMBER(MATCH(orderHistory[customer],$D$9,0)*MATCH(orderHistory[status],$D$11,0)*MATCH(YEAR(orderHistory[invoice_date]),$D$15,0)),MATCH(ROW(orderHistory[customer]),ROW(orderHistory[customer])),""),ROWS($A$15:A59)+$B$3))),IF($D$15="",INDEX(orderHistory[invoice_date],SMALL(IF(ISNUMBER(MATCH(orderHistory[customer],$D$9,0)*MATCH(orderHistory[status],$D$11,0)*MATCH(orderHistory[order_type],$D$13,0)),MATCH(ROW(orderHistory[customer]),ROW(orderHistory[customer])),""),ROWS($A$15:A59)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R54" s="545" t="str">
        <f t="array" ref="R54">IFERROR(IF($D$9="",IF($D$11="",IF($D$13="",IF($D$15="",INDEX(orderHistory[inv_amount],SMALL(MATCH(ROW(orderHistory[customer]),ROW(orderHistory[customer])),ROWS($A$15:A59)+$B$3)),INDEX(orderHistory[inv_amount],SMALL(IF(ISNUMBER(MATCH(YEAR(orderHistory[invoice_date]),$D$15,0)),MATCH(ROW(orderHistory[customer]),ROW(orderHistory[customer])),""),ROWS($A$15:A59)+$B$3))),IF($D$15="",INDEX(orderHistory[inv_amount],SMALL(IF(ISNUMBER(MATCH(orderHistory[order_type],$D$13,0)),MATCH(ROW(orderHistory[customer]),ROW(orderHistory[customer])),""),ROWS($A$15:A59)+$B$3)),INDEX(orderHistory[inv_amount],SMALL(IF(ISNUMBER(MATCH(orderHistory[order_type],$D$13,0)*MATCH(YEAR(orderHistory[invoice_date]),$D$15,0)),MATCH(ROW(orderHistory[customer]),ROW(orderHistory[customer])),""),ROWS($A$15:A59)+$B$3)))),IF($D$13="",IF($D$15="",INDEX(orderHistory[inv_amount],SMALL(IF(ISNUMBER(MATCH(orderHistory[status],$D$11,0)),MATCH(ROW(orderHistory[customer]),ROW(orderHistory[customer])),""),ROWS($A$15:A59)+$B$3)),INDEX(orderHistory[inv_amount],SMALL(IF(ISNUMBER(MATCH(orderHistory[status],$D$11,0)*MATCH(YEAR(orderHistory[invoice_date]),$D$15,0)),MATCH(ROW(orderHistory[customer]),ROW(orderHistory[customer])),""),ROWS($A$15:A59)+$B$3))),IF($D$15="",INDEX(orderHistory[inv_amount],SMALL(IF(ISNUMBER(MATCH(orderHistory[status],$D$11,0)*MATCH(orderHistory[order_type],$D$13,0)),MATCH(ROW(orderHistory[customer]),ROW(orderHistory[customer])),""),ROWS($A$15:A59)+$B$3)),INDEX(orderHistory[inv_amount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_amount],SMALL(IF(ISNUMBER(MATCH(orderHistory[customer],$D$9,0)),MATCH(ROW(orderHistory[customer]),ROW(orderHistory[customer])),""),ROWS($A$15:A59)+$B$3)),INDEX(orderHistory[inv_amount],SMALL(IF(ISNUMBER(MATCH(orderHistory[customer],$D$9,0)*MATCH(YEAR(orderHistory[invoice_date]),$D$15,0)),MATCH(ROW(orderHistory[customer]),ROW(orderHistory[customer])),""),ROWS($A$15:A59)+$B$3))),IF($D$15="",INDEX(orderHistory[inv_amount],SMALL(IF(ISNUMBER(MATCH(orderHistory[customer],$D$9,0)*MATCH(orderHistory[order_type],$D$13,0)),MATCH(ROW(orderHistory[customer]),ROW(orderHistory[customer])),""),ROWS($A$15:A59)+$B$3)),INDEX(orderHistory[inv_amount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_amount],SMALL(IF(ISNUMBER(MATCH(orderHistory[customer],$D$9,0)*MATCH(orderHistory[status],$D$11,0)),MATCH(ROW(orderHistory[customer]),ROW(orderHistory[customer])),""),ROWS($A$15:A59)+$B$3)),INDEX(orderHistory[inv_amount],SMALL(IF(ISNUMBER(MATCH(orderHistory[customer],$D$9,0)*MATCH(orderHistory[status],$D$11,0)*MATCH(YEAR(orderHistory[inv_amount]),$D$15,0)),MATCH(ROW(orderHistory[customer]),ROW(orderHistory[customer])),""),ROWS($A$15:A59)+$B$3))),IF($D$15="",INDEX(orderHistory[inv_amount],SMALL(IF(ISNUMBER(MATCH(orderHistory[customer],$D$9,0)*MATCH(orderHistory[status],$D$11,0)*MATCH(orderHistory[order_type],$D$13,0)),MATCH(ROW(orderHistory[customer]),ROW(orderHistory[customer])),""),ROWS($A$15:A59)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S54" s="546" t="str">
        <f t="shared" si="2"/>
        <v/>
      </c>
      <c r="T54" s="547" t="str">
        <f t="array" ref="T54">IFERROR(IF($D$9="",IF($D$11="",IF($D$13="",IF($D$15="",INDEX(orderHistory[payed],SMALL(MATCH(ROW(orderHistory[customer]),ROW(orderHistory[customer])),ROWS($A$15:A59)+$B$3)),INDEX(orderHistory[payed],SMALL(IF(ISNUMBER(MATCH(YEAR(orderHistory[invoice_date]),$D$15,0)),MATCH(ROW(orderHistory[customer]),ROW(orderHistory[customer])),""),ROWS($A$15:A59)+$B$3))),IF($D$15="",INDEX(orderHistory[payed],SMALL(IF(ISNUMBER(MATCH(orderHistory[order_type],$D$13,0)),MATCH(ROW(orderHistory[customer]),ROW(orderHistory[customer])),""),ROWS($A$15:A59)+$B$3)),INDEX(orderHistory[payed],SMALL(IF(ISNUMBER(MATCH(orderHistory[order_type],$D$13,0)*MATCH(YEAR(orderHistory[invoice_date]),$D$15,0)),MATCH(ROW(orderHistory[customer]),ROW(orderHistory[customer])),""),ROWS($A$15:A59)+$B$3)))),IF($D$13="",IF($D$15="",INDEX(orderHistory[payed],SMALL(IF(ISNUMBER(MATCH(orderHistory[status],$D$11,0)),MATCH(ROW(orderHistory[customer]),ROW(orderHistory[customer])),""),ROWS($A$15:A59)+$B$3)),INDEX(orderHistory[payed],SMALL(IF(ISNUMBER(MATCH(orderHistory[status],$D$11,0)*MATCH(YEAR(orderHistory[invoice_date]),$D$15,0)),MATCH(ROW(orderHistory[customer]),ROW(orderHistory[customer])),""),ROWS($A$15:A59)+$B$3))),IF($D$15="",INDEX(orderHistory[payed],SMALL(IF(ISNUMBER(MATCH(orderHistory[status],$D$11,0)*MATCH(orderHistory[order_type],$D$13,0)),MATCH(ROW(orderHistory[customer]),ROW(orderHistory[customer])),""),ROWS($A$15:A59)+$B$3)),INDEX(orderHistory[payed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payed],SMALL(IF(ISNUMBER(MATCH(orderHistory[customer],$D$9,0)),MATCH(ROW(orderHistory[customer]),ROW(orderHistory[customer])),""),ROWS($A$15:A59)+$B$3)),INDEX(orderHistory[payed],SMALL(IF(ISNUMBER(MATCH(orderHistory[customer],$D$9,0)*MATCH(YEAR(orderHistory[invoice_date]),$D$15,0)),MATCH(ROW(orderHistory[customer]),ROW(orderHistory[customer])),""),ROWS($A$15:A59)+$B$3))),IF($D$15="",INDEX(orderHistory[payed],SMALL(IF(ISNUMBER(MATCH(orderHistory[customer],$D$9,0)*MATCH(orderHistory[order_type],$D$13,0)),MATCH(ROW(orderHistory[customer]),ROW(orderHistory[customer])),""),ROWS($A$15:A59)+$B$3)),INDEX(orderHistory[payed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payed],SMALL(IF(ISNUMBER(MATCH(orderHistory[customer],$D$9,0)*MATCH(orderHistory[status],$D$11,0)),MATCH(ROW(orderHistory[customer]),ROW(orderHistory[customer])),""),ROWS($A$15:A59)+$B$3)),INDEX(orderHistory[payed],SMALL(IF(ISNUMBER(MATCH(orderHistory[customer],$D$9,0)*MATCH(orderHistory[status],$D$11,0)*MATCH(YEAR(orderHistory[payed]),$D$15,0)),MATCH(ROW(orderHistory[customer]),ROW(orderHistory[customer])),""),ROWS($A$15:A59)+$B$3))),IF($D$15="",INDEX(orderHistory[payed],SMALL(IF(ISNUMBER(MATCH(orderHistory[customer],$D$9,0)*MATCH(orderHistory[status],$D$11,0)*MATCH(orderHistory[order_type],$D$13,0)),MATCH(ROW(orderHistory[customer]),ROW(orderHistory[customer])),""),ROWS($A$15:A59)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U54" s="541" t="str">
        <f t="array" ref="U54">IFERROR(IF($D$9="",IF($D$11="",IF($D$13="",IF($D$15="",INDEX(orderHistory[shipping_method],SMALL(MATCH(ROW(orderHistory[customer]),ROW(orderHistory[customer])),ROWS($A$15:A59)+$B$3)),INDEX(orderHistory[shipping_method],SMALL(IF(ISNUMBER(MATCH(YEAR(orderHistory[invoice_date]),$D$15,0)),MATCH(ROW(orderHistory[customer]),ROW(orderHistory[customer])),""),ROWS($A$15:A59)+$B$3))),IF($D$15="",INDEX(orderHistory[shipping_method],SMALL(IF(ISNUMBER(MATCH(orderHistory[order_type],$D$13,0)),MATCH(ROW(orderHistory[customer]),ROW(orderHistory[customer])),""),ROWS($A$15:A59)+$B$3)),INDEX(orderHistory[shipping_method],SMALL(IF(ISNUMBER(MATCH(orderHistory[order_type],$D$13,0)*MATCH(YEAR(orderHistory[invoice_date]),$D$15,0)),MATCH(ROW(orderHistory[customer]),ROW(orderHistory[customer])),""),ROWS($A$15:A59)+$B$3)))),IF($D$13="",IF($D$15="",INDEX(orderHistory[shipping_method],SMALL(IF(ISNUMBER(MATCH(orderHistory[status],$D$11,0)),MATCH(ROW(orderHistory[customer]),ROW(orderHistory[customer])),""),ROWS($A$15:A59)+$B$3)),INDEX(orderHistory[shipping_method],SMALL(IF(ISNUMBER(MATCH(orderHistory[status],$D$11,0)*MATCH(YEAR(orderHistory[invoice_date]),$D$15,0)),MATCH(ROW(orderHistory[customer]),ROW(orderHistory[customer])),""),ROWS($A$15:A59)+$B$3))),IF($D$15="",INDEX(orderHistory[shipping_method],SMALL(IF(ISNUMBER(MATCH(orderHistory[status],$D$11,0)*MATCH(orderHistory[order_type],$D$13,0)),MATCH(ROW(orderHistory[customer]),ROW(orderHistory[customer])),""),ROWS($A$15:A59)+$B$3)),INDEX(orderHistory[shipping_method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shipping_method],SMALL(IF(ISNUMBER(MATCH(orderHistory[customer],$D$9,0)),MATCH(ROW(orderHistory[customer]),ROW(orderHistory[customer])),""),ROWS($A$15:A59)+$B$3)),INDEX(orderHistory[shipping_method],SMALL(IF(ISNUMBER(MATCH(orderHistory[customer],$D$9,0)*MATCH(YEAR(orderHistory[invoice_date]),$D$15,0)),MATCH(ROW(orderHistory[customer]),ROW(orderHistory[customer])),""),ROWS($A$15:A59)+$B$3))),IF($D$15="",INDEX(orderHistory[shipping_method],SMALL(IF(ISNUMBER(MATCH(orderHistory[customer],$D$9,0)*MATCH(orderHistory[order_type],$D$13,0)),MATCH(ROW(orderHistory[customer]),ROW(orderHistory[customer])),""),ROWS($A$15:A59)+$B$3)),INDEX(orderHistory[shipping_method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shipping_method],SMALL(IF(ISNUMBER(MATCH(orderHistory[customer],$D$9,0)*MATCH(orderHistory[status],$D$11,0)),MATCH(ROW(orderHistory[customer]),ROW(orderHistory[customer])),""),ROWS($A$15:A59)+$B$3)),INDEX(orderHistory[shipping_method],SMALL(IF(ISNUMBER(MATCH(orderHistory[customer],$D$9,0)*MATCH(orderHistory[status],$D$11,0)*MATCH(YEAR(orderHistory[shipping_method]),$D$15,0)),MATCH(ROW(orderHistory[customer]),ROW(orderHistory[customer])),""),ROWS($A$15:A59)+$B$3))),IF($D$15="",INDEX(orderHistory[shipping_method],SMALL(IF(ISNUMBER(MATCH(orderHistory[customer],$D$9,0)*MATCH(orderHistory[status],$D$11,0)*MATCH(orderHistory[order_type],$D$13,0)),MATCH(ROW(orderHistory[customer]),ROW(orderHistory[customer])),""),ROWS($A$15:A59)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V54" s="548" t="str">
        <f t="array" ref="V54">IFERROR(IF($D$9="",IF($D$11="",IF($D$13="",IF($D$15="",INDEX(orderHistory[status],SMALL(MATCH(ROW(orderHistory[customer]),ROW(orderHistory[customer])),ROWS($A$15:A59)+$B$3)),INDEX(orderHistory[status],SMALL(IF(ISNUMBER(MATCH(YEAR(orderHistory[invoice_date]),$D$15,0)),MATCH(ROW(orderHistory[customer]),ROW(orderHistory[customer])),""),ROWS($A$15:A59)+$B$3))),IF($D$15="",INDEX(orderHistory[status],SMALL(IF(ISNUMBER(MATCH(orderHistory[order_type],$D$13,0)),MATCH(ROW(orderHistory[customer]),ROW(orderHistory[customer])),""),ROWS($A$15:A59)+$B$3)),INDEX(orderHistory[status],SMALL(IF(ISNUMBER(MATCH(orderHistory[order_type],$D$13,0)*MATCH(YEAR(orderHistory[invoice_date]),$D$15,0)),MATCH(ROW(orderHistory[customer]),ROW(orderHistory[customer])),""),ROWS($A$15:A59)+$B$3)))),IF($D$13="",IF($D$15="",INDEX(orderHistory[status],SMALL(IF(ISNUMBER(MATCH(orderHistory[status],$D$11,0)),MATCH(ROW(orderHistory[customer]),ROW(orderHistory[customer])),""),ROWS($A$15:A59)+$B$3)),INDEX(orderHistory[status],SMALL(IF(ISNUMBER(MATCH(orderHistory[status],$D$11,0)*MATCH(YEAR(orderHistory[invoice_date]),$D$15,0)),MATCH(ROW(orderHistory[customer]),ROW(orderHistory[customer])),""),ROWS($A$15:A59)+$B$3))),IF($D$15="",INDEX(orderHistory[status],SMALL(IF(ISNUMBER(MATCH(orderHistory[status],$D$11,0)*MATCH(orderHistory[order_type],$D$13,0)),MATCH(ROW(orderHistory[customer]),ROW(orderHistory[customer])),""),ROWS($A$15:A59)+$B$3)),INDEX(orderHistory[status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status],SMALL(IF(ISNUMBER(MATCH(orderHistory[customer],$D$9,0)),MATCH(ROW(orderHistory[customer]),ROW(orderHistory[customer])),""),ROWS($A$15:A59)+$B$3)),INDEX(orderHistory[status],SMALL(IF(ISNUMBER(MATCH(orderHistory[customer],$D$9,0)*MATCH(YEAR(orderHistory[invoice_date]),$D$15,0)),MATCH(ROW(orderHistory[customer]),ROW(orderHistory[customer])),""),ROWS($A$15:A59)+$B$3))),IF($D$15="",INDEX(orderHistory[status],SMALL(IF(ISNUMBER(MATCH(orderHistory[customer],$D$9,0)*MATCH(orderHistory[order_type],$D$13,0)),MATCH(ROW(orderHistory[customer]),ROW(orderHistory[customer])),""),ROWS($A$15:A59)+$B$3)),INDEX(orderHistory[status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status],SMALL(IF(ISNUMBER(MATCH(orderHistory[customer],$D$9,0)*MATCH(orderHistory[status],$D$11,0)),MATCH(ROW(orderHistory[customer]),ROW(orderHistory[customer])),""),ROWS($A$15:A59)+$B$3)),INDEX(orderHistory[status],SMALL(IF(ISNUMBER(MATCH(orderHistory[customer],$D$9,0)*MATCH(orderHistory[status],$D$11,0)*MATCH(YEAR(orderHistory[status]),$D$15,0)),MATCH(ROW(orderHistory[customer]),ROW(orderHistory[customer])),""),ROWS($A$15:A59)+$B$3))),IF($D$15="",INDEX(orderHistory[status],SMALL(IF(ISNUMBER(MATCH(orderHistory[customer],$D$9,0)*MATCH(orderHistory[status],$D$11,0)*MATCH(orderHistory[order_type],$D$13,0)),MATCH(ROW(orderHistory[customer]),ROW(orderHistory[customer])),""),ROWS($A$15:A59)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W54" s="327"/>
      <c r="X54" s="414"/>
      <c r="AQ54" s="432"/>
      <c r="AR54" s="432" t="s">
        <v>621</v>
      </c>
      <c r="BG54" s="296"/>
      <c r="BK54" s="450"/>
      <c r="BL54" s="451"/>
      <c r="BM54" s="452"/>
      <c r="BN54" s="451"/>
      <c r="BO54" s="452"/>
      <c r="BZ54" s="168"/>
      <c r="CA54" s="154" t="str">
        <f>IF(BZ54="","",INDEX(bhpc_data[description],MATCH(BZ54,bhpc_data[sku],0)))</f>
        <v/>
      </c>
      <c r="CB54" s="159"/>
      <c r="CC54" s="357"/>
      <c r="CD54" s="160"/>
      <c r="CE54" s="360"/>
      <c r="CF54" s="161"/>
      <c r="CG54" s="164" t="str">
        <f>IFERROR(ROUNDUP(CB54/INDEX(bhpc_data[units_per_carton],MATCH(BZ54,bhpc_data[sku],0)),0),"")</f>
        <v/>
      </c>
      <c r="CH54" s="165" t="str">
        <f>IFERROR(ROUNDUP(CD54/INDEX(bhpc_data[units_per_carton],MATCH(BZ54,bhpc_data[sku],0)),0),"")</f>
        <v/>
      </c>
      <c r="CI54" s="165" t="str">
        <f>IFERROR(ROUNDUP(CF54/INDEX(bhpc_data[units_per_carton],MATCH(BZ54,bhpc_data[sku])),0),"")</f>
        <v/>
      </c>
      <c r="CJ54" s="165" t="str">
        <f>IFERROR(((CB54+CD54+CF54)/INDEX(bhpc_data[units_per_carton],MATCH(BZ54,bhpc_data[sku],0)))*INDEX(bhpc_data[net_weight],MATCH(BZ54,bhpc_data[sku],0)),"")</f>
        <v/>
      </c>
      <c r="CK54" s="165" t="str">
        <f>IFERROR(((CB54+CD54+CF54)/INDEX(bhpc_data[units_per_carton],MATCH(BZ54,bhpc_data[sku],0)))*INDEX(bhpc_data[gross_weight],MATCH(BZ54,bhpc_data[sku],0)),"")</f>
        <v/>
      </c>
      <c r="CL54" s="180" t="str">
        <f>IFERROR((CB54+CD54+CF54)/INDEX(bhpc_data[units_per_carton],MATCH(BZ54,bhpc_data[sku],0))*INDEX(bhpc_data[lenght],MATCH(BZ54,bhpc_data[sku],0))*INDEX(bhpc_data[width],MATCH(BZ54,bhpc_data[sku],0))*INDEX(bhpc_data[height],MATCH(BZ54,bhpc_data[sku],0))/1000000000,"")</f>
        <v/>
      </c>
      <c r="CM54" s="189" t="str">
        <f>IFERROR(INDEX(bhpc_data[category],MATCH(BZ54,bhpc_data[sku],0)),"")</f>
        <v/>
      </c>
      <c r="CN54" s="189" t="str">
        <f>IFERROR(INDEX(bhpc_data[size1],MATCH(BZ54,bhpc_data[sku],0)),"")</f>
        <v/>
      </c>
      <c r="CO54" s="388" t="str">
        <f>IFERROR(INDEX(bhpc_data[hs_code],MATCH(BZ54,bhpc_data[sku],0)),"")</f>
        <v/>
      </c>
      <c r="CP54" s="377" t="str">
        <f>IFERROR(INDEX(inventory[ESISTENZA],MATCH(BZ54,inventory[ARTICOLO],0)),"")</f>
        <v/>
      </c>
      <c r="CQ54" s="364" t="str">
        <f>IFERROR(IF(BZ54="","",IF($BX$15="SALE",INDEX(inventory[COSTO UNITARIO],MATCH(BZ54,inventory[ARTICOLO],0)),IF($BX$15="SAMPLING",INDEX(inventory[COSTO UNITARIO],MATCH(BZ54,inventory[ARTICOLO],0)),""))),"")</f>
        <v/>
      </c>
      <c r="CR54" s="365" t="str">
        <f t="shared" si="3"/>
        <v/>
      </c>
      <c r="CS54" s="264" t="str">
        <f t="shared" si="4"/>
        <v/>
      </c>
      <c r="CU54" s="432"/>
      <c r="CV54" s="432"/>
      <c r="CW54" s="432"/>
      <c r="CX54" s="432"/>
      <c r="CY54" s="432"/>
      <c r="CZ54" s="432"/>
      <c r="DA54" s="432" t="str">
        <f>IFERROR(VLOOKUP(BZ54,bhpc_data[],22,FALSE),"")</f>
        <v/>
      </c>
      <c r="EE54" s="202" t="str" cm="1">
        <f t="array" ref="EE54">IFERROR(IF($EC$9="",IF($EC$11="",IF($EC$13="",INDEX(bhpc_data[sku],SMALL(MATCH(ROW(bhpc_data[sku]),ROW(bhpc_data[sku])),ROWS($A$15:A59)+$B$3)),INDEX(bhpc_data[sku],SMALL(IF(ISNUMBER(MATCH(bhpc_data[size1],$EC$13,0)),MATCH(ROW(bhpc_data[sku]),ROW(bhpc_data[sku])),""),ROWS($A$15:A59)+$B$3))),IF($EC$13="",INDEX(bhpc_data[sku],SMALL(IF(ISNUMBER(MATCH(bhpc_data[sex],$EC$11,0)),MATCH(ROW(bhpc_data[sku]),ROW(bhpc_data[sku])),""),ROWS($A$15:A59)+$B$3)),INDEX(bhpc_data[sku],SMALL(IF(ISNUMBER(MATCH(bhpc_data[sex],$EC$11,0)*MATCH(bhpc_data[size1],$EC$13,0)),MATCH(ROW(bhpc_data[sku]),ROW(bhpc_data[sku])),""),ROWS($A$15:A59)+$B$3)))),IF($EC$11="",IF($EC$13="",INDEX(bhpc_data[sku],SMALL(IF(ISNUMBER(MATCH(bhpc_data[category],$EC$9,0)),MATCH(ROW(bhpc_data[sku]),ROW(bhpc_data[sku])),""),ROWS($A$15:A59)+$B$3)),INDEX(bhpc_data[sku],SMALL(IF(ISNUMBER(MATCH(bhpc_data[category],$EC$9,0)*MATCH(bhpc_data[size1],$EC$13,0)),MATCH(ROW(bhpc_data[sku]),ROW(bhpc_data[sku])),""),ROWS($A$15:A59)+$B$3))),IF($EC$13="",INDEX(bhpc_data[sku],SMALL(IF(ISNUMBER(MATCH(bhpc_data[category],$EC$9,0)*MATCH(bhpc_data[sex],$EC$11,0)),MATCH(ROW(bhpc_data[sku]),ROW(bhpc_data[sku])),""),ROWS($A$15:A59)+$B$3)),INDEX(bhpc_data[sku],SMALL(IF(ISNUMBER(MATCH(bhpc_data[category],$EC$9,0)*MATCH(bhpc_data[sex],$EC$11,0)*MATCH(bhpc_data[size1],$EC$13,0)),MATCH(ROW(bhpc_data[sku]),ROW(bhpc_data[sku])),""),ROWS($A$15:A59)+$B$3))))),"")</f>
        <v>P05010</v>
      </c>
      <c r="EF54" s="198" t="str" cm="1">
        <f t="array" ref="EF54">IFERROR(IF($EC$9="",IF($EC$11="",IF($EC$13="",INDEX(bhpc_data[description],SMALL(MATCH(ROW(bhpc_data[sku]),ROW(bhpc_data[sku])),ROWS($A$15:A59)+$B$3)),INDEX(bhpc_data[description],SMALL(IF(ISNUMBER(MATCH(bhpc_data[size1],$EC$13,0)),MATCH(ROW(bhpc_data[sku]),ROW(bhpc_data[sku])),""),ROWS($A$15:A59)+$B$3))),IF($EC$13="",INDEX(bhpc_data[description],SMALL(IF(ISNUMBER(MATCH(bhpc_data[sex],$EC$11,0)),MATCH(ROW(bhpc_data[sku]),ROW(bhpc_data[sku])),""),ROWS($A$15:A59)+$B$3)),INDEX(bhpc_data[description],SMALL(IF(ISNUMBER(MATCH(bhpc_data[sex],$EC$11,0)*MATCH(bhpc_data[size1],$EC$13,0)),MATCH(ROW(bhpc_data[sku]),ROW(bhpc_data[sku])),""),ROWS($A$15:A59)+$B$3)))),IF($EC$11="",IF($EC$13="",INDEX(bhpc_data[description],SMALL(IF(ISNUMBER(MATCH(bhpc_data[category],$EC$9,0)),MATCH(ROW(bhpc_data[sku]),ROW(bhpc_data[sku])),""),ROWS($A$15:A59)+$B$3)),INDEX(bhpc_data[description],SMALL(IF(ISNUMBER(MATCH(bhpc_data[category],$EC$9,0)*MATCH(bhpc_data[size1],$EC$13,0)),MATCH(ROW(bhpc_data[sku]),ROW(bhpc_data[sku])),""),ROWS($A$15:A59)+$B$3))),IF($EC$13="",INDEX(bhpc_data[description],SMALL(IF(ISNUMBER(MATCH(bhpc_data[category],$EC$9,0)*MATCH(bhpc_data[sex],$EC$11,0)),MATCH(ROW(bhpc_data[sku]),ROW(bhpc_data[sku])),""),ROWS($A$15:A59)+$B$3)),INDEX(bhpc_data[description],SMALL(IF(ISNUMBER(MATCH(bhpc_data[category],$EC$9,0)*MATCH(bhpc_data[sex],$EC$11,0)*MATCH(bhpc_data[size1],$EC$13,0)),MATCH(ROW(bhpc_data[sku]),ROW(bhpc_data[sku])),""),ROWS($A$15:A59)+$B$3))))),"")</f>
        <v>BHPC SPORT MEN 8 EDT 50ML</v>
      </c>
      <c r="EG54" s="263">
        <f>IFERROR(IF(warehouse[[#This Row],[SKU]]="","",INDEX(inventory[ESISTENZA],MATCH(warehouse[[#This Row],[SKU]],inventory[ARTICOLO],0))),"")</f>
        <v>0</v>
      </c>
      <c r="EH54" s="328"/>
      <c r="EI54" s="328"/>
      <c r="EJ54" s="263"/>
      <c r="EK54" s="329"/>
      <c r="EO54" s="296" t="str">
        <f t="array" ref="EO54">IFERROR(INDEX(orderHistory[order_no],SMALL(IF(ISNUMBER(MATCH(orderHistory[status],$EO$7,0)),MATCH(ROW(orderHistory[order_no]),ROW(orderHistory[order_no])),""),ROWS($A$15:A59))),"")</f>
        <v/>
      </c>
    </row>
    <row r="55" spans="10:145" ht="15" customHeight="1" x14ac:dyDescent="0.35">
      <c r="J55" s="414"/>
      <c r="K55" s="414"/>
      <c r="L55" s="539" t="str">
        <f t="array" ref="L55">IFERROR(IF($D$9="",IF($D$11="",IF($D$13="",IF($D$15="",INDEX(orderHistory[customer],SMALL(MATCH(ROW(orderHistory[customer]),ROW(orderHistory[customer])),ROWS($A$15:A60)+$B$3)),INDEX(orderHistory[customer],SMALL(IF(ISNUMBER(MATCH(YEAR(orderHistory[invoice_date]),$D$15,0)),MATCH(ROW(orderHistory[customer]),ROW(orderHistory[customer])),""),ROWS($A$15:A60)+$B$3))),IF($D$15="",INDEX(orderHistory[customer],SMALL(IF(ISNUMBER(MATCH(orderHistory[order_type],$D$13,0)),MATCH(ROW(orderHistory[customer]),ROW(orderHistory[customer])),""),ROWS($A$15:A60)+$B$3)),INDEX(orderHistory[customer],SMALL(IF(ISNUMBER(MATCH(orderHistory[order_type],$D$13,0)*MATCH(YEAR(orderHistory[invoice_date]),$D$15,0)),MATCH(ROW(orderHistory[customer]),ROW(orderHistory[customer])),""),ROWS($A$15:A60)+$B$3)))),IF($D$13="",IF($D$15="",INDEX(orderHistory[customer],SMALL(IF(ISNUMBER(MATCH(orderHistory[status],$D$11,0)),MATCH(ROW(orderHistory[customer]),ROW(orderHistory[customer])),""),ROWS($A$15:A60)+$B$3)),INDEX(orderHistory[customer],SMALL(IF(ISNUMBER(MATCH(orderHistory[status],$D$11,0)*MATCH(YEAR(orderHistory[invoice_date]),$D$15,0)),MATCH(ROW(orderHistory[customer]),ROW(orderHistory[customer])),""),ROWS($A$15:A60)+$B$3))),IF($D$15="",INDEX(orderHistory[customer],SMALL(IF(ISNUMBER(MATCH(orderHistory[status],$D$11,0)*MATCH(orderHistory[order_type],$D$13,0)),MATCH(ROW(orderHistory[customer]),ROW(orderHistory[customer])),""),ROWS($A$15:A60)+$B$3)),INDEX(orderHistory[customer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customer],SMALL(IF(ISNUMBER(MATCH(orderHistory[customer],$D$9,0)),MATCH(ROW(orderHistory[customer]),ROW(orderHistory[customer])),""),ROWS($A$15:A60)+$B$3)),INDEX(orderHistory[customer],SMALL(IF(ISNUMBER(MATCH(orderHistory[customer],$D$9,0)*MATCH(YEAR(orderHistory[invoice_date]),$D$15,0)),MATCH(ROW(orderHistory[customer]),ROW(orderHistory[customer])),""),ROWS($A$15:A60)+$B$3))),IF($D$15="",INDEX(orderHistory[customer],SMALL(IF(ISNUMBER(MATCH(orderHistory[customer],$D$9,0)*MATCH(orderHistory[order_type],$D$13,0)),MATCH(ROW(orderHistory[customer]),ROW(orderHistory[customer])),""),ROWS($A$15:A60)+$B$3)),INDEX(orderHistory[customer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customer],SMALL(IF(ISNUMBER(MATCH(orderHistory[customer],$D$9,0)*MATCH(orderHistory[status],$D$11,0)),MATCH(ROW(orderHistory[customer]),ROW(orderHistory[customer])),""),ROWS($A$15:A60)+$B$3)),INDEX(orderHistory[customer],SMALL(IF(ISNUMBER(MATCH(orderHistory[customer],$D$9,0)*MATCH(orderHistory[status],$D$11,0)*MATCH(YEAR(orderHistory[invoice_date]),$D$15,0)),MATCH(ROW(orderHistory[customer]),ROW(orderHistory[customer])),""),ROWS($A$15:A60)+$B$3))),IF($D$15="",INDEX(orderHistory[customer],SMALL(IF(ISNUMBER(MATCH(orderHistory[customer],$D$9,0)*MATCH(orderHistory[status],$D$11,0)*MATCH(orderHistory[order_type],$D$13,0)),MATCH(ROW(orderHistory[customer]),ROW(orderHistory[customer])),""),ROWS($A$15:A60)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M55" s="540" t="str">
        <f t="array" ref="M55">IFERROR(IF($D$9="",IF($D$11="",IF($D$13="",IF($D$15="",INDEX(orderHistory[order_no],SMALL(MATCH(ROW(orderHistory[customer]),ROW(orderHistory[customer])),ROWS($A$15:A60)+$B$3)),INDEX(orderHistory[order_no],SMALL(IF(ISNUMBER(MATCH(YEAR(orderHistory[invoice_date]),$D$15,0)),MATCH(ROW(orderHistory[customer]),ROW(orderHistory[customer])),""),ROWS($A$15:A60)+$B$3))),IF($D$15="",INDEX(orderHistory[order_no],SMALL(IF(ISNUMBER(MATCH(orderHistory[order_type],$D$13,0)),MATCH(ROW(orderHistory[customer]),ROW(orderHistory[customer])),""),ROWS($A$15:A60)+$B$3)),INDEX(orderHistory[order_no],SMALL(IF(ISNUMBER(MATCH(orderHistory[order_type],$D$13,0)*MATCH(YEAR(orderHistory[invoice_date]),$D$15,0)),MATCH(ROW(orderHistory[customer]),ROW(orderHistory[customer])),""),ROWS($A$15:A60)+$B$3)))),IF($D$13="",IF($D$15="",INDEX(orderHistory[order_no],SMALL(IF(ISNUMBER(MATCH(orderHistory[status],$D$11,0)),MATCH(ROW(orderHistory[customer]),ROW(orderHistory[customer])),""),ROWS($A$15:A60)+$B$3)),INDEX(orderHistory[order_no],SMALL(IF(ISNUMBER(MATCH(orderHistory[status],$D$11,0)*MATCH(YEAR(orderHistory[invoice_date]),$D$15,0)),MATCH(ROW(orderHistory[customer]),ROW(orderHistory[customer])),""),ROWS($A$15:A60)+$B$3))),IF($D$15="",INDEX(orderHistory[order_no],SMALL(IF(ISNUMBER(MATCH(orderHistory[status],$D$11,0)*MATCH(orderHistory[order_type],$D$13,0)),MATCH(ROW(orderHistory[customer]),ROW(orderHistory[customer])),""),ROWS($A$15:A60)+$B$3)),INDEX(orderHistory[order_no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no],SMALL(IF(ISNUMBER(MATCH(orderHistory[customer],$D$9,0)),MATCH(ROW(orderHistory[customer]),ROW(orderHistory[customer])),""),ROWS($A$15:A60)+$B$3)),INDEX(orderHistory[order_no],SMALL(IF(ISNUMBER(MATCH(orderHistory[customer],$D$9,0)*MATCH(YEAR(orderHistory[invoice_date]),$D$15,0)),MATCH(ROW(orderHistory[customer]),ROW(orderHistory[customer])),""),ROWS($A$15:A60)+$B$3))),IF($D$15="",INDEX(orderHistory[order_no],SMALL(IF(ISNUMBER(MATCH(orderHistory[customer],$D$9,0)*MATCH(orderHistory[order_type],$D$13,0)),MATCH(ROW(orderHistory[customer]),ROW(orderHistory[customer])),""),ROWS($A$15:A60)+$B$3)),INDEX(orderHistory[order_no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no],SMALL(IF(ISNUMBER(MATCH(orderHistory[customer],$D$9,0)*MATCH(orderHistory[status],$D$11,0)),MATCH(ROW(orderHistory[customer]),ROW(orderHistory[customer])),""),ROWS($A$15:A60)+$B$3)),INDEX(orderHistory[order_no],SMALL(IF(ISNUMBER(MATCH(orderHistory[customer],$D$9,0)*MATCH(orderHistory[status],$D$11,0)*MATCH(YEAR(orderHistory[invoice_date]),$D$15,0)),MATCH(ROW(orderHistory[customer]),ROW(orderHistory[customer])),""),ROWS($A$15:A60)+$B$3))),IF($D$15="",INDEX(orderHistory[order_no],SMALL(IF(ISNUMBER(MATCH(orderHistory[customer],$D$9,0)*MATCH(orderHistory[status],$D$11,0)*MATCH(orderHistory[order_type],$D$13,0)),MATCH(ROW(orderHistory[customer]),ROW(orderHistory[customer])),""),ROWS($A$15:A60)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N55" s="541" t="str">
        <f t="array" ref="N55">IFERROR(IF($D$9="",IF($D$11="",IF($D$13="",IF($D$15="",INDEX(orderHistory[order_type],SMALL(MATCH(ROW(orderHistory[customer]),ROW(orderHistory[customer])),ROWS($A$15:A60)+$B$3)),INDEX(orderHistory[order_type],SMALL(IF(ISNUMBER(MATCH(YEAR(orderHistory[invoice_date]),$D$15,0)),MATCH(ROW(orderHistory[customer]),ROW(orderHistory[customer])),""),ROWS($A$15:A60)+$B$3))),IF($D$15="",INDEX(orderHistory[order_type],SMALL(IF(ISNUMBER(MATCH(orderHistory[order_type],$D$13,0)),MATCH(ROW(orderHistory[customer]),ROW(orderHistory[customer])),""),ROWS($A$15:A60)+$B$3)),INDEX(orderHistory[order_type],SMALL(IF(ISNUMBER(MATCH(orderHistory[order_type],$D$13,0)*MATCH(YEAR(orderHistory[invoice_date]),$D$15,0)),MATCH(ROW(orderHistory[customer]),ROW(orderHistory[customer])),""),ROWS($A$15:A60)+$B$3)))),IF($D$13="",IF($D$15="",INDEX(orderHistory[order_type],SMALL(IF(ISNUMBER(MATCH(orderHistory[status],$D$11,0)),MATCH(ROW(orderHistory[customer]),ROW(orderHistory[customer])),""),ROWS($A$15:A60)+$B$3)),INDEX(orderHistory[order_type],SMALL(IF(ISNUMBER(MATCH(orderHistory[status],$D$11,0)*MATCH(YEAR(orderHistory[invoice_date]),$D$15,0)),MATCH(ROW(orderHistory[customer]),ROW(orderHistory[customer])),""),ROWS($A$15:A60)+$B$3))),IF($D$15="",INDEX(orderHistory[order_type],SMALL(IF(ISNUMBER(MATCH(orderHistory[status],$D$11,0)*MATCH(orderHistory[order_type],$D$13,0)),MATCH(ROW(orderHistory[customer]),ROW(orderHistory[customer])),""),ROWS($A$15:A60)+$B$3)),INDEX(orderHistory[order_typ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type],SMALL(IF(ISNUMBER(MATCH(orderHistory[customer],$D$9,0)),MATCH(ROW(orderHistory[customer]),ROW(orderHistory[customer])),""),ROWS($A$15:A60)+$B$3)),INDEX(orderHistory[order_type],SMALL(IF(ISNUMBER(MATCH(orderHistory[customer],$D$9,0)*MATCH(YEAR(orderHistory[invoice_date]),$D$15,0)),MATCH(ROW(orderHistory[customer]),ROW(orderHistory[customer])),""),ROWS($A$15:A60)+$B$3))),IF($D$15="",INDEX(orderHistory[order_type],SMALL(IF(ISNUMBER(MATCH(orderHistory[customer],$D$9,0)*MATCH(orderHistory[order_type],$D$13,0)),MATCH(ROW(orderHistory[customer]),ROW(orderHistory[customer])),""),ROWS($A$15:A60)+$B$3)),INDEX(orderHistory[order_typ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type],SMALL(IF(ISNUMBER(MATCH(orderHistory[customer],$D$9,0)*MATCH(orderHistory[status],$D$11,0)),MATCH(ROW(orderHistory[customer]),ROW(orderHistory[customer])),""),ROWS($A$15:A60)+$B$3)),INDEX(orderHistory[order_type],SMALL(IF(ISNUMBER(MATCH(orderHistory[customer],$D$9,0)*MATCH(orderHistory[status],$D$11,0)*MATCH(YEAR(orderHistory[invoice_date]),$D$15,0)),MATCH(ROW(orderHistory[customer]),ROW(orderHistory[customer])),""),ROWS($A$15:A60)+$B$3))),IF($D$15="",INDEX(orderHistory[order_type],SMALL(IF(ISNUMBER(MATCH(orderHistory[customer],$D$9,0)*MATCH(orderHistory[status],$D$11,0)*MATCH(orderHistory[order_type],$D$13,0)),MATCH(ROW(orderHistory[customer]),ROW(orderHistory[customer])),""),ROWS($A$15:A60)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O55" s="542" t="str">
        <f t="array" ref="O55">IFERROR(IF($D$9="",IF($D$11="",IF($D$13="",IF($D$15="",INDEX(orderHistory[order_date],SMALL(MATCH(ROW(orderHistory[customer]),ROW(orderHistory[customer])),ROWS($A$15:A60)+$B$3)),INDEX(orderHistory[order_date],SMALL(IF(ISNUMBER(MATCH(YEAR(orderHistory[invoice_date]),$D$15,0)),MATCH(ROW(orderHistory[customer]),ROW(orderHistory[customer])),""),ROWS($A$15:A60)+$B$3))),IF($D$15="",INDEX(orderHistory[order_date],SMALL(IF(ISNUMBER(MATCH(orderHistory[order_type],$D$13,0)),MATCH(ROW(orderHistory[customer]),ROW(orderHistory[customer])),""),ROWS($A$15:A60)+$B$3)),INDEX(orderHistory[order_date],SMALL(IF(ISNUMBER(MATCH(orderHistory[order_type],$D$13,0)*MATCH(YEAR(orderHistory[invoice_date]),$D$15,0)),MATCH(ROW(orderHistory[customer]),ROW(orderHistory[customer])),""),ROWS($A$15:A60)+$B$3)))),IF($D$13="",IF($D$15="",INDEX(orderHistory[order_date],SMALL(IF(ISNUMBER(MATCH(orderHistory[status],$D$11,0)),MATCH(ROW(orderHistory[customer]),ROW(orderHistory[customer])),""),ROWS($A$15:A60)+$B$3)),INDEX(orderHistory[order_date],SMALL(IF(ISNUMBER(MATCH(orderHistory[status],$D$11,0)*MATCH(YEAR(orderHistory[invoice_date]),$D$15,0)),MATCH(ROW(orderHistory[customer]),ROW(orderHistory[customer])),""),ROWS($A$15:A60)+$B$3))),IF($D$15="",INDEX(orderHistory[order_date],SMALL(IF(ISNUMBER(MATCH(orderHistory[status],$D$11,0)*MATCH(orderHistory[order_type],$D$13,0)),MATCH(ROW(orderHistory[customer]),ROW(orderHistory[customer])),""),ROWS($A$15:A60)+$B$3)),INDEX(orderHistory[order_dat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date],SMALL(IF(ISNUMBER(MATCH(orderHistory[customer],$D$9,0)),MATCH(ROW(orderHistory[customer]),ROW(orderHistory[customer])),""),ROWS($A$15:A60)+$B$3)),INDEX(orderHistory[order_date],SMALL(IF(ISNUMBER(MATCH(orderHistory[customer],$D$9,0)*MATCH(YEAR(orderHistory[invoice_date]),$D$15,0)),MATCH(ROW(orderHistory[customer]),ROW(orderHistory[customer])),""),ROWS($A$15:A60)+$B$3))),IF($D$15="",INDEX(orderHistory[order_date],SMALL(IF(ISNUMBER(MATCH(orderHistory[customer],$D$9,0)*MATCH(orderHistory[order_type],$D$13,0)),MATCH(ROW(orderHistory[customer]),ROW(orderHistory[customer])),""),ROWS($A$15:A60)+$B$3)),INDEX(orderHistory[order_dat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date],SMALL(IF(ISNUMBER(MATCH(orderHistory[customer],$D$9,0)*MATCH(orderHistory[status],$D$11,0)),MATCH(ROW(orderHistory[customer]),ROW(orderHistory[customer])),""),ROWS($A$15:A60)+$B$3)),INDEX(orderHistory[order_date],SMALL(IF(ISNUMBER(MATCH(orderHistory[customer],$D$9,0)*MATCH(orderHistory[status],$D$11,0)*MATCH(YEAR(orderHistory[invoice_date]),$D$15,0)),MATCH(ROW(orderHistory[customer]),ROW(orderHistory[customer])),""),ROWS($A$15:A60)+$B$3))),IF($D$15="",INDEX(orderHistory[order_date],SMALL(IF(ISNUMBER(MATCH(orderHistory[customer],$D$9,0)*MATCH(orderHistory[status],$D$11,0)*MATCH(orderHistory[order_type],$D$13,0)),MATCH(ROW(orderHistory[customer]),ROW(orderHistory[customer])),""),ROWS($A$15:A60)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P55" s="543" t="str">
        <f t="array" ref="P55">IFERROR(IF($D$9="",IF($D$11="",IF($D$13="",IF($D$15="",INDEX(orderHistory[invoice_no],SMALL(MATCH(ROW(orderHistory[customer]),ROW(orderHistory[customer])),ROWS($A$15:A60)+$B$3)),INDEX(orderHistory[invoice_no],SMALL(IF(ISNUMBER(MATCH(YEAR(orderHistory[invoice_date]),$D$15,0)),MATCH(ROW(orderHistory[customer]),ROW(orderHistory[customer])),""),ROWS($A$15:A60)+$B$3))),IF($D$15="",INDEX(orderHistory[invoice_no],SMALL(IF(ISNUMBER(MATCH(orderHistory[order_type],$D$13,0)),MATCH(ROW(orderHistory[customer]),ROW(orderHistory[customer])),""),ROWS($A$15:A60)+$B$3)),INDEX(orderHistory[invoice_no],SMALL(IF(ISNUMBER(MATCH(orderHistory[order_type],$D$13,0)*MATCH(YEAR(orderHistory[invoice_date]),$D$15,0)),MATCH(ROW(orderHistory[customer]),ROW(orderHistory[customer])),""),ROWS($A$15:A60)+$B$3)))),IF($D$13="",IF($D$15="",INDEX(orderHistory[invoice_no],SMALL(IF(ISNUMBER(MATCH(orderHistory[status],$D$11,0)),MATCH(ROW(orderHistory[customer]),ROW(orderHistory[customer])),""),ROWS($A$15:A60)+$B$3)),INDEX(orderHistory[invoice_no],SMALL(IF(ISNUMBER(MATCH(orderHistory[status],$D$11,0)*MATCH(YEAR(orderHistory[invoice_date]),$D$15,0)),MATCH(ROW(orderHistory[customer]),ROW(orderHistory[customer])),""),ROWS($A$15:A60)+$B$3))),IF($D$15="",INDEX(orderHistory[invoice_no],SMALL(IF(ISNUMBER(MATCH(orderHistory[status],$D$11,0)*MATCH(orderHistory[order_type],$D$13,0)),MATCH(ROW(orderHistory[customer]),ROW(orderHistory[customer])),""),ROWS($A$15:A60)+$B$3)),INDEX(orderHistory[invoice_no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oice_no],SMALL(IF(ISNUMBER(MATCH(orderHistory[customer],$D$9,0)),MATCH(ROW(orderHistory[customer]),ROW(orderHistory[customer])),""),ROWS($A$15:A60)+$B$3)),INDEX(orderHistory[invoice_no],SMALL(IF(ISNUMBER(MATCH(orderHistory[customer],$D$9,0)*MATCH(YEAR(orderHistory[invoice_date]),$D$15,0)),MATCH(ROW(orderHistory[customer]),ROW(orderHistory[customer])),""),ROWS($A$15:A60)+$B$3))),IF($D$15="",INDEX(orderHistory[invoice_no],SMALL(IF(ISNUMBER(MATCH(orderHistory[customer],$D$9,0)*MATCH(orderHistory[order_type],$D$13,0)),MATCH(ROW(orderHistory[customer]),ROW(orderHistory[customer])),""),ROWS($A$15:A60)+$B$3)),INDEX(orderHistory[invoice_no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oice_no],SMALL(IF(ISNUMBER(MATCH(orderHistory[customer],$D$9,0)*MATCH(orderHistory[status],$D$11,0)),MATCH(ROW(orderHistory[customer]),ROW(orderHistory[customer])),""),ROWS($A$15:A60)+$B$3)),INDEX(orderHistory[invoice_no],SMALL(IF(ISNUMBER(MATCH(orderHistory[customer],$D$9,0)*MATCH(orderHistory[status],$D$11,0)*MATCH(YEAR(orderHistory[invoice_date]),$D$15,0)),MATCH(ROW(orderHistory[customer]),ROW(orderHistory[customer])),""),ROWS($A$15:A60)+$B$3))),IF($D$15="",INDEX(orderHistory[invoice_no],SMALL(IF(ISNUMBER(MATCH(orderHistory[customer],$D$9,0)*MATCH(orderHistory[status],$D$11,0)*MATCH(orderHistory[order_type],$D$13,0)),MATCH(ROW(orderHistory[customer]),ROW(orderHistory[customer])),""),ROWS($A$15:A60)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Q55" s="544" t="str">
        <f t="array" ref="Q55">IFERROR(IF($D$9="",IF($D$11="",IF($D$13="",IF($D$15="",INDEX(orderHistory[invoice_date],SMALL(MATCH(ROW(orderHistory[customer]),ROW(orderHistory[customer])),ROWS($A$15:A60)+$B$3)),INDEX(orderHistory[invoice_date],SMALL(IF(ISNUMBER(MATCH(YEAR(orderHistory[invoice_date]),$D$15,0)),MATCH(ROW(orderHistory[customer]),ROW(orderHistory[customer])),""),ROWS($A$15:A60)+$B$3))),IF($D$15="",INDEX(orderHistory[invoice_date],SMALL(IF(ISNUMBER(MATCH(orderHistory[order_type],$D$13,0)),MATCH(ROW(orderHistory[customer]),ROW(orderHistory[customer])),""),ROWS($A$15:A60)+$B$3)),INDEX(orderHistory[invoice_date],SMALL(IF(ISNUMBER(MATCH(orderHistory[order_type],$D$13,0)*MATCH(YEAR(orderHistory[invoice_date]),$D$15,0)),MATCH(ROW(orderHistory[customer]),ROW(orderHistory[customer])),""),ROWS($A$15:A60)+$B$3)))),IF($D$13="",IF($D$15="",INDEX(orderHistory[invoice_date],SMALL(IF(ISNUMBER(MATCH(orderHistory[status],$D$11,0)),MATCH(ROW(orderHistory[customer]),ROW(orderHistory[customer])),""),ROWS($A$15:A60)+$B$3)),INDEX(orderHistory[invoice_date],SMALL(IF(ISNUMBER(MATCH(orderHistory[status],$D$11,0)*MATCH(YEAR(orderHistory[invoice_date]),$D$15,0)),MATCH(ROW(orderHistory[customer]),ROW(orderHistory[customer])),""),ROWS($A$15:A60)+$B$3))),IF($D$15="",INDEX(orderHistory[invoice_date],SMALL(IF(ISNUMBER(MATCH(orderHistory[status],$D$11,0)*MATCH(orderHistory[order_type],$D$13,0)),MATCH(ROW(orderHistory[customer]),ROW(orderHistory[customer])),""),ROWS($A$15:A60)+$B$3)),INDEX(orderHistory[invoice_dat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oice_date],SMALL(IF(ISNUMBER(MATCH(orderHistory[customer],$D$9,0)),MATCH(ROW(orderHistory[customer]),ROW(orderHistory[customer])),""),ROWS($A$15:A60)+$B$3)),INDEX(orderHistory[invoice_date],SMALL(IF(ISNUMBER(MATCH(orderHistory[customer],$D$9,0)*MATCH(YEAR(orderHistory[invoice_date]),$D$15,0)),MATCH(ROW(orderHistory[customer]),ROW(orderHistory[customer])),""),ROWS($A$15:A60)+$B$3))),IF($D$15="",INDEX(orderHistory[invoice_date],SMALL(IF(ISNUMBER(MATCH(orderHistory[customer],$D$9,0)*MATCH(orderHistory[order_type],$D$13,0)),MATCH(ROW(orderHistory[customer]),ROW(orderHistory[customer])),""),ROWS($A$15:A60)+$B$3)),INDEX(orderHistory[invoice_dat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oice_date],SMALL(IF(ISNUMBER(MATCH(orderHistory[customer],$D$9,0)*MATCH(orderHistory[status],$D$11,0)),MATCH(ROW(orderHistory[customer]),ROW(orderHistory[customer])),""),ROWS($A$15:A60)+$B$3)),INDEX(orderHistory[invoice_date],SMALL(IF(ISNUMBER(MATCH(orderHistory[customer],$D$9,0)*MATCH(orderHistory[status],$D$11,0)*MATCH(YEAR(orderHistory[invoice_date]),$D$15,0)),MATCH(ROW(orderHistory[customer]),ROW(orderHistory[customer])),""),ROWS($A$15:A60)+$B$3))),IF($D$15="",INDEX(orderHistory[invoice_date],SMALL(IF(ISNUMBER(MATCH(orderHistory[customer],$D$9,0)*MATCH(orderHistory[status],$D$11,0)*MATCH(orderHistory[order_type],$D$13,0)),MATCH(ROW(orderHistory[customer]),ROW(orderHistory[customer])),""),ROWS($A$15:A60)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R55" s="545" t="str">
        <f t="array" ref="R55">IFERROR(IF($D$9="",IF($D$11="",IF($D$13="",IF($D$15="",INDEX(orderHistory[inv_amount],SMALL(MATCH(ROW(orderHistory[customer]),ROW(orderHistory[customer])),ROWS($A$15:A60)+$B$3)),INDEX(orderHistory[inv_amount],SMALL(IF(ISNUMBER(MATCH(YEAR(orderHistory[invoice_date]),$D$15,0)),MATCH(ROW(orderHistory[customer]),ROW(orderHistory[customer])),""),ROWS($A$15:A60)+$B$3))),IF($D$15="",INDEX(orderHistory[inv_amount],SMALL(IF(ISNUMBER(MATCH(orderHistory[order_type],$D$13,0)),MATCH(ROW(orderHistory[customer]),ROW(orderHistory[customer])),""),ROWS($A$15:A60)+$B$3)),INDEX(orderHistory[inv_amount],SMALL(IF(ISNUMBER(MATCH(orderHistory[order_type],$D$13,0)*MATCH(YEAR(orderHistory[invoice_date]),$D$15,0)),MATCH(ROW(orderHistory[customer]),ROW(orderHistory[customer])),""),ROWS($A$15:A60)+$B$3)))),IF($D$13="",IF($D$15="",INDEX(orderHistory[inv_amount],SMALL(IF(ISNUMBER(MATCH(orderHistory[status],$D$11,0)),MATCH(ROW(orderHistory[customer]),ROW(orderHistory[customer])),""),ROWS($A$15:A60)+$B$3)),INDEX(orderHistory[inv_amount],SMALL(IF(ISNUMBER(MATCH(orderHistory[status],$D$11,0)*MATCH(YEAR(orderHistory[invoice_date]),$D$15,0)),MATCH(ROW(orderHistory[customer]),ROW(orderHistory[customer])),""),ROWS($A$15:A60)+$B$3))),IF($D$15="",INDEX(orderHistory[inv_amount],SMALL(IF(ISNUMBER(MATCH(orderHistory[status],$D$11,0)*MATCH(orderHistory[order_type],$D$13,0)),MATCH(ROW(orderHistory[customer]),ROW(orderHistory[customer])),""),ROWS($A$15:A60)+$B$3)),INDEX(orderHistory[inv_amount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_amount],SMALL(IF(ISNUMBER(MATCH(orderHistory[customer],$D$9,0)),MATCH(ROW(orderHistory[customer]),ROW(orderHistory[customer])),""),ROWS($A$15:A60)+$B$3)),INDEX(orderHistory[inv_amount],SMALL(IF(ISNUMBER(MATCH(orderHistory[customer],$D$9,0)*MATCH(YEAR(orderHistory[invoice_date]),$D$15,0)),MATCH(ROW(orderHistory[customer]),ROW(orderHistory[customer])),""),ROWS($A$15:A60)+$B$3))),IF($D$15="",INDEX(orderHistory[inv_amount],SMALL(IF(ISNUMBER(MATCH(orderHistory[customer],$D$9,0)*MATCH(orderHistory[order_type],$D$13,0)),MATCH(ROW(orderHistory[customer]),ROW(orderHistory[customer])),""),ROWS($A$15:A60)+$B$3)),INDEX(orderHistory[inv_amount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_amount],SMALL(IF(ISNUMBER(MATCH(orderHistory[customer],$D$9,0)*MATCH(orderHistory[status],$D$11,0)),MATCH(ROW(orderHistory[customer]),ROW(orderHistory[customer])),""),ROWS($A$15:A60)+$B$3)),INDEX(orderHistory[inv_amount],SMALL(IF(ISNUMBER(MATCH(orderHistory[customer],$D$9,0)*MATCH(orderHistory[status],$D$11,0)*MATCH(YEAR(orderHistory[inv_amount]),$D$15,0)),MATCH(ROW(orderHistory[customer]),ROW(orderHistory[customer])),""),ROWS($A$15:A60)+$B$3))),IF($D$15="",INDEX(orderHistory[inv_amount],SMALL(IF(ISNUMBER(MATCH(orderHistory[customer],$D$9,0)*MATCH(orderHistory[status],$D$11,0)*MATCH(orderHistory[order_type],$D$13,0)),MATCH(ROW(orderHistory[customer]),ROW(orderHistory[customer])),""),ROWS($A$15:A60)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S55" s="546" t="str">
        <f t="shared" si="2"/>
        <v/>
      </c>
      <c r="T55" s="547" t="str">
        <f t="array" ref="T55">IFERROR(IF($D$9="",IF($D$11="",IF($D$13="",IF($D$15="",INDEX(orderHistory[payed],SMALL(MATCH(ROW(orderHistory[customer]),ROW(orderHistory[customer])),ROWS($A$15:A60)+$B$3)),INDEX(orderHistory[payed],SMALL(IF(ISNUMBER(MATCH(YEAR(orderHistory[invoice_date]),$D$15,0)),MATCH(ROW(orderHistory[customer]),ROW(orderHistory[customer])),""),ROWS($A$15:A60)+$B$3))),IF($D$15="",INDEX(orderHistory[payed],SMALL(IF(ISNUMBER(MATCH(orderHistory[order_type],$D$13,0)),MATCH(ROW(orderHistory[customer]),ROW(orderHistory[customer])),""),ROWS($A$15:A60)+$B$3)),INDEX(orderHistory[payed],SMALL(IF(ISNUMBER(MATCH(orderHistory[order_type],$D$13,0)*MATCH(YEAR(orderHistory[invoice_date]),$D$15,0)),MATCH(ROW(orderHistory[customer]),ROW(orderHistory[customer])),""),ROWS($A$15:A60)+$B$3)))),IF($D$13="",IF($D$15="",INDEX(orderHistory[payed],SMALL(IF(ISNUMBER(MATCH(orderHistory[status],$D$11,0)),MATCH(ROW(orderHistory[customer]),ROW(orderHistory[customer])),""),ROWS($A$15:A60)+$B$3)),INDEX(orderHistory[payed],SMALL(IF(ISNUMBER(MATCH(orderHistory[status],$D$11,0)*MATCH(YEAR(orderHistory[invoice_date]),$D$15,0)),MATCH(ROW(orderHistory[customer]),ROW(orderHistory[customer])),""),ROWS($A$15:A60)+$B$3))),IF($D$15="",INDEX(orderHistory[payed],SMALL(IF(ISNUMBER(MATCH(orderHistory[status],$D$11,0)*MATCH(orderHistory[order_type],$D$13,0)),MATCH(ROW(orderHistory[customer]),ROW(orderHistory[customer])),""),ROWS($A$15:A60)+$B$3)),INDEX(orderHistory[payed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payed],SMALL(IF(ISNUMBER(MATCH(orderHistory[customer],$D$9,0)),MATCH(ROW(orderHistory[customer]),ROW(orderHistory[customer])),""),ROWS($A$15:A60)+$B$3)),INDEX(orderHistory[payed],SMALL(IF(ISNUMBER(MATCH(orderHistory[customer],$D$9,0)*MATCH(YEAR(orderHistory[invoice_date]),$D$15,0)),MATCH(ROW(orderHistory[customer]),ROW(orderHistory[customer])),""),ROWS($A$15:A60)+$B$3))),IF($D$15="",INDEX(orderHistory[payed],SMALL(IF(ISNUMBER(MATCH(orderHistory[customer],$D$9,0)*MATCH(orderHistory[order_type],$D$13,0)),MATCH(ROW(orderHistory[customer]),ROW(orderHistory[customer])),""),ROWS($A$15:A60)+$B$3)),INDEX(orderHistory[payed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payed],SMALL(IF(ISNUMBER(MATCH(orderHistory[customer],$D$9,0)*MATCH(orderHistory[status],$D$11,0)),MATCH(ROW(orderHistory[customer]),ROW(orderHistory[customer])),""),ROWS($A$15:A60)+$B$3)),INDEX(orderHistory[payed],SMALL(IF(ISNUMBER(MATCH(orderHistory[customer],$D$9,0)*MATCH(orderHistory[status],$D$11,0)*MATCH(YEAR(orderHistory[payed]),$D$15,0)),MATCH(ROW(orderHistory[customer]),ROW(orderHistory[customer])),""),ROWS($A$15:A60)+$B$3))),IF($D$15="",INDEX(orderHistory[payed],SMALL(IF(ISNUMBER(MATCH(orderHistory[customer],$D$9,0)*MATCH(orderHistory[status],$D$11,0)*MATCH(orderHistory[order_type],$D$13,0)),MATCH(ROW(orderHistory[customer]),ROW(orderHistory[customer])),""),ROWS($A$15:A60)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U55" s="541" t="str">
        <f t="array" ref="U55">IFERROR(IF($D$9="",IF($D$11="",IF($D$13="",IF($D$15="",INDEX(orderHistory[shipping_method],SMALL(MATCH(ROW(orderHistory[customer]),ROW(orderHistory[customer])),ROWS($A$15:A60)+$B$3)),INDEX(orderHistory[shipping_method],SMALL(IF(ISNUMBER(MATCH(YEAR(orderHistory[invoice_date]),$D$15,0)),MATCH(ROW(orderHistory[customer]),ROW(orderHistory[customer])),""),ROWS($A$15:A60)+$B$3))),IF($D$15="",INDEX(orderHistory[shipping_method],SMALL(IF(ISNUMBER(MATCH(orderHistory[order_type],$D$13,0)),MATCH(ROW(orderHistory[customer]),ROW(orderHistory[customer])),""),ROWS($A$15:A60)+$B$3)),INDEX(orderHistory[shipping_method],SMALL(IF(ISNUMBER(MATCH(orderHistory[order_type],$D$13,0)*MATCH(YEAR(orderHistory[invoice_date]),$D$15,0)),MATCH(ROW(orderHistory[customer]),ROW(orderHistory[customer])),""),ROWS($A$15:A60)+$B$3)))),IF($D$13="",IF($D$15="",INDEX(orderHistory[shipping_method],SMALL(IF(ISNUMBER(MATCH(orderHistory[status],$D$11,0)),MATCH(ROW(orderHistory[customer]),ROW(orderHistory[customer])),""),ROWS($A$15:A60)+$B$3)),INDEX(orderHistory[shipping_method],SMALL(IF(ISNUMBER(MATCH(orderHistory[status],$D$11,0)*MATCH(YEAR(orderHistory[invoice_date]),$D$15,0)),MATCH(ROW(orderHistory[customer]),ROW(orderHistory[customer])),""),ROWS($A$15:A60)+$B$3))),IF($D$15="",INDEX(orderHistory[shipping_method],SMALL(IF(ISNUMBER(MATCH(orderHistory[status],$D$11,0)*MATCH(orderHistory[order_type],$D$13,0)),MATCH(ROW(orderHistory[customer]),ROW(orderHistory[customer])),""),ROWS($A$15:A60)+$B$3)),INDEX(orderHistory[shipping_method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shipping_method],SMALL(IF(ISNUMBER(MATCH(orderHistory[customer],$D$9,0)),MATCH(ROW(orderHistory[customer]),ROW(orderHistory[customer])),""),ROWS($A$15:A60)+$B$3)),INDEX(orderHistory[shipping_method],SMALL(IF(ISNUMBER(MATCH(orderHistory[customer],$D$9,0)*MATCH(YEAR(orderHistory[invoice_date]),$D$15,0)),MATCH(ROW(orderHistory[customer]),ROW(orderHistory[customer])),""),ROWS($A$15:A60)+$B$3))),IF($D$15="",INDEX(orderHistory[shipping_method],SMALL(IF(ISNUMBER(MATCH(orderHistory[customer],$D$9,0)*MATCH(orderHistory[order_type],$D$13,0)),MATCH(ROW(orderHistory[customer]),ROW(orderHistory[customer])),""),ROWS($A$15:A60)+$B$3)),INDEX(orderHistory[shipping_method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shipping_method],SMALL(IF(ISNUMBER(MATCH(orderHistory[customer],$D$9,0)*MATCH(orderHistory[status],$D$11,0)),MATCH(ROW(orderHistory[customer]),ROW(orderHistory[customer])),""),ROWS($A$15:A60)+$B$3)),INDEX(orderHistory[shipping_method],SMALL(IF(ISNUMBER(MATCH(orderHistory[customer],$D$9,0)*MATCH(orderHistory[status],$D$11,0)*MATCH(YEAR(orderHistory[shipping_method]),$D$15,0)),MATCH(ROW(orderHistory[customer]),ROW(orderHistory[customer])),""),ROWS($A$15:A60)+$B$3))),IF($D$15="",INDEX(orderHistory[shipping_method],SMALL(IF(ISNUMBER(MATCH(orderHistory[customer],$D$9,0)*MATCH(orderHistory[status],$D$11,0)*MATCH(orderHistory[order_type],$D$13,0)),MATCH(ROW(orderHistory[customer]),ROW(orderHistory[customer])),""),ROWS($A$15:A60)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V55" s="548" t="str">
        <f t="array" ref="V55">IFERROR(IF($D$9="",IF($D$11="",IF($D$13="",IF($D$15="",INDEX(orderHistory[status],SMALL(MATCH(ROW(orderHistory[customer]),ROW(orderHistory[customer])),ROWS($A$15:A60)+$B$3)),INDEX(orderHistory[status],SMALL(IF(ISNUMBER(MATCH(YEAR(orderHistory[invoice_date]),$D$15,0)),MATCH(ROW(orderHistory[customer]),ROW(orderHistory[customer])),""),ROWS($A$15:A60)+$B$3))),IF($D$15="",INDEX(orderHistory[status],SMALL(IF(ISNUMBER(MATCH(orderHistory[order_type],$D$13,0)),MATCH(ROW(orderHistory[customer]),ROW(orderHistory[customer])),""),ROWS($A$15:A60)+$B$3)),INDEX(orderHistory[status],SMALL(IF(ISNUMBER(MATCH(orderHistory[order_type],$D$13,0)*MATCH(YEAR(orderHistory[invoice_date]),$D$15,0)),MATCH(ROW(orderHistory[customer]),ROW(orderHistory[customer])),""),ROWS($A$15:A60)+$B$3)))),IF($D$13="",IF($D$15="",INDEX(orderHistory[status],SMALL(IF(ISNUMBER(MATCH(orderHistory[status],$D$11,0)),MATCH(ROW(orderHistory[customer]),ROW(orderHistory[customer])),""),ROWS($A$15:A60)+$B$3)),INDEX(orderHistory[status],SMALL(IF(ISNUMBER(MATCH(orderHistory[status],$D$11,0)*MATCH(YEAR(orderHistory[invoice_date]),$D$15,0)),MATCH(ROW(orderHistory[customer]),ROW(orderHistory[customer])),""),ROWS($A$15:A60)+$B$3))),IF($D$15="",INDEX(orderHistory[status],SMALL(IF(ISNUMBER(MATCH(orderHistory[status],$D$11,0)*MATCH(orderHistory[order_type],$D$13,0)),MATCH(ROW(orderHistory[customer]),ROW(orderHistory[customer])),""),ROWS($A$15:A60)+$B$3)),INDEX(orderHistory[status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status],SMALL(IF(ISNUMBER(MATCH(orderHistory[customer],$D$9,0)),MATCH(ROW(orderHistory[customer]),ROW(orderHistory[customer])),""),ROWS($A$15:A60)+$B$3)),INDEX(orderHistory[status],SMALL(IF(ISNUMBER(MATCH(orderHistory[customer],$D$9,0)*MATCH(YEAR(orderHistory[invoice_date]),$D$15,0)),MATCH(ROW(orderHistory[customer]),ROW(orderHistory[customer])),""),ROWS($A$15:A60)+$B$3))),IF($D$15="",INDEX(orderHistory[status],SMALL(IF(ISNUMBER(MATCH(orderHistory[customer],$D$9,0)*MATCH(orderHistory[order_type],$D$13,0)),MATCH(ROW(orderHistory[customer]),ROW(orderHistory[customer])),""),ROWS($A$15:A60)+$B$3)),INDEX(orderHistory[status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status],SMALL(IF(ISNUMBER(MATCH(orderHistory[customer],$D$9,0)*MATCH(orderHistory[status],$D$11,0)),MATCH(ROW(orderHistory[customer]),ROW(orderHistory[customer])),""),ROWS($A$15:A60)+$B$3)),INDEX(orderHistory[status],SMALL(IF(ISNUMBER(MATCH(orderHistory[customer],$D$9,0)*MATCH(orderHistory[status],$D$11,0)*MATCH(YEAR(orderHistory[status]),$D$15,0)),MATCH(ROW(orderHistory[customer]),ROW(orderHistory[customer])),""),ROWS($A$15:A60)+$B$3))),IF($D$15="",INDEX(orderHistory[status],SMALL(IF(ISNUMBER(MATCH(orderHistory[customer],$D$9,0)*MATCH(orderHistory[status],$D$11,0)*MATCH(orderHistory[order_type],$D$13,0)),MATCH(ROW(orderHistory[customer]),ROW(orderHistory[customer])),""),ROWS($A$15:A60)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W55" s="327"/>
      <c r="X55" s="414"/>
      <c r="AQ55" s="432"/>
      <c r="AR55" s="432" t="s">
        <v>408</v>
      </c>
      <c r="BG55" s="296"/>
      <c r="BK55" s="450"/>
      <c r="BL55" s="451"/>
      <c r="BM55" s="452"/>
      <c r="BN55" s="451"/>
      <c r="BO55" s="452"/>
      <c r="BZ55" s="168"/>
      <c r="CA55" s="154" t="str">
        <f>IF(BZ55="","",INDEX(bhpc_data[description],MATCH(BZ55,bhpc_data[sku],0)))</f>
        <v/>
      </c>
      <c r="CB55" s="159"/>
      <c r="CC55" s="357"/>
      <c r="CD55" s="160"/>
      <c r="CE55" s="360"/>
      <c r="CF55" s="161"/>
      <c r="CG55" s="164" t="str">
        <f>IFERROR(ROUNDUP(CB55/INDEX(bhpc_data[units_per_carton],MATCH(BZ55,bhpc_data[sku],0)),0),"")</f>
        <v/>
      </c>
      <c r="CH55" s="165" t="str">
        <f>IFERROR(ROUNDUP(CD55/INDEX(bhpc_data[units_per_carton],MATCH(BZ55,bhpc_data[sku],0)),0),"")</f>
        <v/>
      </c>
      <c r="CI55" s="165" t="str">
        <f>IFERROR(ROUNDUP(CF55/INDEX(bhpc_data[units_per_carton],MATCH(BZ55,bhpc_data[sku])),0),"")</f>
        <v/>
      </c>
      <c r="CJ55" s="165" t="str">
        <f>IFERROR(((CB55+CD55+CF55)/INDEX(bhpc_data[units_per_carton],MATCH(BZ55,bhpc_data[sku],0)))*INDEX(bhpc_data[net_weight],MATCH(BZ55,bhpc_data[sku],0)),"")</f>
        <v/>
      </c>
      <c r="CK55" s="165" t="str">
        <f>IFERROR(((CB55+CD55+CF55)/INDEX(bhpc_data[units_per_carton],MATCH(BZ55,bhpc_data[sku],0)))*INDEX(bhpc_data[gross_weight],MATCH(BZ55,bhpc_data[sku],0)),"")</f>
        <v/>
      </c>
      <c r="CL55" s="180" t="str">
        <f>IFERROR((CB55+CD55+CF55)/INDEX(bhpc_data[units_per_carton],MATCH(BZ55,bhpc_data[sku],0))*INDEX(bhpc_data[lenght],MATCH(BZ55,bhpc_data[sku],0))*INDEX(bhpc_data[width],MATCH(BZ55,bhpc_data[sku],0))*INDEX(bhpc_data[height],MATCH(BZ55,bhpc_data[sku],0))/1000000000,"")</f>
        <v/>
      </c>
      <c r="CM55" s="189" t="str">
        <f>IFERROR(INDEX(bhpc_data[category],MATCH(BZ55,bhpc_data[sku],0)),"")</f>
        <v/>
      </c>
      <c r="CN55" s="189" t="str">
        <f>IFERROR(INDEX(bhpc_data[size1],MATCH(BZ55,bhpc_data[sku],0)),"")</f>
        <v/>
      </c>
      <c r="CO55" s="388" t="str">
        <f>IFERROR(INDEX(bhpc_data[hs_code],MATCH(BZ55,bhpc_data[sku],0)),"")</f>
        <v/>
      </c>
      <c r="CP55" s="377" t="str">
        <f>IFERROR(INDEX(inventory[ESISTENZA],MATCH(BZ55,inventory[ARTICOLO],0)),"")</f>
        <v/>
      </c>
      <c r="CQ55" s="364" t="str">
        <f>IFERROR(IF(BZ55="","",IF($BX$15="SALE",INDEX(inventory[COSTO UNITARIO],MATCH(BZ55,inventory[ARTICOLO],0)),IF($BX$15="SAMPLING",INDEX(inventory[COSTO UNITARIO],MATCH(BZ55,inventory[ARTICOLO],0)),""))),"")</f>
        <v/>
      </c>
      <c r="CR55" s="365" t="str">
        <f t="shared" si="3"/>
        <v/>
      </c>
      <c r="CS55" s="264" t="str">
        <f t="shared" si="4"/>
        <v/>
      </c>
      <c r="CU55" s="432"/>
      <c r="CV55" s="432"/>
      <c r="CW55" s="432"/>
      <c r="CX55" s="432"/>
      <c r="CY55" s="432"/>
      <c r="CZ55" s="432"/>
      <c r="DA55" s="432" t="str">
        <f>IFERROR(VLOOKUP(BZ55,bhpc_data[],22,FALSE),"")</f>
        <v/>
      </c>
      <c r="EE55" s="202" t="str" cm="1">
        <f t="array" ref="EE55">IFERROR(IF($EC$9="",IF($EC$11="",IF($EC$13="",INDEX(bhpc_data[sku],SMALL(MATCH(ROW(bhpc_data[sku]),ROW(bhpc_data[sku])),ROWS($A$15:A60)+$B$3)),INDEX(bhpc_data[sku],SMALL(IF(ISNUMBER(MATCH(bhpc_data[size1],$EC$13,0)),MATCH(ROW(bhpc_data[sku]),ROW(bhpc_data[sku])),""),ROWS($A$15:A60)+$B$3))),IF($EC$13="",INDEX(bhpc_data[sku],SMALL(IF(ISNUMBER(MATCH(bhpc_data[sex],$EC$11,0)),MATCH(ROW(bhpc_data[sku]),ROW(bhpc_data[sku])),""),ROWS($A$15:A60)+$B$3)),INDEX(bhpc_data[sku],SMALL(IF(ISNUMBER(MATCH(bhpc_data[sex],$EC$11,0)*MATCH(bhpc_data[size1],$EC$13,0)),MATCH(ROW(bhpc_data[sku]),ROW(bhpc_data[sku])),""),ROWS($A$15:A60)+$B$3)))),IF($EC$11="",IF($EC$13="",INDEX(bhpc_data[sku],SMALL(IF(ISNUMBER(MATCH(bhpc_data[category],$EC$9,0)),MATCH(ROW(bhpc_data[sku]),ROW(bhpc_data[sku])),""),ROWS($A$15:A60)+$B$3)),INDEX(bhpc_data[sku],SMALL(IF(ISNUMBER(MATCH(bhpc_data[category],$EC$9,0)*MATCH(bhpc_data[size1],$EC$13,0)),MATCH(ROW(bhpc_data[sku]),ROW(bhpc_data[sku])),""),ROWS($A$15:A60)+$B$3))),IF($EC$13="",INDEX(bhpc_data[sku],SMALL(IF(ISNUMBER(MATCH(bhpc_data[category],$EC$9,0)*MATCH(bhpc_data[sex],$EC$11,0)),MATCH(ROW(bhpc_data[sku]),ROW(bhpc_data[sku])),""),ROWS($A$15:A60)+$B$3)),INDEX(bhpc_data[sku],SMALL(IF(ISNUMBER(MATCH(bhpc_data[category],$EC$9,0)*MATCH(bhpc_data[sex],$EC$11,0)*MATCH(bhpc_data[size1],$EC$13,0)),MATCH(ROW(bhpc_data[sku]),ROW(bhpc_data[sku])),""),ROWS($A$15:A60)+$B$3))))),"")</f>
        <v>P05011</v>
      </c>
      <c r="EF55" s="198" t="str" cm="1">
        <f t="array" ref="EF55">IFERROR(IF($EC$9="",IF($EC$11="",IF($EC$13="",INDEX(bhpc_data[description],SMALL(MATCH(ROW(bhpc_data[sku]),ROW(bhpc_data[sku])),ROWS($A$15:A60)+$B$3)),INDEX(bhpc_data[description],SMALL(IF(ISNUMBER(MATCH(bhpc_data[size1],$EC$13,0)),MATCH(ROW(bhpc_data[sku]),ROW(bhpc_data[sku])),""),ROWS($A$15:A60)+$B$3))),IF($EC$13="",INDEX(bhpc_data[description],SMALL(IF(ISNUMBER(MATCH(bhpc_data[sex],$EC$11,0)),MATCH(ROW(bhpc_data[sku]),ROW(bhpc_data[sku])),""),ROWS($A$15:A60)+$B$3)),INDEX(bhpc_data[description],SMALL(IF(ISNUMBER(MATCH(bhpc_data[sex],$EC$11,0)*MATCH(bhpc_data[size1],$EC$13,0)),MATCH(ROW(bhpc_data[sku]),ROW(bhpc_data[sku])),""),ROWS($A$15:A60)+$B$3)))),IF($EC$11="",IF($EC$13="",INDEX(bhpc_data[description],SMALL(IF(ISNUMBER(MATCH(bhpc_data[category],$EC$9,0)),MATCH(ROW(bhpc_data[sku]),ROW(bhpc_data[sku])),""),ROWS($A$15:A60)+$B$3)),INDEX(bhpc_data[description],SMALL(IF(ISNUMBER(MATCH(bhpc_data[category],$EC$9,0)*MATCH(bhpc_data[size1],$EC$13,0)),MATCH(ROW(bhpc_data[sku]),ROW(bhpc_data[sku])),""),ROWS($A$15:A60)+$B$3))),IF($EC$13="",INDEX(bhpc_data[description],SMALL(IF(ISNUMBER(MATCH(bhpc_data[category],$EC$9,0)*MATCH(bhpc_data[sex],$EC$11,0)),MATCH(ROW(bhpc_data[sku]),ROW(bhpc_data[sku])),""),ROWS($A$15:A60)+$B$3)),INDEX(bhpc_data[description],SMALL(IF(ISNUMBER(MATCH(bhpc_data[category],$EC$9,0)*MATCH(bhpc_data[sex],$EC$11,0)*MATCH(bhpc_data[size1],$EC$13,0)),MATCH(ROW(bhpc_data[sku]),ROW(bhpc_data[sku])),""),ROWS($A$15:A60)+$B$3))))),"")</f>
        <v>BHPC SPORT MEN 2 EDT 50ML</v>
      </c>
      <c r="EG55" s="263">
        <f>IFERROR(IF(warehouse[[#This Row],[SKU]]="","",INDEX(inventory[ESISTENZA],MATCH(warehouse[[#This Row],[SKU]],inventory[ARTICOLO],0))),"")</f>
        <v>301</v>
      </c>
      <c r="EH55" s="328"/>
      <c r="EI55" s="328"/>
      <c r="EJ55" s="263"/>
      <c r="EK55" s="329"/>
      <c r="EO55" s="296" t="str">
        <f t="array" ref="EO55">IFERROR(INDEX(orderHistory[order_no],SMALL(IF(ISNUMBER(MATCH(orderHistory[status],$EO$7,0)),MATCH(ROW(orderHistory[order_no]),ROW(orderHistory[order_no])),""),ROWS($A$15:A60))),"")</f>
        <v/>
      </c>
    </row>
    <row r="56" spans="10:145" ht="15" customHeight="1" x14ac:dyDescent="0.35">
      <c r="L56" s="539" t="str">
        <f t="array" ref="L56">IFERROR(IF($D$9="",IF($D$11="",IF($D$13="",IF($D$15="",INDEX(orderHistory[customer],SMALL(MATCH(ROW(orderHistory[customer]),ROW(orderHistory[customer])),ROWS($A$15:A61)+$B$3)),INDEX(orderHistory[customer],SMALL(IF(ISNUMBER(MATCH(YEAR(orderHistory[invoice_date]),$D$15,0)),MATCH(ROW(orderHistory[customer]),ROW(orderHistory[customer])),""),ROWS($A$15:A61)+$B$3))),IF($D$15="",INDEX(orderHistory[customer],SMALL(IF(ISNUMBER(MATCH(orderHistory[order_type],$D$13,0)),MATCH(ROW(orderHistory[customer]),ROW(orderHistory[customer])),""),ROWS($A$15:A61)+$B$3)),INDEX(orderHistory[customer],SMALL(IF(ISNUMBER(MATCH(orderHistory[order_type],$D$13,0)*MATCH(YEAR(orderHistory[invoice_date]),$D$15,0)),MATCH(ROW(orderHistory[customer]),ROW(orderHistory[customer])),""),ROWS($A$15:A61)+$B$3)))),IF($D$13="",IF($D$15="",INDEX(orderHistory[customer],SMALL(IF(ISNUMBER(MATCH(orderHistory[status],$D$11,0)),MATCH(ROW(orderHistory[customer]),ROW(orderHistory[customer])),""),ROWS($A$15:A61)+$B$3)),INDEX(orderHistory[customer],SMALL(IF(ISNUMBER(MATCH(orderHistory[status],$D$11,0)*MATCH(YEAR(orderHistory[invoice_date]),$D$15,0)),MATCH(ROW(orderHistory[customer]),ROW(orderHistory[customer])),""),ROWS($A$15:A61)+$B$3))),IF($D$15="",INDEX(orderHistory[customer],SMALL(IF(ISNUMBER(MATCH(orderHistory[status],$D$11,0)*MATCH(orderHistory[order_type],$D$13,0)),MATCH(ROW(orderHistory[customer]),ROW(orderHistory[customer])),""),ROWS($A$15:A61)+$B$3)),INDEX(orderHistory[customer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customer],SMALL(IF(ISNUMBER(MATCH(orderHistory[customer],$D$9,0)),MATCH(ROW(orderHistory[customer]),ROW(orderHistory[customer])),""),ROWS($A$15:A61)+$B$3)),INDEX(orderHistory[customer],SMALL(IF(ISNUMBER(MATCH(orderHistory[customer],$D$9,0)*MATCH(YEAR(orderHistory[invoice_date]),$D$15,0)),MATCH(ROW(orderHistory[customer]),ROW(orderHistory[customer])),""),ROWS($A$15:A61)+$B$3))),IF($D$15="",INDEX(orderHistory[customer],SMALL(IF(ISNUMBER(MATCH(orderHistory[customer],$D$9,0)*MATCH(orderHistory[order_type],$D$13,0)),MATCH(ROW(orderHistory[customer]),ROW(orderHistory[customer])),""),ROWS($A$15:A61)+$B$3)),INDEX(orderHistory[customer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customer],SMALL(IF(ISNUMBER(MATCH(orderHistory[customer],$D$9,0)*MATCH(orderHistory[status],$D$11,0)),MATCH(ROW(orderHistory[customer]),ROW(orderHistory[customer])),""),ROWS($A$15:A61)+$B$3)),INDEX(orderHistory[customer],SMALL(IF(ISNUMBER(MATCH(orderHistory[customer],$D$9,0)*MATCH(orderHistory[status],$D$11,0)*MATCH(YEAR(orderHistory[invoice_date]),$D$15,0)),MATCH(ROW(orderHistory[customer]),ROW(orderHistory[customer])),""),ROWS($A$15:A61)+$B$3))),IF($D$15="",INDEX(orderHistory[customer],SMALL(IF(ISNUMBER(MATCH(orderHistory[customer],$D$9,0)*MATCH(orderHistory[status],$D$11,0)*MATCH(orderHistory[order_type],$D$13,0)),MATCH(ROW(orderHistory[customer]),ROW(orderHistory[customer])),""),ROWS($A$15:A61)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M56" s="540" t="str">
        <f t="array" ref="M56">IFERROR(IF($D$9="",IF($D$11="",IF($D$13="",IF($D$15="",INDEX(orderHistory[order_no],SMALL(MATCH(ROW(orderHistory[customer]),ROW(orderHistory[customer])),ROWS($A$15:A61)+$B$3)),INDEX(orderHistory[order_no],SMALL(IF(ISNUMBER(MATCH(YEAR(orderHistory[invoice_date]),$D$15,0)),MATCH(ROW(orderHistory[customer]),ROW(orderHistory[customer])),""),ROWS($A$15:A61)+$B$3))),IF($D$15="",INDEX(orderHistory[order_no],SMALL(IF(ISNUMBER(MATCH(orderHistory[order_type],$D$13,0)),MATCH(ROW(orderHistory[customer]),ROW(orderHistory[customer])),""),ROWS($A$15:A61)+$B$3)),INDEX(orderHistory[order_no],SMALL(IF(ISNUMBER(MATCH(orderHistory[order_type],$D$13,0)*MATCH(YEAR(orderHistory[invoice_date]),$D$15,0)),MATCH(ROW(orderHistory[customer]),ROW(orderHistory[customer])),""),ROWS($A$15:A61)+$B$3)))),IF($D$13="",IF($D$15="",INDEX(orderHistory[order_no],SMALL(IF(ISNUMBER(MATCH(orderHistory[status],$D$11,0)),MATCH(ROW(orderHistory[customer]),ROW(orderHistory[customer])),""),ROWS($A$15:A61)+$B$3)),INDEX(orderHistory[order_no],SMALL(IF(ISNUMBER(MATCH(orderHistory[status],$D$11,0)*MATCH(YEAR(orderHistory[invoice_date]),$D$15,0)),MATCH(ROW(orderHistory[customer]),ROW(orderHistory[customer])),""),ROWS($A$15:A61)+$B$3))),IF($D$15="",INDEX(orderHistory[order_no],SMALL(IF(ISNUMBER(MATCH(orderHistory[status],$D$11,0)*MATCH(orderHistory[order_type],$D$13,0)),MATCH(ROW(orderHistory[customer]),ROW(orderHistory[customer])),""),ROWS($A$15:A61)+$B$3)),INDEX(orderHistory[order_no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no],SMALL(IF(ISNUMBER(MATCH(orderHistory[customer],$D$9,0)),MATCH(ROW(orderHistory[customer]),ROW(orderHistory[customer])),""),ROWS($A$15:A61)+$B$3)),INDEX(orderHistory[order_no],SMALL(IF(ISNUMBER(MATCH(orderHistory[customer],$D$9,0)*MATCH(YEAR(orderHistory[invoice_date]),$D$15,0)),MATCH(ROW(orderHistory[customer]),ROW(orderHistory[customer])),""),ROWS($A$15:A61)+$B$3))),IF($D$15="",INDEX(orderHistory[order_no],SMALL(IF(ISNUMBER(MATCH(orderHistory[customer],$D$9,0)*MATCH(orderHistory[order_type],$D$13,0)),MATCH(ROW(orderHistory[customer]),ROW(orderHistory[customer])),""),ROWS($A$15:A61)+$B$3)),INDEX(orderHistory[order_no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no],SMALL(IF(ISNUMBER(MATCH(orderHistory[customer],$D$9,0)*MATCH(orderHistory[status],$D$11,0)),MATCH(ROW(orderHistory[customer]),ROW(orderHistory[customer])),""),ROWS($A$15:A61)+$B$3)),INDEX(orderHistory[order_no],SMALL(IF(ISNUMBER(MATCH(orderHistory[customer],$D$9,0)*MATCH(orderHistory[status],$D$11,0)*MATCH(YEAR(orderHistory[invoice_date]),$D$15,0)),MATCH(ROW(orderHistory[customer]),ROW(orderHistory[customer])),""),ROWS($A$15:A61)+$B$3))),IF($D$15="",INDEX(orderHistory[order_no],SMALL(IF(ISNUMBER(MATCH(orderHistory[customer],$D$9,0)*MATCH(orderHistory[status],$D$11,0)*MATCH(orderHistory[order_type],$D$13,0)),MATCH(ROW(orderHistory[customer]),ROW(orderHistory[customer])),""),ROWS($A$15:A61)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N56" s="541" t="str">
        <f t="array" ref="N56">IFERROR(IF($D$9="",IF($D$11="",IF($D$13="",IF($D$15="",INDEX(orderHistory[order_type],SMALL(MATCH(ROW(orderHistory[customer]),ROW(orderHistory[customer])),ROWS($A$15:A61)+$B$3)),INDEX(orderHistory[order_type],SMALL(IF(ISNUMBER(MATCH(YEAR(orderHistory[invoice_date]),$D$15,0)),MATCH(ROW(orderHistory[customer]),ROW(orderHistory[customer])),""),ROWS($A$15:A61)+$B$3))),IF($D$15="",INDEX(orderHistory[order_type],SMALL(IF(ISNUMBER(MATCH(orderHistory[order_type],$D$13,0)),MATCH(ROW(orderHistory[customer]),ROW(orderHistory[customer])),""),ROWS($A$15:A61)+$B$3)),INDEX(orderHistory[order_type],SMALL(IF(ISNUMBER(MATCH(orderHistory[order_type],$D$13,0)*MATCH(YEAR(orderHistory[invoice_date]),$D$15,0)),MATCH(ROW(orderHistory[customer]),ROW(orderHistory[customer])),""),ROWS($A$15:A61)+$B$3)))),IF($D$13="",IF($D$15="",INDEX(orderHistory[order_type],SMALL(IF(ISNUMBER(MATCH(orderHistory[status],$D$11,0)),MATCH(ROW(orderHistory[customer]),ROW(orderHistory[customer])),""),ROWS($A$15:A61)+$B$3)),INDEX(orderHistory[order_type],SMALL(IF(ISNUMBER(MATCH(orderHistory[status],$D$11,0)*MATCH(YEAR(orderHistory[invoice_date]),$D$15,0)),MATCH(ROW(orderHistory[customer]),ROW(orderHistory[customer])),""),ROWS($A$15:A61)+$B$3))),IF($D$15="",INDEX(orderHistory[order_type],SMALL(IF(ISNUMBER(MATCH(orderHistory[status],$D$11,0)*MATCH(orderHistory[order_type],$D$13,0)),MATCH(ROW(orderHistory[customer]),ROW(orderHistory[customer])),""),ROWS($A$15:A61)+$B$3)),INDEX(orderHistory[order_typ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type],SMALL(IF(ISNUMBER(MATCH(orderHistory[customer],$D$9,0)),MATCH(ROW(orderHistory[customer]),ROW(orderHistory[customer])),""),ROWS($A$15:A61)+$B$3)),INDEX(orderHistory[order_type],SMALL(IF(ISNUMBER(MATCH(orderHistory[customer],$D$9,0)*MATCH(YEAR(orderHistory[invoice_date]),$D$15,0)),MATCH(ROW(orderHistory[customer]),ROW(orderHistory[customer])),""),ROWS($A$15:A61)+$B$3))),IF($D$15="",INDEX(orderHistory[order_type],SMALL(IF(ISNUMBER(MATCH(orderHistory[customer],$D$9,0)*MATCH(orderHistory[order_type],$D$13,0)),MATCH(ROW(orderHistory[customer]),ROW(orderHistory[customer])),""),ROWS($A$15:A61)+$B$3)),INDEX(orderHistory[order_typ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type],SMALL(IF(ISNUMBER(MATCH(orderHistory[customer],$D$9,0)*MATCH(orderHistory[status],$D$11,0)),MATCH(ROW(orderHistory[customer]),ROW(orderHistory[customer])),""),ROWS($A$15:A61)+$B$3)),INDEX(orderHistory[order_type],SMALL(IF(ISNUMBER(MATCH(orderHistory[customer],$D$9,0)*MATCH(orderHistory[status],$D$11,0)*MATCH(YEAR(orderHistory[invoice_date]),$D$15,0)),MATCH(ROW(orderHistory[customer]),ROW(orderHistory[customer])),""),ROWS($A$15:A61)+$B$3))),IF($D$15="",INDEX(orderHistory[order_type],SMALL(IF(ISNUMBER(MATCH(orderHistory[customer],$D$9,0)*MATCH(orderHistory[status],$D$11,0)*MATCH(orderHistory[order_type],$D$13,0)),MATCH(ROW(orderHistory[customer]),ROW(orderHistory[customer])),""),ROWS($A$15:A61)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O56" s="542" t="str">
        <f t="array" ref="O56">IFERROR(IF($D$9="",IF($D$11="",IF($D$13="",IF($D$15="",INDEX(orderHistory[order_date],SMALL(MATCH(ROW(orderHistory[customer]),ROW(orderHistory[customer])),ROWS($A$15:A61)+$B$3)),INDEX(orderHistory[order_date],SMALL(IF(ISNUMBER(MATCH(YEAR(orderHistory[invoice_date]),$D$15,0)),MATCH(ROW(orderHistory[customer]),ROW(orderHistory[customer])),""),ROWS($A$15:A61)+$B$3))),IF($D$15="",INDEX(orderHistory[order_date],SMALL(IF(ISNUMBER(MATCH(orderHistory[order_type],$D$13,0)),MATCH(ROW(orderHistory[customer]),ROW(orderHistory[customer])),""),ROWS($A$15:A61)+$B$3)),INDEX(orderHistory[order_date],SMALL(IF(ISNUMBER(MATCH(orderHistory[order_type],$D$13,0)*MATCH(YEAR(orderHistory[invoice_date]),$D$15,0)),MATCH(ROW(orderHistory[customer]),ROW(orderHistory[customer])),""),ROWS($A$15:A61)+$B$3)))),IF($D$13="",IF($D$15="",INDEX(orderHistory[order_date],SMALL(IF(ISNUMBER(MATCH(orderHistory[status],$D$11,0)),MATCH(ROW(orderHistory[customer]),ROW(orderHistory[customer])),""),ROWS($A$15:A61)+$B$3)),INDEX(orderHistory[order_date],SMALL(IF(ISNUMBER(MATCH(orderHistory[status],$D$11,0)*MATCH(YEAR(orderHistory[invoice_date]),$D$15,0)),MATCH(ROW(orderHistory[customer]),ROW(orderHistory[customer])),""),ROWS($A$15:A61)+$B$3))),IF($D$15="",INDEX(orderHistory[order_date],SMALL(IF(ISNUMBER(MATCH(orderHistory[status],$D$11,0)*MATCH(orderHistory[order_type],$D$13,0)),MATCH(ROW(orderHistory[customer]),ROW(orderHistory[customer])),""),ROWS($A$15:A61)+$B$3)),INDEX(orderHistory[order_dat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date],SMALL(IF(ISNUMBER(MATCH(orderHistory[customer],$D$9,0)),MATCH(ROW(orderHistory[customer]),ROW(orderHistory[customer])),""),ROWS($A$15:A61)+$B$3)),INDEX(orderHistory[order_date],SMALL(IF(ISNUMBER(MATCH(orderHistory[customer],$D$9,0)*MATCH(YEAR(orderHistory[invoice_date]),$D$15,0)),MATCH(ROW(orderHistory[customer]),ROW(orderHistory[customer])),""),ROWS($A$15:A61)+$B$3))),IF($D$15="",INDEX(orderHistory[order_date],SMALL(IF(ISNUMBER(MATCH(orderHistory[customer],$D$9,0)*MATCH(orderHistory[order_type],$D$13,0)),MATCH(ROW(orderHistory[customer]),ROW(orderHistory[customer])),""),ROWS($A$15:A61)+$B$3)),INDEX(orderHistory[order_dat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date],SMALL(IF(ISNUMBER(MATCH(orderHistory[customer],$D$9,0)*MATCH(orderHistory[status],$D$11,0)),MATCH(ROW(orderHistory[customer]),ROW(orderHistory[customer])),""),ROWS($A$15:A61)+$B$3)),INDEX(orderHistory[order_date],SMALL(IF(ISNUMBER(MATCH(orderHistory[customer],$D$9,0)*MATCH(orderHistory[status],$D$11,0)*MATCH(YEAR(orderHistory[invoice_date]),$D$15,0)),MATCH(ROW(orderHistory[customer]),ROW(orderHistory[customer])),""),ROWS($A$15:A61)+$B$3))),IF($D$15="",INDEX(orderHistory[order_date],SMALL(IF(ISNUMBER(MATCH(orderHistory[customer],$D$9,0)*MATCH(orderHistory[status],$D$11,0)*MATCH(orderHistory[order_type],$D$13,0)),MATCH(ROW(orderHistory[customer]),ROW(orderHistory[customer])),""),ROWS($A$15:A61)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P56" s="543" t="str">
        <f t="array" ref="P56">IFERROR(IF($D$9="",IF($D$11="",IF($D$13="",IF($D$15="",INDEX(orderHistory[invoice_no],SMALL(MATCH(ROW(orderHistory[customer]),ROW(orderHistory[customer])),ROWS($A$15:A61)+$B$3)),INDEX(orderHistory[invoice_no],SMALL(IF(ISNUMBER(MATCH(YEAR(orderHistory[invoice_date]),$D$15,0)),MATCH(ROW(orderHistory[customer]),ROW(orderHistory[customer])),""),ROWS($A$15:A61)+$B$3))),IF($D$15="",INDEX(orderHistory[invoice_no],SMALL(IF(ISNUMBER(MATCH(orderHistory[order_type],$D$13,0)),MATCH(ROW(orderHistory[customer]),ROW(orderHistory[customer])),""),ROWS($A$15:A61)+$B$3)),INDEX(orderHistory[invoice_no],SMALL(IF(ISNUMBER(MATCH(orderHistory[order_type],$D$13,0)*MATCH(YEAR(orderHistory[invoice_date]),$D$15,0)),MATCH(ROW(orderHistory[customer]),ROW(orderHistory[customer])),""),ROWS($A$15:A61)+$B$3)))),IF($D$13="",IF($D$15="",INDEX(orderHistory[invoice_no],SMALL(IF(ISNUMBER(MATCH(orderHistory[status],$D$11,0)),MATCH(ROW(orderHistory[customer]),ROW(orderHistory[customer])),""),ROWS($A$15:A61)+$B$3)),INDEX(orderHistory[invoice_no],SMALL(IF(ISNUMBER(MATCH(orderHistory[status],$D$11,0)*MATCH(YEAR(orderHistory[invoice_date]),$D$15,0)),MATCH(ROW(orderHistory[customer]),ROW(orderHistory[customer])),""),ROWS($A$15:A61)+$B$3))),IF($D$15="",INDEX(orderHistory[invoice_no],SMALL(IF(ISNUMBER(MATCH(orderHistory[status],$D$11,0)*MATCH(orderHistory[order_type],$D$13,0)),MATCH(ROW(orderHistory[customer]),ROW(orderHistory[customer])),""),ROWS($A$15:A61)+$B$3)),INDEX(orderHistory[invoice_no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oice_no],SMALL(IF(ISNUMBER(MATCH(orderHistory[customer],$D$9,0)),MATCH(ROW(orderHistory[customer]),ROW(orderHistory[customer])),""),ROWS($A$15:A61)+$B$3)),INDEX(orderHistory[invoice_no],SMALL(IF(ISNUMBER(MATCH(orderHistory[customer],$D$9,0)*MATCH(YEAR(orderHistory[invoice_date]),$D$15,0)),MATCH(ROW(orderHistory[customer]),ROW(orderHistory[customer])),""),ROWS($A$15:A61)+$B$3))),IF($D$15="",INDEX(orderHistory[invoice_no],SMALL(IF(ISNUMBER(MATCH(orderHistory[customer],$D$9,0)*MATCH(orderHistory[order_type],$D$13,0)),MATCH(ROW(orderHistory[customer]),ROW(orderHistory[customer])),""),ROWS($A$15:A61)+$B$3)),INDEX(orderHistory[invoice_no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oice_no],SMALL(IF(ISNUMBER(MATCH(orderHistory[customer],$D$9,0)*MATCH(orderHistory[status],$D$11,0)),MATCH(ROW(orderHistory[customer]),ROW(orderHistory[customer])),""),ROWS($A$15:A61)+$B$3)),INDEX(orderHistory[invoice_no],SMALL(IF(ISNUMBER(MATCH(orderHistory[customer],$D$9,0)*MATCH(orderHistory[status],$D$11,0)*MATCH(YEAR(orderHistory[invoice_date]),$D$15,0)),MATCH(ROW(orderHistory[customer]),ROW(orderHistory[customer])),""),ROWS($A$15:A61)+$B$3))),IF($D$15="",INDEX(orderHistory[invoice_no],SMALL(IF(ISNUMBER(MATCH(orderHistory[customer],$D$9,0)*MATCH(orderHistory[status],$D$11,0)*MATCH(orderHistory[order_type],$D$13,0)),MATCH(ROW(orderHistory[customer]),ROW(orderHistory[customer])),""),ROWS($A$15:A61)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Q56" s="544" t="str">
        <f t="array" ref="Q56">IFERROR(IF($D$9="",IF($D$11="",IF($D$13="",IF($D$15="",INDEX(orderHistory[invoice_date],SMALL(MATCH(ROW(orderHistory[customer]),ROW(orderHistory[customer])),ROWS($A$15:A61)+$B$3)),INDEX(orderHistory[invoice_date],SMALL(IF(ISNUMBER(MATCH(YEAR(orderHistory[invoice_date]),$D$15,0)),MATCH(ROW(orderHistory[customer]),ROW(orderHistory[customer])),""),ROWS($A$15:A61)+$B$3))),IF($D$15="",INDEX(orderHistory[invoice_date],SMALL(IF(ISNUMBER(MATCH(orderHistory[order_type],$D$13,0)),MATCH(ROW(orderHistory[customer]),ROW(orderHistory[customer])),""),ROWS($A$15:A61)+$B$3)),INDEX(orderHistory[invoice_date],SMALL(IF(ISNUMBER(MATCH(orderHistory[order_type],$D$13,0)*MATCH(YEAR(orderHistory[invoice_date]),$D$15,0)),MATCH(ROW(orderHistory[customer]),ROW(orderHistory[customer])),""),ROWS($A$15:A61)+$B$3)))),IF($D$13="",IF($D$15="",INDEX(orderHistory[invoice_date],SMALL(IF(ISNUMBER(MATCH(orderHistory[status],$D$11,0)),MATCH(ROW(orderHistory[customer]),ROW(orderHistory[customer])),""),ROWS($A$15:A61)+$B$3)),INDEX(orderHistory[invoice_date],SMALL(IF(ISNUMBER(MATCH(orderHistory[status],$D$11,0)*MATCH(YEAR(orderHistory[invoice_date]),$D$15,0)),MATCH(ROW(orderHistory[customer]),ROW(orderHistory[customer])),""),ROWS($A$15:A61)+$B$3))),IF($D$15="",INDEX(orderHistory[invoice_date],SMALL(IF(ISNUMBER(MATCH(orderHistory[status],$D$11,0)*MATCH(orderHistory[order_type],$D$13,0)),MATCH(ROW(orderHistory[customer]),ROW(orderHistory[customer])),""),ROWS($A$15:A61)+$B$3)),INDEX(orderHistory[invoice_dat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oice_date],SMALL(IF(ISNUMBER(MATCH(orderHistory[customer],$D$9,0)),MATCH(ROW(orderHistory[customer]),ROW(orderHistory[customer])),""),ROWS($A$15:A61)+$B$3)),INDEX(orderHistory[invoice_date],SMALL(IF(ISNUMBER(MATCH(orderHistory[customer],$D$9,0)*MATCH(YEAR(orderHistory[invoice_date]),$D$15,0)),MATCH(ROW(orderHistory[customer]),ROW(orderHistory[customer])),""),ROWS($A$15:A61)+$B$3))),IF($D$15="",INDEX(orderHistory[invoice_date],SMALL(IF(ISNUMBER(MATCH(orderHistory[customer],$D$9,0)*MATCH(orderHistory[order_type],$D$13,0)),MATCH(ROW(orderHistory[customer]),ROW(orderHistory[customer])),""),ROWS($A$15:A61)+$B$3)),INDEX(orderHistory[invoice_dat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oice_date],SMALL(IF(ISNUMBER(MATCH(orderHistory[customer],$D$9,0)*MATCH(orderHistory[status],$D$11,0)),MATCH(ROW(orderHistory[customer]),ROW(orderHistory[customer])),""),ROWS($A$15:A61)+$B$3)),INDEX(orderHistory[invoice_date],SMALL(IF(ISNUMBER(MATCH(orderHistory[customer],$D$9,0)*MATCH(orderHistory[status],$D$11,0)*MATCH(YEAR(orderHistory[invoice_date]),$D$15,0)),MATCH(ROW(orderHistory[customer]),ROW(orderHistory[customer])),""),ROWS($A$15:A61)+$B$3))),IF($D$15="",INDEX(orderHistory[invoice_date],SMALL(IF(ISNUMBER(MATCH(orderHistory[customer],$D$9,0)*MATCH(orderHistory[status],$D$11,0)*MATCH(orderHistory[order_type],$D$13,0)),MATCH(ROW(orderHistory[customer]),ROW(orderHistory[customer])),""),ROWS($A$15:A61)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R56" s="545" t="str">
        <f t="array" ref="R56">IFERROR(IF($D$9="",IF($D$11="",IF($D$13="",IF($D$15="",INDEX(orderHistory[inv_amount],SMALL(MATCH(ROW(orderHistory[customer]),ROW(orderHistory[customer])),ROWS($A$15:A61)+$B$3)),INDEX(orderHistory[inv_amount],SMALL(IF(ISNUMBER(MATCH(YEAR(orderHistory[invoice_date]),$D$15,0)),MATCH(ROW(orderHistory[customer]),ROW(orderHistory[customer])),""),ROWS($A$15:A61)+$B$3))),IF($D$15="",INDEX(orderHistory[inv_amount],SMALL(IF(ISNUMBER(MATCH(orderHistory[order_type],$D$13,0)),MATCH(ROW(orderHistory[customer]),ROW(orderHistory[customer])),""),ROWS($A$15:A61)+$B$3)),INDEX(orderHistory[inv_amount],SMALL(IF(ISNUMBER(MATCH(orderHistory[order_type],$D$13,0)*MATCH(YEAR(orderHistory[invoice_date]),$D$15,0)),MATCH(ROW(orderHistory[customer]),ROW(orderHistory[customer])),""),ROWS($A$15:A61)+$B$3)))),IF($D$13="",IF($D$15="",INDEX(orderHistory[inv_amount],SMALL(IF(ISNUMBER(MATCH(orderHistory[status],$D$11,0)),MATCH(ROW(orderHistory[customer]),ROW(orderHistory[customer])),""),ROWS($A$15:A61)+$B$3)),INDEX(orderHistory[inv_amount],SMALL(IF(ISNUMBER(MATCH(orderHistory[status],$D$11,0)*MATCH(YEAR(orderHistory[invoice_date]),$D$15,0)),MATCH(ROW(orderHistory[customer]),ROW(orderHistory[customer])),""),ROWS($A$15:A61)+$B$3))),IF($D$15="",INDEX(orderHistory[inv_amount],SMALL(IF(ISNUMBER(MATCH(orderHistory[status],$D$11,0)*MATCH(orderHistory[order_type],$D$13,0)),MATCH(ROW(orderHistory[customer]),ROW(orderHistory[customer])),""),ROWS($A$15:A61)+$B$3)),INDEX(orderHistory[inv_amount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_amount],SMALL(IF(ISNUMBER(MATCH(orderHistory[customer],$D$9,0)),MATCH(ROW(orderHistory[customer]),ROW(orderHistory[customer])),""),ROWS($A$15:A61)+$B$3)),INDEX(orderHistory[inv_amount],SMALL(IF(ISNUMBER(MATCH(orderHistory[customer],$D$9,0)*MATCH(YEAR(orderHistory[invoice_date]),$D$15,0)),MATCH(ROW(orderHistory[customer]),ROW(orderHistory[customer])),""),ROWS($A$15:A61)+$B$3))),IF($D$15="",INDEX(orderHistory[inv_amount],SMALL(IF(ISNUMBER(MATCH(orderHistory[customer],$D$9,0)*MATCH(orderHistory[order_type],$D$13,0)),MATCH(ROW(orderHistory[customer]),ROW(orderHistory[customer])),""),ROWS($A$15:A61)+$B$3)),INDEX(orderHistory[inv_amount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_amount],SMALL(IF(ISNUMBER(MATCH(orderHistory[customer],$D$9,0)*MATCH(orderHistory[status],$D$11,0)),MATCH(ROW(orderHistory[customer]),ROW(orderHistory[customer])),""),ROWS($A$15:A61)+$B$3)),INDEX(orderHistory[inv_amount],SMALL(IF(ISNUMBER(MATCH(orderHistory[customer],$D$9,0)*MATCH(orderHistory[status],$D$11,0)*MATCH(YEAR(orderHistory[inv_amount]),$D$15,0)),MATCH(ROW(orderHistory[customer]),ROW(orderHistory[customer])),""),ROWS($A$15:A61)+$B$3))),IF($D$15="",INDEX(orderHistory[inv_amount],SMALL(IF(ISNUMBER(MATCH(orderHistory[customer],$D$9,0)*MATCH(orderHistory[status],$D$11,0)*MATCH(orderHistory[order_type],$D$13,0)),MATCH(ROW(orderHistory[customer]),ROW(orderHistory[customer])),""),ROWS($A$15:A61)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S56" s="546" t="str">
        <f t="shared" si="2"/>
        <v/>
      </c>
      <c r="T56" s="547" t="str">
        <f t="array" ref="T56">IFERROR(IF($D$9="",IF($D$11="",IF($D$13="",IF($D$15="",INDEX(orderHistory[payed],SMALL(MATCH(ROW(orderHistory[customer]),ROW(orderHistory[customer])),ROWS($A$15:A61)+$B$3)),INDEX(orderHistory[payed],SMALL(IF(ISNUMBER(MATCH(YEAR(orderHistory[invoice_date]),$D$15,0)),MATCH(ROW(orderHistory[customer]),ROW(orderHistory[customer])),""),ROWS($A$15:A61)+$B$3))),IF($D$15="",INDEX(orderHistory[payed],SMALL(IF(ISNUMBER(MATCH(orderHistory[order_type],$D$13,0)),MATCH(ROW(orderHistory[customer]),ROW(orderHistory[customer])),""),ROWS($A$15:A61)+$B$3)),INDEX(orderHistory[payed],SMALL(IF(ISNUMBER(MATCH(orderHistory[order_type],$D$13,0)*MATCH(YEAR(orderHistory[invoice_date]),$D$15,0)),MATCH(ROW(orderHistory[customer]),ROW(orderHistory[customer])),""),ROWS($A$15:A61)+$B$3)))),IF($D$13="",IF($D$15="",INDEX(orderHistory[payed],SMALL(IF(ISNUMBER(MATCH(orderHistory[status],$D$11,0)),MATCH(ROW(orderHistory[customer]),ROW(orderHistory[customer])),""),ROWS($A$15:A61)+$B$3)),INDEX(orderHistory[payed],SMALL(IF(ISNUMBER(MATCH(orderHistory[status],$D$11,0)*MATCH(YEAR(orderHistory[invoice_date]),$D$15,0)),MATCH(ROW(orderHistory[customer]),ROW(orderHistory[customer])),""),ROWS($A$15:A61)+$B$3))),IF($D$15="",INDEX(orderHistory[payed],SMALL(IF(ISNUMBER(MATCH(orderHistory[status],$D$11,0)*MATCH(orderHistory[order_type],$D$13,0)),MATCH(ROW(orderHistory[customer]),ROW(orderHistory[customer])),""),ROWS($A$15:A61)+$B$3)),INDEX(orderHistory[payed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payed],SMALL(IF(ISNUMBER(MATCH(orderHistory[customer],$D$9,0)),MATCH(ROW(orderHistory[customer]),ROW(orderHistory[customer])),""),ROWS($A$15:A61)+$B$3)),INDEX(orderHistory[payed],SMALL(IF(ISNUMBER(MATCH(orderHistory[customer],$D$9,0)*MATCH(YEAR(orderHistory[invoice_date]),$D$15,0)),MATCH(ROW(orderHistory[customer]),ROW(orderHistory[customer])),""),ROWS($A$15:A61)+$B$3))),IF($D$15="",INDEX(orderHistory[payed],SMALL(IF(ISNUMBER(MATCH(orderHistory[customer],$D$9,0)*MATCH(orderHistory[order_type],$D$13,0)),MATCH(ROW(orderHistory[customer]),ROW(orderHistory[customer])),""),ROWS($A$15:A61)+$B$3)),INDEX(orderHistory[payed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payed],SMALL(IF(ISNUMBER(MATCH(orderHistory[customer],$D$9,0)*MATCH(orderHistory[status],$D$11,0)),MATCH(ROW(orderHistory[customer]),ROW(orderHistory[customer])),""),ROWS($A$15:A61)+$B$3)),INDEX(orderHistory[payed],SMALL(IF(ISNUMBER(MATCH(orderHistory[customer],$D$9,0)*MATCH(orderHistory[status],$D$11,0)*MATCH(YEAR(orderHistory[payed]),$D$15,0)),MATCH(ROW(orderHistory[customer]),ROW(orderHistory[customer])),""),ROWS($A$15:A61)+$B$3))),IF($D$15="",INDEX(orderHistory[payed],SMALL(IF(ISNUMBER(MATCH(orderHistory[customer],$D$9,0)*MATCH(orderHistory[status],$D$11,0)*MATCH(orderHistory[order_type],$D$13,0)),MATCH(ROW(orderHistory[customer]),ROW(orderHistory[customer])),""),ROWS($A$15:A61)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U56" s="541" t="str">
        <f t="array" ref="U56">IFERROR(IF($D$9="",IF($D$11="",IF($D$13="",IF($D$15="",INDEX(orderHistory[shipping_method],SMALL(MATCH(ROW(orderHistory[customer]),ROW(orderHistory[customer])),ROWS($A$15:A61)+$B$3)),INDEX(orderHistory[shipping_method],SMALL(IF(ISNUMBER(MATCH(YEAR(orderHistory[invoice_date]),$D$15,0)),MATCH(ROW(orderHistory[customer]),ROW(orderHistory[customer])),""),ROWS($A$15:A61)+$B$3))),IF($D$15="",INDEX(orderHistory[shipping_method],SMALL(IF(ISNUMBER(MATCH(orderHistory[order_type],$D$13,0)),MATCH(ROW(orderHistory[customer]),ROW(orderHistory[customer])),""),ROWS($A$15:A61)+$B$3)),INDEX(orderHistory[shipping_method],SMALL(IF(ISNUMBER(MATCH(orderHistory[order_type],$D$13,0)*MATCH(YEAR(orderHistory[invoice_date]),$D$15,0)),MATCH(ROW(orderHistory[customer]),ROW(orderHistory[customer])),""),ROWS($A$15:A61)+$B$3)))),IF($D$13="",IF($D$15="",INDEX(orderHistory[shipping_method],SMALL(IF(ISNUMBER(MATCH(orderHistory[status],$D$11,0)),MATCH(ROW(orderHistory[customer]),ROW(orderHistory[customer])),""),ROWS($A$15:A61)+$B$3)),INDEX(orderHistory[shipping_method],SMALL(IF(ISNUMBER(MATCH(orderHistory[status],$D$11,0)*MATCH(YEAR(orderHistory[invoice_date]),$D$15,0)),MATCH(ROW(orderHistory[customer]),ROW(orderHistory[customer])),""),ROWS($A$15:A61)+$B$3))),IF($D$15="",INDEX(orderHistory[shipping_method],SMALL(IF(ISNUMBER(MATCH(orderHistory[status],$D$11,0)*MATCH(orderHistory[order_type],$D$13,0)),MATCH(ROW(orderHistory[customer]),ROW(orderHistory[customer])),""),ROWS($A$15:A61)+$B$3)),INDEX(orderHistory[shipping_method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shipping_method],SMALL(IF(ISNUMBER(MATCH(orderHistory[customer],$D$9,0)),MATCH(ROW(orderHistory[customer]),ROW(orderHistory[customer])),""),ROWS($A$15:A61)+$B$3)),INDEX(orderHistory[shipping_method],SMALL(IF(ISNUMBER(MATCH(orderHistory[customer],$D$9,0)*MATCH(YEAR(orderHistory[invoice_date]),$D$15,0)),MATCH(ROW(orderHistory[customer]),ROW(orderHistory[customer])),""),ROWS($A$15:A61)+$B$3))),IF($D$15="",INDEX(orderHistory[shipping_method],SMALL(IF(ISNUMBER(MATCH(orderHistory[customer],$D$9,0)*MATCH(orderHistory[order_type],$D$13,0)),MATCH(ROW(orderHistory[customer]),ROW(orderHistory[customer])),""),ROWS($A$15:A61)+$B$3)),INDEX(orderHistory[shipping_method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shipping_method],SMALL(IF(ISNUMBER(MATCH(orderHistory[customer],$D$9,0)*MATCH(orderHistory[status],$D$11,0)),MATCH(ROW(orderHistory[customer]),ROW(orderHistory[customer])),""),ROWS($A$15:A61)+$B$3)),INDEX(orderHistory[shipping_method],SMALL(IF(ISNUMBER(MATCH(orderHistory[customer],$D$9,0)*MATCH(orderHistory[status],$D$11,0)*MATCH(YEAR(orderHistory[shipping_method]),$D$15,0)),MATCH(ROW(orderHistory[customer]),ROW(orderHistory[customer])),""),ROWS($A$15:A61)+$B$3))),IF($D$15="",INDEX(orderHistory[shipping_method],SMALL(IF(ISNUMBER(MATCH(orderHistory[customer],$D$9,0)*MATCH(orderHistory[status],$D$11,0)*MATCH(orderHistory[order_type],$D$13,0)),MATCH(ROW(orderHistory[customer]),ROW(orderHistory[customer])),""),ROWS($A$15:A61)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V56" s="548" t="str">
        <f t="array" ref="V56">IFERROR(IF($D$9="",IF($D$11="",IF($D$13="",IF($D$15="",INDEX(orderHistory[status],SMALL(MATCH(ROW(orderHistory[customer]),ROW(orderHistory[customer])),ROWS($A$15:A61)+$B$3)),INDEX(orderHistory[status],SMALL(IF(ISNUMBER(MATCH(YEAR(orderHistory[invoice_date]),$D$15,0)),MATCH(ROW(orderHistory[customer]),ROW(orderHistory[customer])),""),ROWS($A$15:A61)+$B$3))),IF($D$15="",INDEX(orderHistory[status],SMALL(IF(ISNUMBER(MATCH(orderHistory[order_type],$D$13,0)),MATCH(ROW(orderHistory[customer]),ROW(orderHistory[customer])),""),ROWS($A$15:A61)+$B$3)),INDEX(orderHistory[status],SMALL(IF(ISNUMBER(MATCH(orderHistory[order_type],$D$13,0)*MATCH(YEAR(orderHistory[invoice_date]),$D$15,0)),MATCH(ROW(orderHistory[customer]),ROW(orderHistory[customer])),""),ROWS($A$15:A61)+$B$3)))),IF($D$13="",IF($D$15="",INDEX(orderHistory[status],SMALL(IF(ISNUMBER(MATCH(orderHistory[status],$D$11,0)),MATCH(ROW(orderHistory[customer]),ROW(orderHistory[customer])),""),ROWS($A$15:A61)+$B$3)),INDEX(orderHistory[status],SMALL(IF(ISNUMBER(MATCH(orderHistory[status],$D$11,0)*MATCH(YEAR(orderHistory[invoice_date]),$D$15,0)),MATCH(ROW(orderHistory[customer]),ROW(orderHistory[customer])),""),ROWS($A$15:A61)+$B$3))),IF($D$15="",INDEX(orderHistory[status],SMALL(IF(ISNUMBER(MATCH(orderHistory[status],$D$11,0)*MATCH(orderHistory[order_type],$D$13,0)),MATCH(ROW(orderHistory[customer]),ROW(orderHistory[customer])),""),ROWS($A$15:A61)+$B$3)),INDEX(orderHistory[status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status],SMALL(IF(ISNUMBER(MATCH(orderHistory[customer],$D$9,0)),MATCH(ROW(orderHistory[customer]),ROW(orderHistory[customer])),""),ROWS($A$15:A61)+$B$3)),INDEX(orderHistory[status],SMALL(IF(ISNUMBER(MATCH(orderHistory[customer],$D$9,0)*MATCH(YEAR(orderHistory[invoice_date]),$D$15,0)),MATCH(ROW(orderHistory[customer]),ROW(orderHistory[customer])),""),ROWS($A$15:A61)+$B$3))),IF($D$15="",INDEX(orderHistory[status],SMALL(IF(ISNUMBER(MATCH(orderHistory[customer],$D$9,0)*MATCH(orderHistory[order_type],$D$13,0)),MATCH(ROW(orderHistory[customer]),ROW(orderHistory[customer])),""),ROWS($A$15:A61)+$B$3)),INDEX(orderHistory[status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status],SMALL(IF(ISNUMBER(MATCH(orderHistory[customer],$D$9,0)*MATCH(orderHistory[status],$D$11,0)),MATCH(ROW(orderHistory[customer]),ROW(orderHistory[customer])),""),ROWS($A$15:A61)+$B$3)),INDEX(orderHistory[status],SMALL(IF(ISNUMBER(MATCH(orderHistory[customer],$D$9,0)*MATCH(orderHistory[status],$D$11,0)*MATCH(YEAR(orderHistory[status]),$D$15,0)),MATCH(ROW(orderHistory[customer]),ROW(orderHistory[customer])),""),ROWS($A$15:A61)+$B$3))),IF($D$15="",INDEX(orderHistory[status],SMALL(IF(ISNUMBER(MATCH(orderHistory[customer],$D$9,0)*MATCH(orderHistory[status],$D$11,0)*MATCH(orderHistory[order_type],$D$13,0)),MATCH(ROW(orderHistory[customer]),ROW(orderHistory[customer])),""),ROWS($A$15:A61)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W56" s="107"/>
      <c r="AQ56" s="432"/>
      <c r="AR56" s="432" t="s">
        <v>622</v>
      </c>
      <c r="BG56" s="296"/>
      <c r="BK56" s="450"/>
      <c r="BL56" s="451"/>
      <c r="BM56" s="452"/>
      <c r="BN56" s="451"/>
      <c r="BO56" s="452"/>
      <c r="BZ56" s="168"/>
      <c r="CA56" s="154" t="str">
        <f>IF(BZ56="","",INDEX(bhpc_data[description],MATCH(BZ56,bhpc_data[sku],0)))</f>
        <v/>
      </c>
      <c r="CB56" s="159"/>
      <c r="CC56" s="357"/>
      <c r="CD56" s="160"/>
      <c r="CE56" s="360"/>
      <c r="CF56" s="161"/>
      <c r="CG56" s="164" t="str">
        <f>IFERROR(ROUNDUP(CB56/INDEX(bhpc_data[units_per_carton],MATCH(BZ56,bhpc_data[sku],0)),0),"")</f>
        <v/>
      </c>
      <c r="CH56" s="165" t="str">
        <f>IFERROR(ROUNDUP(CD56/INDEX(bhpc_data[units_per_carton],MATCH(BZ56,bhpc_data[sku],0)),0),"")</f>
        <v/>
      </c>
      <c r="CI56" s="165" t="str">
        <f>IFERROR(ROUNDUP(CF56/INDEX(bhpc_data[units_per_carton],MATCH(BZ56,bhpc_data[sku])),0),"")</f>
        <v/>
      </c>
      <c r="CJ56" s="165" t="str">
        <f>IFERROR(((CB56+CD56+CF56)/INDEX(bhpc_data[units_per_carton],MATCH(BZ56,bhpc_data[sku],0)))*INDEX(bhpc_data[net_weight],MATCH(BZ56,bhpc_data[sku],0)),"")</f>
        <v/>
      </c>
      <c r="CK56" s="165" t="str">
        <f>IFERROR(((CB56+CD56+CF56)/INDEX(bhpc_data[units_per_carton],MATCH(BZ56,bhpc_data[sku],0)))*INDEX(bhpc_data[gross_weight],MATCH(BZ56,bhpc_data[sku],0)),"")</f>
        <v/>
      </c>
      <c r="CL56" s="180" t="str">
        <f>IFERROR((CB56+CD56+CF56)/INDEX(bhpc_data[units_per_carton],MATCH(BZ56,bhpc_data[sku],0))*INDEX(bhpc_data[lenght],MATCH(BZ56,bhpc_data[sku],0))*INDEX(bhpc_data[width],MATCH(BZ56,bhpc_data[sku],0))*INDEX(bhpc_data[height],MATCH(BZ56,bhpc_data[sku],0))/1000000000,"")</f>
        <v/>
      </c>
      <c r="CM56" s="189" t="str">
        <f>IFERROR(INDEX(bhpc_data[category],MATCH(BZ56,bhpc_data[sku],0)),"")</f>
        <v/>
      </c>
      <c r="CN56" s="189" t="str">
        <f>IFERROR(INDEX(bhpc_data[size1],MATCH(BZ56,bhpc_data[sku],0)),"")</f>
        <v/>
      </c>
      <c r="CO56" s="388" t="str">
        <f>IFERROR(INDEX(bhpc_data[hs_code],MATCH(BZ56,bhpc_data[sku],0)),"")</f>
        <v/>
      </c>
      <c r="CP56" s="377" t="str">
        <f>IFERROR(INDEX(inventory[ESISTENZA],MATCH(BZ56,inventory[ARTICOLO],0)),"")</f>
        <v/>
      </c>
      <c r="CQ56" s="364" t="str">
        <f>IFERROR(IF(BZ56="","",IF($BX$15="SALE",INDEX(inventory[COSTO UNITARIO],MATCH(BZ56,inventory[ARTICOLO],0)),IF($BX$15="SAMPLING",INDEX(inventory[COSTO UNITARIO],MATCH(BZ56,inventory[ARTICOLO],0)),""))),"")</f>
        <v/>
      </c>
      <c r="CR56" s="365" t="str">
        <f t="shared" si="3"/>
        <v/>
      </c>
      <c r="CS56" s="264" t="str">
        <f t="shared" si="4"/>
        <v/>
      </c>
      <c r="CU56" s="432"/>
      <c r="CV56" s="432"/>
      <c r="CW56" s="432"/>
      <c r="CX56" s="432"/>
      <c r="CY56" s="432"/>
      <c r="CZ56" s="432"/>
      <c r="DA56" s="432" t="str">
        <f>IFERROR(VLOOKUP(BZ56,bhpc_data[],22,FALSE),"")</f>
        <v/>
      </c>
      <c r="EE56" s="202" t="str" cm="1">
        <f t="array" ref="EE56">IFERROR(IF($EC$9="",IF($EC$11="",IF($EC$13="",INDEX(bhpc_data[sku],SMALL(MATCH(ROW(bhpc_data[sku]),ROW(bhpc_data[sku])),ROWS($A$15:A61)+$B$3)),INDEX(bhpc_data[sku],SMALL(IF(ISNUMBER(MATCH(bhpc_data[size1],$EC$13,0)),MATCH(ROW(bhpc_data[sku]),ROW(bhpc_data[sku])),""),ROWS($A$15:A61)+$B$3))),IF($EC$13="",INDEX(bhpc_data[sku],SMALL(IF(ISNUMBER(MATCH(bhpc_data[sex],$EC$11,0)),MATCH(ROW(bhpc_data[sku]),ROW(bhpc_data[sku])),""),ROWS($A$15:A61)+$B$3)),INDEX(bhpc_data[sku],SMALL(IF(ISNUMBER(MATCH(bhpc_data[sex],$EC$11,0)*MATCH(bhpc_data[size1],$EC$13,0)),MATCH(ROW(bhpc_data[sku]),ROW(bhpc_data[sku])),""),ROWS($A$15:A61)+$B$3)))),IF($EC$11="",IF($EC$13="",INDEX(bhpc_data[sku],SMALL(IF(ISNUMBER(MATCH(bhpc_data[category],$EC$9,0)),MATCH(ROW(bhpc_data[sku]),ROW(bhpc_data[sku])),""),ROWS($A$15:A61)+$B$3)),INDEX(bhpc_data[sku],SMALL(IF(ISNUMBER(MATCH(bhpc_data[category],$EC$9,0)*MATCH(bhpc_data[size1],$EC$13,0)),MATCH(ROW(bhpc_data[sku]),ROW(bhpc_data[sku])),""),ROWS($A$15:A61)+$B$3))),IF($EC$13="",INDEX(bhpc_data[sku],SMALL(IF(ISNUMBER(MATCH(bhpc_data[category],$EC$9,0)*MATCH(bhpc_data[sex],$EC$11,0)),MATCH(ROW(bhpc_data[sku]),ROW(bhpc_data[sku])),""),ROWS($A$15:A61)+$B$3)),INDEX(bhpc_data[sku],SMALL(IF(ISNUMBER(MATCH(bhpc_data[category],$EC$9,0)*MATCH(bhpc_data[sex],$EC$11,0)*MATCH(bhpc_data[size1],$EC$13,0)),MATCH(ROW(bhpc_data[sku]),ROW(bhpc_data[sku])),""),ROWS($A$15:A61)+$B$3))))),"")</f>
        <v>P05024</v>
      </c>
      <c r="EF56" s="198" t="str" cm="1">
        <f t="array" ref="EF56">IFERROR(IF($EC$9="",IF($EC$11="",IF($EC$13="",INDEX(bhpc_data[description],SMALL(MATCH(ROW(bhpc_data[sku]),ROW(bhpc_data[sku])),ROWS($A$15:A61)+$B$3)),INDEX(bhpc_data[description],SMALL(IF(ISNUMBER(MATCH(bhpc_data[size1],$EC$13,0)),MATCH(ROW(bhpc_data[sku]),ROW(bhpc_data[sku])),""),ROWS($A$15:A61)+$B$3))),IF($EC$13="",INDEX(bhpc_data[description],SMALL(IF(ISNUMBER(MATCH(bhpc_data[sex],$EC$11,0)),MATCH(ROW(bhpc_data[sku]),ROW(bhpc_data[sku])),""),ROWS($A$15:A61)+$B$3)),INDEX(bhpc_data[description],SMALL(IF(ISNUMBER(MATCH(bhpc_data[sex],$EC$11,0)*MATCH(bhpc_data[size1],$EC$13,0)),MATCH(ROW(bhpc_data[sku]),ROW(bhpc_data[sku])),""),ROWS($A$15:A61)+$B$3)))),IF($EC$11="",IF($EC$13="",INDEX(bhpc_data[description],SMALL(IF(ISNUMBER(MATCH(bhpc_data[category],$EC$9,0)),MATCH(ROW(bhpc_data[sku]),ROW(bhpc_data[sku])),""),ROWS($A$15:A61)+$B$3)),INDEX(bhpc_data[description],SMALL(IF(ISNUMBER(MATCH(bhpc_data[category],$EC$9,0)*MATCH(bhpc_data[size1],$EC$13,0)),MATCH(ROW(bhpc_data[sku]),ROW(bhpc_data[sku])),""),ROWS($A$15:A61)+$B$3))),IF($EC$13="",INDEX(bhpc_data[description],SMALL(IF(ISNUMBER(MATCH(bhpc_data[category],$EC$9,0)*MATCH(bhpc_data[sex],$EC$11,0)),MATCH(ROW(bhpc_data[sku]),ROW(bhpc_data[sku])),""),ROWS($A$15:A61)+$B$3)),INDEX(bhpc_data[description],SMALL(IF(ISNUMBER(MATCH(bhpc_data[category],$EC$9,0)*MATCH(bhpc_data[sex],$EC$11,0)*MATCH(bhpc_data[size1],$EC$13,0)),MATCH(ROW(bhpc_data[sku]),ROW(bhpc_data[sku])),""),ROWS($A$15:A61)+$B$3))))),"")</f>
        <v>BHPC WOMEN 1 DEO 150ML</v>
      </c>
      <c r="EG56" s="263">
        <f>IFERROR(IF(warehouse[[#This Row],[SKU]]="","",INDEX(inventory[ESISTENZA],MATCH(warehouse[[#This Row],[SKU]],inventory[ARTICOLO],0))),"")</f>
        <v>19498</v>
      </c>
      <c r="EH56" s="328"/>
      <c r="EI56" s="328"/>
      <c r="EJ56" s="263"/>
      <c r="EK56" s="329"/>
      <c r="EO56" s="296" t="str">
        <f t="array" ref="EO56">IFERROR(INDEX(orderHistory[order_no],SMALL(IF(ISNUMBER(MATCH(orderHistory[status],$EO$7,0)),MATCH(ROW(orderHistory[order_no]),ROW(orderHistory[order_no])),""),ROWS($A$15:A61))),"")</f>
        <v/>
      </c>
    </row>
    <row r="57" spans="10:145" ht="15" customHeight="1" x14ac:dyDescent="0.35">
      <c r="L57" s="539" t="str">
        <f t="array" ref="L57">IFERROR(IF($D$9="",IF($D$11="",IF($D$13="",IF($D$15="",INDEX(orderHistory[customer],SMALL(MATCH(ROW(orderHistory[customer]),ROW(orderHistory[customer])),ROWS($A$15:A62)+$B$3)),INDEX(orderHistory[customer],SMALL(IF(ISNUMBER(MATCH(YEAR(orderHistory[invoice_date]),$D$15,0)),MATCH(ROW(orderHistory[customer]),ROW(orderHistory[customer])),""),ROWS($A$15:A62)+$B$3))),IF($D$15="",INDEX(orderHistory[customer],SMALL(IF(ISNUMBER(MATCH(orderHistory[order_type],$D$13,0)),MATCH(ROW(orderHistory[customer]),ROW(orderHistory[customer])),""),ROWS($A$15:A62)+$B$3)),INDEX(orderHistory[customer],SMALL(IF(ISNUMBER(MATCH(orderHistory[order_type],$D$13,0)*MATCH(YEAR(orderHistory[invoice_date]),$D$15,0)),MATCH(ROW(orderHistory[customer]),ROW(orderHistory[customer])),""),ROWS($A$15:A62)+$B$3)))),IF($D$13="",IF($D$15="",INDEX(orderHistory[customer],SMALL(IF(ISNUMBER(MATCH(orderHistory[status],$D$11,0)),MATCH(ROW(orderHistory[customer]),ROW(orderHistory[customer])),""),ROWS($A$15:A62)+$B$3)),INDEX(orderHistory[customer],SMALL(IF(ISNUMBER(MATCH(orderHistory[status],$D$11,0)*MATCH(YEAR(orderHistory[invoice_date]),$D$15,0)),MATCH(ROW(orderHistory[customer]),ROW(orderHistory[customer])),""),ROWS($A$15:A62)+$B$3))),IF($D$15="",INDEX(orderHistory[customer],SMALL(IF(ISNUMBER(MATCH(orderHistory[status],$D$11,0)*MATCH(orderHistory[order_type],$D$13,0)),MATCH(ROW(orderHistory[customer]),ROW(orderHistory[customer])),""),ROWS($A$15:A62)+$B$3)),INDEX(orderHistory[customer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customer],SMALL(IF(ISNUMBER(MATCH(orderHistory[customer],$D$9,0)),MATCH(ROW(orderHistory[customer]),ROW(orderHistory[customer])),""),ROWS($A$15:A62)+$B$3)),INDEX(orderHistory[customer],SMALL(IF(ISNUMBER(MATCH(orderHistory[customer],$D$9,0)*MATCH(YEAR(orderHistory[invoice_date]),$D$15,0)),MATCH(ROW(orderHistory[customer]),ROW(orderHistory[customer])),""),ROWS($A$15:A62)+$B$3))),IF($D$15="",INDEX(orderHistory[customer],SMALL(IF(ISNUMBER(MATCH(orderHistory[customer],$D$9,0)*MATCH(orderHistory[order_type],$D$13,0)),MATCH(ROW(orderHistory[customer]),ROW(orderHistory[customer])),""),ROWS($A$15:A62)+$B$3)),INDEX(orderHistory[customer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customer],SMALL(IF(ISNUMBER(MATCH(orderHistory[customer],$D$9,0)*MATCH(orderHistory[status],$D$11,0)),MATCH(ROW(orderHistory[customer]),ROW(orderHistory[customer])),""),ROWS($A$15:A62)+$B$3)),INDEX(orderHistory[customer],SMALL(IF(ISNUMBER(MATCH(orderHistory[customer],$D$9,0)*MATCH(orderHistory[status],$D$11,0)*MATCH(YEAR(orderHistory[invoice_date]),$D$15,0)),MATCH(ROW(orderHistory[customer]),ROW(orderHistory[customer])),""),ROWS($A$15:A62)+$B$3))),IF($D$15="",INDEX(orderHistory[customer],SMALL(IF(ISNUMBER(MATCH(orderHistory[customer],$D$9,0)*MATCH(orderHistory[status],$D$11,0)*MATCH(orderHistory[order_type],$D$13,0)),MATCH(ROW(orderHistory[customer]),ROW(orderHistory[customer])),""),ROWS($A$15:A62)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M57" s="540" t="str">
        <f t="array" ref="M57">IFERROR(IF($D$9="",IF($D$11="",IF($D$13="",IF($D$15="",INDEX(orderHistory[order_no],SMALL(MATCH(ROW(orderHistory[customer]),ROW(orderHistory[customer])),ROWS($A$15:A62)+$B$3)),INDEX(orderHistory[order_no],SMALL(IF(ISNUMBER(MATCH(YEAR(orderHistory[invoice_date]),$D$15,0)),MATCH(ROW(orderHistory[customer]),ROW(orderHistory[customer])),""),ROWS($A$15:A62)+$B$3))),IF($D$15="",INDEX(orderHistory[order_no],SMALL(IF(ISNUMBER(MATCH(orderHistory[order_type],$D$13,0)),MATCH(ROW(orderHistory[customer]),ROW(orderHistory[customer])),""),ROWS($A$15:A62)+$B$3)),INDEX(orderHistory[order_no],SMALL(IF(ISNUMBER(MATCH(orderHistory[order_type],$D$13,0)*MATCH(YEAR(orderHistory[invoice_date]),$D$15,0)),MATCH(ROW(orderHistory[customer]),ROW(orderHistory[customer])),""),ROWS($A$15:A62)+$B$3)))),IF($D$13="",IF($D$15="",INDEX(orderHistory[order_no],SMALL(IF(ISNUMBER(MATCH(orderHistory[status],$D$11,0)),MATCH(ROW(orderHistory[customer]),ROW(orderHistory[customer])),""),ROWS($A$15:A62)+$B$3)),INDEX(orderHistory[order_no],SMALL(IF(ISNUMBER(MATCH(orderHistory[status],$D$11,0)*MATCH(YEAR(orderHistory[invoice_date]),$D$15,0)),MATCH(ROW(orderHistory[customer]),ROW(orderHistory[customer])),""),ROWS($A$15:A62)+$B$3))),IF($D$15="",INDEX(orderHistory[order_no],SMALL(IF(ISNUMBER(MATCH(orderHistory[status],$D$11,0)*MATCH(orderHistory[order_type],$D$13,0)),MATCH(ROW(orderHistory[customer]),ROW(orderHistory[customer])),""),ROWS($A$15:A62)+$B$3)),INDEX(orderHistory[order_no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no],SMALL(IF(ISNUMBER(MATCH(orderHistory[customer],$D$9,0)),MATCH(ROW(orderHistory[customer]),ROW(orderHistory[customer])),""),ROWS($A$15:A62)+$B$3)),INDEX(orderHistory[order_no],SMALL(IF(ISNUMBER(MATCH(orderHistory[customer],$D$9,0)*MATCH(YEAR(orderHistory[invoice_date]),$D$15,0)),MATCH(ROW(orderHistory[customer]),ROW(orderHistory[customer])),""),ROWS($A$15:A62)+$B$3))),IF($D$15="",INDEX(orderHistory[order_no],SMALL(IF(ISNUMBER(MATCH(orderHistory[customer],$D$9,0)*MATCH(orderHistory[order_type],$D$13,0)),MATCH(ROW(orderHistory[customer]),ROW(orderHistory[customer])),""),ROWS($A$15:A62)+$B$3)),INDEX(orderHistory[order_no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no],SMALL(IF(ISNUMBER(MATCH(orderHistory[customer],$D$9,0)*MATCH(orderHistory[status],$D$11,0)),MATCH(ROW(orderHistory[customer]),ROW(orderHistory[customer])),""),ROWS($A$15:A62)+$B$3)),INDEX(orderHistory[order_no],SMALL(IF(ISNUMBER(MATCH(orderHistory[customer],$D$9,0)*MATCH(orderHistory[status],$D$11,0)*MATCH(YEAR(orderHistory[invoice_date]),$D$15,0)),MATCH(ROW(orderHistory[customer]),ROW(orderHistory[customer])),""),ROWS($A$15:A62)+$B$3))),IF($D$15="",INDEX(orderHistory[order_no],SMALL(IF(ISNUMBER(MATCH(orderHistory[customer],$D$9,0)*MATCH(orderHistory[status],$D$11,0)*MATCH(orderHistory[order_type],$D$13,0)),MATCH(ROW(orderHistory[customer]),ROW(orderHistory[customer])),""),ROWS($A$15:A62)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N57" s="541" t="str">
        <f t="array" ref="N57">IFERROR(IF($D$9="",IF($D$11="",IF($D$13="",IF($D$15="",INDEX(orderHistory[order_type],SMALL(MATCH(ROW(orderHistory[customer]),ROW(orderHistory[customer])),ROWS($A$15:A62)+$B$3)),INDEX(orderHistory[order_type],SMALL(IF(ISNUMBER(MATCH(YEAR(orderHistory[invoice_date]),$D$15,0)),MATCH(ROW(orderHistory[customer]),ROW(orderHistory[customer])),""),ROWS($A$15:A62)+$B$3))),IF($D$15="",INDEX(orderHistory[order_type],SMALL(IF(ISNUMBER(MATCH(orderHistory[order_type],$D$13,0)),MATCH(ROW(orderHistory[customer]),ROW(orderHistory[customer])),""),ROWS($A$15:A62)+$B$3)),INDEX(orderHistory[order_type],SMALL(IF(ISNUMBER(MATCH(orderHistory[order_type],$D$13,0)*MATCH(YEAR(orderHistory[invoice_date]),$D$15,0)),MATCH(ROW(orderHistory[customer]),ROW(orderHistory[customer])),""),ROWS($A$15:A62)+$B$3)))),IF($D$13="",IF($D$15="",INDEX(orderHistory[order_type],SMALL(IF(ISNUMBER(MATCH(orderHistory[status],$D$11,0)),MATCH(ROW(orderHistory[customer]),ROW(orderHistory[customer])),""),ROWS($A$15:A62)+$B$3)),INDEX(orderHistory[order_type],SMALL(IF(ISNUMBER(MATCH(orderHistory[status],$D$11,0)*MATCH(YEAR(orderHistory[invoice_date]),$D$15,0)),MATCH(ROW(orderHistory[customer]),ROW(orderHistory[customer])),""),ROWS($A$15:A62)+$B$3))),IF($D$15="",INDEX(orderHistory[order_type],SMALL(IF(ISNUMBER(MATCH(orderHistory[status],$D$11,0)*MATCH(orderHistory[order_type],$D$13,0)),MATCH(ROW(orderHistory[customer]),ROW(orderHistory[customer])),""),ROWS($A$15:A62)+$B$3)),INDEX(orderHistory[order_typ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type],SMALL(IF(ISNUMBER(MATCH(orderHistory[customer],$D$9,0)),MATCH(ROW(orderHistory[customer]),ROW(orderHistory[customer])),""),ROWS($A$15:A62)+$B$3)),INDEX(orderHistory[order_type],SMALL(IF(ISNUMBER(MATCH(orderHistory[customer],$D$9,0)*MATCH(YEAR(orderHistory[invoice_date]),$D$15,0)),MATCH(ROW(orderHistory[customer]),ROW(orderHistory[customer])),""),ROWS($A$15:A62)+$B$3))),IF($D$15="",INDEX(orderHistory[order_type],SMALL(IF(ISNUMBER(MATCH(orderHistory[customer],$D$9,0)*MATCH(orderHistory[order_type],$D$13,0)),MATCH(ROW(orderHistory[customer]),ROW(orderHistory[customer])),""),ROWS($A$15:A62)+$B$3)),INDEX(orderHistory[order_typ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type],SMALL(IF(ISNUMBER(MATCH(orderHistory[customer],$D$9,0)*MATCH(orderHistory[status],$D$11,0)),MATCH(ROW(orderHistory[customer]),ROW(orderHistory[customer])),""),ROWS($A$15:A62)+$B$3)),INDEX(orderHistory[order_type],SMALL(IF(ISNUMBER(MATCH(orderHistory[customer],$D$9,0)*MATCH(orderHistory[status],$D$11,0)*MATCH(YEAR(orderHistory[invoice_date]),$D$15,0)),MATCH(ROW(orderHistory[customer]),ROW(orderHistory[customer])),""),ROWS($A$15:A62)+$B$3))),IF($D$15="",INDEX(orderHistory[order_type],SMALL(IF(ISNUMBER(MATCH(orderHistory[customer],$D$9,0)*MATCH(orderHistory[status],$D$11,0)*MATCH(orderHistory[order_type],$D$13,0)),MATCH(ROW(orderHistory[customer]),ROW(orderHistory[customer])),""),ROWS($A$15:A62)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O57" s="542" t="str">
        <f t="array" ref="O57">IFERROR(IF($D$9="",IF($D$11="",IF($D$13="",IF($D$15="",INDEX(orderHistory[order_date],SMALL(MATCH(ROW(orderHistory[customer]),ROW(orderHistory[customer])),ROWS($A$15:A62)+$B$3)),INDEX(orderHistory[order_date],SMALL(IF(ISNUMBER(MATCH(YEAR(orderHistory[invoice_date]),$D$15,0)),MATCH(ROW(orderHistory[customer]),ROW(orderHistory[customer])),""),ROWS($A$15:A62)+$B$3))),IF($D$15="",INDEX(orderHistory[order_date],SMALL(IF(ISNUMBER(MATCH(orderHistory[order_type],$D$13,0)),MATCH(ROW(orderHistory[customer]),ROW(orderHistory[customer])),""),ROWS($A$15:A62)+$B$3)),INDEX(orderHistory[order_date],SMALL(IF(ISNUMBER(MATCH(orderHistory[order_type],$D$13,0)*MATCH(YEAR(orderHistory[invoice_date]),$D$15,0)),MATCH(ROW(orderHistory[customer]),ROW(orderHistory[customer])),""),ROWS($A$15:A62)+$B$3)))),IF($D$13="",IF($D$15="",INDEX(orderHistory[order_date],SMALL(IF(ISNUMBER(MATCH(orderHistory[status],$D$11,0)),MATCH(ROW(orderHistory[customer]),ROW(orderHistory[customer])),""),ROWS($A$15:A62)+$B$3)),INDEX(orderHistory[order_date],SMALL(IF(ISNUMBER(MATCH(orderHistory[status],$D$11,0)*MATCH(YEAR(orderHistory[invoice_date]),$D$15,0)),MATCH(ROW(orderHistory[customer]),ROW(orderHistory[customer])),""),ROWS($A$15:A62)+$B$3))),IF($D$15="",INDEX(orderHistory[order_date],SMALL(IF(ISNUMBER(MATCH(orderHistory[status],$D$11,0)*MATCH(orderHistory[order_type],$D$13,0)),MATCH(ROW(orderHistory[customer]),ROW(orderHistory[customer])),""),ROWS($A$15:A62)+$B$3)),INDEX(orderHistory[order_dat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date],SMALL(IF(ISNUMBER(MATCH(orderHistory[customer],$D$9,0)),MATCH(ROW(orderHistory[customer]),ROW(orderHistory[customer])),""),ROWS($A$15:A62)+$B$3)),INDEX(orderHistory[order_date],SMALL(IF(ISNUMBER(MATCH(orderHistory[customer],$D$9,0)*MATCH(YEAR(orderHistory[invoice_date]),$D$15,0)),MATCH(ROW(orderHistory[customer]),ROW(orderHistory[customer])),""),ROWS($A$15:A62)+$B$3))),IF($D$15="",INDEX(orderHistory[order_date],SMALL(IF(ISNUMBER(MATCH(orderHistory[customer],$D$9,0)*MATCH(orderHistory[order_type],$D$13,0)),MATCH(ROW(orderHistory[customer]),ROW(orderHistory[customer])),""),ROWS($A$15:A62)+$B$3)),INDEX(orderHistory[order_dat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date],SMALL(IF(ISNUMBER(MATCH(orderHistory[customer],$D$9,0)*MATCH(orderHistory[status],$D$11,0)),MATCH(ROW(orderHistory[customer]),ROW(orderHistory[customer])),""),ROWS($A$15:A62)+$B$3)),INDEX(orderHistory[order_date],SMALL(IF(ISNUMBER(MATCH(orderHistory[customer],$D$9,0)*MATCH(orderHistory[status],$D$11,0)*MATCH(YEAR(orderHistory[invoice_date]),$D$15,0)),MATCH(ROW(orderHistory[customer]),ROW(orderHistory[customer])),""),ROWS($A$15:A62)+$B$3))),IF($D$15="",INDEX(orderHistory[order_date],SMALL(IF(ISNUMBER(MATCH(orderHistory[customer],$D$9,0)*MATCH(orderHistory[status],$D$11,0)*MATCH(orderHistory[order_type],$D$13,0)),MATCH(ROW(orderHistory[customer]),ROW(orderHistory[customer])),""),ROWS($A$15:A62)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P57" s="543" t="str">
        <f t="array" ref="P57">IFERROR(IF($D$9="",IF($D$11="",IF($D$13="",IF($D$15="",INDEX(orderHistory[invoice_no],SMALL(MATCH(ROW(orderHistory[customer]),ROW(orderHistory[customer])),ROWS($A$15:A62)+$B$3)),INDEX(orderHistory[invoice_no],SMALL(IF(ISNUMBER(MATCH(YEAR(orderHistory[invoice_date]),$D$15,0)),MATCH(ROW(orderHistory[customer]),ROW(orderHistory[customer])),""),ROWS($A$15:A62)+$B$3))),IF($D$15="",INDEX(orderHistory[invoice_no],SMALL(IF(ISNUMBER(MATCH(orderHistory[order_type],$D$13,0)),MATCH(ROW(orderHistory[customer]),ROW(orderHistory[customer])),""),ROWS($A$15:A62)+$B$3)),INDEX(orderHistory[invoice_no],SMALL(IF(ISNUMBER(MATCH(orderHistory[order_type],$D$13,0)*MATCH(YEAR(orderHistory[invoice_date]),$D$15,0)),MATCH(ROW(orderHistory[customer]),ROW(orderHistory[customer])),""),ROWS($A$15:A62)+$B$3)))),IF($D$13="",IF($D$15="",INDEX(orderHistory[invoice_no],SMALL(IF(ISNUMBER(MATCH(orderHistory[status],$D$11,0)),MATCH(ROW(orderHistory[customer]),ROW(orderHistory[customer])),""),ROWS($A$15:A62)+$B$3)),INDEX(orderHistory[invoice_no],SMALL(IF(ISNUMBER(MATCH(orderHistory[status],$D$11,0)*MATCH(YEAR(orderHistory[invoice_date]),$D$15,0)),MATCH(ROW(orderHistory[customer]),ROW(orderHistory[customer])),""),ROWS($A$15:A62)+$B$3))),IF($D$15="",INDEX(orderHistory[invoice_no],SMALL(IF(ISNUMBER(MATCH(orderHistory[status],$D$11,0)*MATCH(orderHistory[order_type],$D$13,0)),MATCH(ROW(orderHistory[customer]),ROW(orderHistory[customer])),""),ROWS($A$15:A62)+$B$3)),INDEX(orderHistory[invoice_no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oice_no],SMALL(IF(ISNUMBER(MATCH(orderHistory[customer],$D$9,0)),MATCH(ROW(orderHistory[customer]),ROW(orderHistory[customer])),""),ROWS($A$15:A62)+$B$3)),INDEX(orderHistory[invoice_no],SMALL(IF(ISNUMBER(MATCH(orderHistory[customer],$D$9,0)*MATCH(YEAR(orderHistory[invoice_date]),$D$15,0)),MATCH(ROW(orderHistory[customer]),ROW(orderHistory[customer])),""),ROWS($A$15:A62)+$B$3))),IF($D$15="",INDEX(orderHistory[invoice_no],SMALL(IF(ISNUMBER(MATCH(orderHistory[customer],$D$9,0)*MATCH(orderHistory[order_type],$D$13,0)),MATCH(ROW(orderHistory[customer]),ROW(orderHistory[customer])),""),ROWS($A$15:A62)+$B$3)),INDEX(orderHistory[invoice_no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oice_no],SMALL(IF(ISNUMBER(MATCH(orderHistory[customer],$D$9,0)*MATCH(orderHistory[status],$D$11,0)),MATCH(ROW(orderHistory[customer]),ROW(orderHistory[customer])),""),ROWS($A$15:A62)+$B$3)),INDEX(orderHistory[invoice_no],SMALL(IF(ISNUMBER(MATCH(orderHistory[customer],$D$9,0)*MATCH(orderHistory[status],$D$11,0)*MATCH(YEAR(orderHistory[invoice_date]),$D$15,0)),MATCH(ROW(orderHistory[customer]),ROW(orderHistory[customer])),""),ROWS($A$15:A62)+$B$3))),IF($D$15="",INDEX(orderHistory[invoice_no],SMALL(IF(ISNUMBER(MATCH(orderHistory[customer],$D$9,0)*MATCH(orderHistory[status],$D$11,0)*MATCH(orderHistory[order_type],$D$13,0)),MATCH(ROW(orderHistory[customer]),ROW(orderHistory[customer])),""),ROWS($A$15:A62)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Q57" s="544" t="str">
        <f t="array" ref="Q57">IFERROR(IF($D$9="",IF($D$11="",IF($D$13="",IF($D$15="",INDEX(orderHistory[invoice_date],SMALL(MATCH(ROW(orderHistory[customer]),ROW(orderHistory[customer])),ROWS($A$15:A62)+$B$3)),INDEX(orderHistory[invoice_date],SMALL(IF(ISNUMBER(MATCH(YEAR(orderHistory[invoice_date]),$D$15,0)),MATCH(ROW(orderHistory[customer]),ROW(orderHistory[customer])),""),ROWS($A$15:A62)+$B$3))),IF($D$15="",INDEX(orderHistory[invoice_date],SMALL(IF(ISNUMBER(MATCH(orderHistory[order_type],$D$13,0)),MATCH(ROW(orderHistory[customer]),ROW(orderHistory[customer])),""),ROWS($A$15:A62)+$B$3)),INDEX(orderHistory[invoice_date],SMALL(IF(ISNUMBER(MATCH(orderHistory[order_type],$D$13,0)*MATCH(YEAR(orderHistory[invoice_date]),$D$15,0)),MATCH(ROW(orderHistory[customer]),ROW(orderHistory[customer])),""),ROWS($A$15:A62)+$B$3)))),IF($D$13="",IF($D$15="",INDEX(orderHistory[invoice_date],SMALL(IF(ISNUMBER(MATCH(orderHistory[status],$D$11,0)),MATCH(ROW(orderHistory[customer]),ROW(orderHistory[customer])),""),ROWS($A$15:A62)+$B$3)),INDEX(orderHistory[invoice_date],SMALL(IF(ISNUMBER(MATCH(orderHistory[status],$D$11,0)*MATCH(YEAR(orderHistory[invoice_date]),$D$15,0)),MATCH(ROW(orderHistory[customer]),ROW(orderHistory[customer])),""),ROWS($A$15:A62)+$B$3))),IF($D$15="",INDEX(orderHistory[invoice_date],SMALL(IF(ISNUMBER(MATCH(orderHistory[status],$D$11,0)*MATCH(orderHistory[order_type],$D$13,0)),MATCH(ROW(orderHistory[customer]),ROW(orderHistory[customer])),""),ROWS($A$15:A62)+$B$3)),INDEX(orderHistory[invoice_dat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oice_date],SMALL(IF(ISNUMBER(MATCH(orderHistory[customer],$D$9,0)),MATCH(ROW(orderHistory[customer]),ROW(orderHistory[customer])),""),ROWS($A$15:A62)+$B$3)),INDEX(orderHistory[invoice_date],SMALL(IF(ISNUMBER(MATCH(orderHistory[customer],$D$9,0)*MATCH(YEAR(orderHistory[invoice_date]),$D$15,0)),MATCH(ROW(orderHistory[customer]),ROW(orderHistory[customer])),""),ROWS($A$15:A62)+$B$3))),IF($D$15="",INDEX(orderHistory[invoice_date],SMALL(IF(ISNUMBER(MATCH(orderHistory[customer],$D$9,0)*MATCH(orderHistory[order_type],$D$13,0)),MATCH(ROW(orderHistory[customer]),ROW(orderHistory[customer])),""),ROWS($A$15:A62)+$B$3)),INDEX(orderHistory[invoice_dat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oice_date],SMALL(IF(ISNUMBER(MATCH(orderHistory[customer],$D$9,0)*MATCH(orderHistory[status],$D$11,0)),MATCH(ROW(orderHistory[customer]),ROW(orderHistory[customer])),""),ROWS($A$15:A62)+$B$3)),INDEX(orderHistory[invoice_date],SMALL(IF(ISNUMBER(MATCH(orderHistory[customer],$D$9,0)*MATCH(orderHistory[status],$D$11,0)*MATCH(YEAR(orderHistory[invoice_date]),$D$15,0)),MATCH(ROW(orderHistory[customer]),ROW(orderHistory[customer])),""),ROWS($A$15:A62)+$B$3))),IF($D$15="",INDEX(orderHistory[invoice_date],SMALL(IF(ISNUMBER(MATCH(orderHistory[customer],$D$9,0)*MATCH(orderHistory[status],$D$11,0)*MATCH(orderHistory[order_type],$D$13,0)),MATCH(ROW(orderHistory[customer]),ROW(orderHistory[customer])),""),ROWS($A$15:A62)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R57" s="545" t="str">
        <f t="array" ref="R57">IFERROR(IF($D$9="",IF($D$11="",IF($D$13="",IF($D$15="",INDEX(orderHistory[inv_amount],SMALL(MATCH(ROW(orderHistory[customer]),ROW(orderHistory[customer])),ROWS($A$15:A62)+$B$3)),INDEX(orderHistory[inv_amount],SMALL(IF(ISNUMBER(MATCH(YEAR(orderHistory[invoice_date]),$D$15,0)),MATCH(ROW(orderHistory[customer]),ROW(orderHistory[customer])),""),ROWS($A$15:A62)+$B$3))),IF($D$15="",INDEX(orderHistory[inv_amount],SMALL(IF(ISNUMBER(MATCH(orderHistory[order_type],$D$13,0)),MATCH(ROW(orderHistory[customer]),ROW(orderHistory[customer])),""),ROWS($A$15:A62)+$B$3)),INDEX(orderHistory[inv_amount],SMALL(IF(ISNUMBER(MATCH(orderHistory[order_type],$D$13,0)*MATCH(YEAR(orderHistory[invoice_date]),$D$15,0)),MATCH(ROW(orderHistory[customer]),ROW(orderHistory[customer])),""),ROWS($A$15:A62)+$B$3)))),IF($D$13="",IF($D$15="",INDEX(orderHistory[inv_amount],SMALL(IF(ISNUMBER(MATCH(orderHistory[status],$D$11,0)),MATCH(ROW(orderHistory[customer]),ROW(orderHistory[customer])),""),ROWS($A$15:A62)+$B$3)),INDEX(orderHistory[inv_amount],SMALL(IF(ISNUMBER(MATCH(orderHistory[status],$D$11,0)*MATCH(YEAR(orderHistory[invoice_date]),$D$15,0)),MATCH(ROW(orderHistory[customer]),ROW(orderHistory[customer])),""),ROWS($A$15:A62)+$B$3))),IF($D$15="",INDEX(orderHistory[inv_amount],SMALL(IF(ISNUMBER(MATCH(orderHistory[status],$D$11,0)*MATCH(orderHistory[order_type],$D$13,0)),MATCH(ROW(orderHistory[customer]),ROW(orderHistory[customer])),""),ROWS($A$15:A62)+$B$3)),INDEX(orderHistory[inv_amount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_amount],SMALL(IF(ISNUMBER(MATCH(orderHistory[customer],$D$9,0)),MATCH(ROW(orderHistory[customer]),ROW(orderHistory[customer])),""),ROWS($A$15:A62)+$B$3)),INDEX(orderHistory[inv_amount],SMALL(IF(ISNUMBER(MATCH(orderHistory[customer],$D$9,0)*MATCH(YEAR(orderHistory[invoice_date]),$D$15,0)),MATCH(ROW(orderHistory[customer]),ROW(orderHistory[customer])),""),ROWS($A$15:A62)+$B$3))),IF($D$15="",INDEX(orderHistory[inv_amount],SMALL(IF(ISNUMBER(MATCH(orderHistory[customer],$D$9,0)*MATCH(orderHistory[order_type],$D$13,0)),MATCH(ROW(orderHistory[customer]),ROW(orderHistory[customer])),""),ROWS($A$15:A62)+$B$3)),INDEX(orderHistory[inv_amount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_amount],SMALL(IF(ISNUMBER(MATCH(orderHistory[customer],$D$9,0)*MATCH(orderHistory[status],$D$11,0)),MATCH(ROW(orderHistory[customer]),ROW(orderHistory[customer])),""),ROWS($A$15:A62)+$B$3)),INDEX(orderHistory[inv_amount],SMALL(IF(ISNUMBER(MATCH(orderHistory[customer],$D$9,0)*MATCH(orderHistory[status],$D$11,0)*MATCH(YEAR(orderHistory[inv_amount]),$D$15,0)),MATCH(ROW(orderHistory[customer]),ROW(orderHistory[customer])),""),ROWS($A$15:A62)+$B$3))),IF($D$15="",INDEX(orderHistory[inv_amount],SMALL(IF(ISNUMBER(MATCH(orderHistory[customer],$D$9,0)*MATCH(orderHistory[status],$D$11,0)*MATCH(orderHistory[order_type],$D$13,0)),MATCH(ROW(orderHistory[customer]),ROW(orderHistory[customer])),""),ROWS($A$15:A62)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S57" s="546" t="str">
        <f t="shared" si="2"/>
        <v/>
      </c>
      <c r="T57" s="547" t="str">
        <f t="array" ref="T57">IFERROR(IF($D$9="",IF($D$11="",IF($D$13="",IF($D$15="",INDEX(orderHistory[payed],SMALL(MATCH(ROW(orderHistory[customer]),ROW(orderHistory[customer])),ROWS($A$15:A62)+$B$3)),INDEX(orderHistory[payed],SMALL(IF(ISNUMBER(MATCH(YEAR(orderHistory[invoice_date]),$D$15,0)),MATCH(ROW(orderHistory[customer]),ROW(orderHistory[customer])),""),ROWS($A$15:A62)+$B$3))),IF($D$15="",INDEX(orderHistory[payed],SMALL(IF(ISNUMBER(MATCH(orderHistory[order_type],$D$13,0)),MATCH(ROW(orderHistory[customer]),ROW(orderHistory[customer])),""),ROWS($A$15:A62)+$B$3)),INDEX(orderHistory[payed],SMALL(IF(ISNUMBER(MATCH(orderHistory[order_type],$D$13,0)*MATCH(YEAR(orderHistory[invoice_date]),$D$15,0)),MATCH(ROW(orderHistory[customer]),ROW(orderHistory[customer])),""),ROWS($A$15:A62)+$B$3)))),IF($D$13="",IF($D$15="",INDEX(orderHistory[payed],SMALL(IF(ISNUMBER(MATCH(orderHistory[status],$D$11,0)),MATCH(ROW(orderHistory[customer]),ROW(orderHistory[customer])),""),ROWS($A$15:A62)+$B$3)),INDEX(orderHistory[payed],SMALL(IF(ISNUMBER(MATCH(orderHistory[status],$D$11,0)*MATCH(YEAR(orderHistory[invoice_date]),$D$15,0)),MATCH(ROW(orderHistory[customer]),ROW(orderHistory[customer])),""),ROWS($A$15:A62)+$B$3))),IF($D$15="",INDEX(orderHistory[payed],SMALL(IF(ISNUMBER(MATCH(orderHistory[status],$D$11,0)*MATCH(orderHistory[order_type],$D$13,0)),MATCH(ROW(orderHistory[customer]),ROW(orderHistory[customer])),""),ROWS($A$15:A62)+$B$3)),INDEX(orderHistory[payed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payed],SMALL(IF(ISNUMBER(MATCH(orderHistory[customer],$D$9,0)),MATCH(ROW(orderHistory[customer]),ROW(orderHistory[customer])),""),ROWS($A$15:A62)+$B$3)),INDEX(orderHistory[payed],SMALL(IF(ISNUMBER(MATCH(orderHistory[customer],$D$9,0)*MATCH(YEAR(orderHistory[invoice_date]),$D$15,0)),MATCH(ROW(orderHistory[customer]),ROW(orderHistory[customer])),""),ROWS($A$15:A62)+$B$3))),IF($D$15="",INDEX(orderHistory[payed],SMALL(IF(ISNUMBER(MATCH(orderHistory[customer],$D$9,0)*MATCH(orderHistory[order_type],$D$13,0)),MATCH(ROW(orderHistory[customer]),ROW(orderHistory[customer])),""),ROWS($A$15:A62)+$B$3)),INDEX(orderHistory[payed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payed],SMALL(IF(ISNUMBER(MATCH(orderHistory[customer],$D$9,0)*MATCH(orderHistory[status],$D$11,0)),MATCH(ROW(orderHistory[customer]),ROW(orderHistory[customer])),""),ROWS($A$15:A62)+$B$3)),INDEX(orderHistory[payed],SMALL(IF(ISNUMBER(MATCH(orderHistory[customer],$D$9,0)*MATCH(orderHistory[status],$D$11,0)*MATCH(YEAR(orderHistory[payed]),$D$15,0)),MATCH(ROW(orderHistory[customer]),ROW(orderHistory[customer])),""),ROWS($A$15:A62)+$B$3))),IF($D$15="",INDEX(orderHistory[payed],SMALL(IF(ISNUMBER(MATCH(orderHistory[customer],$D$9,0)*MATCH(orderHistory[status],$D$11,0)*MATCH(orderHistory[order_type],$D$13,0)),MATCH(ROW(orderHistory[customer]),ROW(orderHistory[customer])),""),ROWS($A$15:A62)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U57" s="541" t="str">
        <f t="array" ref="U57">IFERROR(IF($D$9="",IF($D$11="",IF($D$13="",IF($D$15="",INDEX(orderHistory[shipping_method],SMALL(MATCH(ROW(orderHistory[customer]),ROW(orderHistory[customer])),ROWS($A$15:A62)+$B$3)),INDEX(orderHistory[shipping_method],SMALL(IF(ISNUMBER(MATCH(YEAR(orderHistory[invoice_date]),$D$15,0)),MATCH(ROW(orderHistory[customer]),ROW(orderHistory[customer])),""),ROWS($A$15:A62)+$B$3))),IF($D$15="",INDEX(orderHistory[shipping_method],SMALL(IF(ISNUMBER(MATCH(orderHistory[order_type],$D$13,0)),MATCH(ROW(orderHistory[customer]),ROW(orderHistory[customer])),""),ROWS($A$15:A62)+$B$3)),INDEX(orderHistory[shipping_method],SMALL(IF(ISNUMBER(MATCH(orderHistory[order_type],$D$13,0)*MATCH(YEAR(orderHistory[invoice_date]),$D$15,0)),MATCH(ROW(orderHistory[customer]),ROW(orderHistory[customer])),""),ROWS($A$15:A62)+$B$3)))),IF($D$13="",IF($D$15="",INDEX(orderHistory[shipping_method],SMALL(IF(ISNUMBER(MATCH(orderHistory[status],$D$11,0)),MATCH(ROW(orderHistory[customer]),ROW(orderHistory[customer])),""),ROWS($A$15:A62)+$B$3)),INDEX(orderHistory[shipping_method],SMALL(IF(ISNUMBER(MATCH(orderHistory[status],$D$11,0)*MATCH(YEAR(orderHistory[invoice_date]),$D$15,0)),MATCH(ROW(orderHistory[customer]),ROW(orderHistory[customer])),""),ROWS($A$15:A62)+$B$3))),IF($D$15="",INDEX(orderHistory[shipping_method],SMALL(IF(ISNUMBER(MATCH(orderHistory[status],$D$11,0)*MATCH(orderHistory[order_type],$D$13,0)),MATCH(ROW(orderHistory[customer]),ROW(orderHistory[customer])),""),ROWS($A$15:A62)+$B$3)),INDEX(orderHistory[shipping_method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shipping_method],SMALL(IF(ISNUMBER(MATCH(orderHistory[customer],$D$9,0)),MATCH(ROW(orderHistory[customer]),ROW(orderHistory[customer])),""),ROWS($A$15:A62)+$B$3)),INDEX(orderHistory[shipping_method],SMALL(IF(ISNUMBER(MATCH(orderHistory[customer],$D$9,0)*MATCH(YEAR(orderHistory[invoice_date]),$D$15,0)),MATCH(ROW(orderHistory[customer]),ROW(orderHistory[customer])),""),ROWS($A$15:A62)+$B$3))),IF($D$15="",INDEX(orderHistory[shipping_method],SMALL(IF(ISNUMBER(MATCH(orderHistory[customer],$D$9,0)*MATCH(orderHistory[order_type],$D$13,0)),MATCH(ROW(orderHistory[customer]),ROW(orderHistory[customer])),""),ROWS($A$15:A62)+$B$3)),INDEX(orderHistory[shipping_method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shipping_method],SMALL(IF(ISNUMBER(MATCH(orderHistory[customer],$D$9,0)*MATCH(orderHistory[status],$D$11,0)),MATCH(ROW(orderHistory[customer]),ROW(orderHistory[customer])),""),ROWS($A$15:A62)+$B$3)),INDEX(orderHistory[shipping_method],SMALL(IF(ISNUMBER(MATCH(orderHistory[customer],$D$9,0)*MATCH(orderHistory[status],$D$11,0)*MATCH(YEAR(orderHistory[shipping_method]),$D$15,0)),MATCH(ROW(orderHistory[customer]),ROW(orderHistory[customer])),""),ROWS($A$15:A62)+$B$3))),IF($D$15="",INDEX(orderHistory[shipping_method],SMALL(IF(ISNUMBER(MATCH(orderHistory[customer],$D$9,0)*MATCH(orderHistory[status],$D$11,0)*MATCH(orderHistory[order_type],$D$13,0)),MATCH(ROW(orderHistory[customer]),ROW(orderHistory[customer])),""),ROWS($A$15:A62)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V57" s="548" t="str">
        <f t="array" ref="V57">IFERROR(IF($D$9="",IF($D$11="",IF($D$13="",IF($D$15="",INDEX(orderHistory[status],SMALL(MATCH(ROW(orderHistory[customer]),ROW(orderHistory[customer])),ROWS($A$15:A62)+$B$3)),INDEX(orderHistory[status],SMALL(IF(ISNUMBER(MATCH(YEAR(orderHistory[invoice_date]),$D$15,0)),MATCH(ROW(orderHistory[customer]),ROW(orderHistory[customer])),""),ROWS($A$15:A62)+$B$3))),IF($D$15="",INDEX(orderHistory[status],SMALL(IF(ISNUMBER(MATCH(orderHistory[order_type],$D$13,0)),MATCH(ROW(orderHistory[customer]),ROW(orderHistory[customer])),""),ROWS($A$15:A62)+$B$3)),INDEX(orderHistory[status],SMALL(IF(ISNUMBER(MATCH(orderHistory[order_type],$D$13,0)*MATCH(YEAR(orderHistory[invoice_date]),$D$15,0)),MATCH(ROW(orderHistory[customer]),ROW(orderHistory[customer])),""),ROWS($A$15:A62)+$B$3)))),IF($D$13="",IF($D$15="",INDEX(orderHistory[status],SMALL(IF(ISNUMBER(MATCH(orderHistory[status],$D$11,0)),MATCH(ROW(orderHistory[customer]),ROW(orderHistory[customer])),""),ROWS($A$15:A62)+$B$3)),INDEX(orderHistory[status],SMALL(IF(ISNUMBER(MATCH(orderHistory[status],$D$11,0)*MATCH(YEAR(orderHistory[invoice_date]),$D$15,0)),MATCH(ROW(orderHistory[customer]),ROW(orderHistory[customer])),""),ROWS($A$15:A62)+$B$3))),IF($D$15="",INDEX(orderHistory[status],SMALL(IF(ISNUMBER(MATCH(orderHistory[status],$D$11,0)*MATCH(orderHistory[order_type],$D$13,0)),MATCH(ROW(orderHistory[customer]),ROW(orderHistory[customer])),""),ROWS($A$15:A62)+$B$3)),INDEX(orderHistory[status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status],SMALL(IF(ISNUMBER(MATCH(orderHistory[customer],$D$9,0)),MATCH(ROW(orderHistory[customer]),ROW(orderHistory[customer])),""),ROWS($A$15:A62)+$B$3)),INDEX(orderHistory[status],SMALL(IF(ISNUMBER(MATCH(orderHistory[customer],$D$9,0)*MATCH(YEAR(orderHistory[invoice_date]),$D$15,0)),MATCH(ROW(orderHistory[customer]),ROW(orderHistory[customer])),""),ROWS($A$15:A62)+$B$3))),IF($D$15="",INDEX(orderHistory[status],SMALL(IF(ISNUMBER(MATCH(orderHistory[customer],$D$9,0)*MATCH(orderHistory[order_type],$D$13,0)),MATCH(ROW(orderHistory[customer]),ROW(orderHistory[customer])),""),ROWS($A$15:A62)+$B$3)),INDEX(orderHistory[status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status],SMALL(IF(ISNUMBER(MATCH(orderHistory[customer],$D$9,0)*MATCH(orderHistory[status],$D$11,0)),MATCH(ROW(orderHistory[customer]),ROW(orderHistory[customer])),""),ROWS($A$15:A62)+$B$3)),INDEX(orderHistory[status],SMALL(IF(ISNUMBER(MATCH(orderHistory[customer],$D$9,0)*MATCH(orderHistory[status],$D$11,0)*MATCH(YEAR(orderHistory[status]),$D$15,0)),MATCH(ROW(orderHistory[customer]),ROW(orderHistory[customer])),""),ROWS($A$15:A62)+$B$3))),IF($D$15="",INDEX(orderHistory[status],SMALL(IF(ISNUMBER(MATCH(orderHistory[customer],$D$9,0)*MATCH(orderHistory[status],$D$11,0)*MATCH(orderHistory[order_type],$D$13,0)),MATCH(ROW(orderHistory[customer]),ROW(orderHistory[customer])),""),ROWS($A$15:A62)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W57" s="107"/>
      <c r="AQ57" s="432"/>
      <c r="AR57" s="432" t="s">
        <v>623</v>
      </c>
      <c r="BG57" s="296"/>
      <c r="BK57" s="450"/>
      <c r="BL57" s="451"/>
      <c r="BM57" s="452"/>
      <c r="BN57" s="451"/>
      <c r="BO57" s="452"/>
      <c r="BZ57" s="168"/>
      <c r="CA57" s="154" t="str">
        <f>IF(BZ57="","",INDEX(bhpc_data[description],MATCH(BZ57,bhpc_data[sku],0)))</f>
        <v/>
      </c>
      <c r="CB57" s="159"/>
      <c r="CC57" s="357"/>
      <c r="CD57" s="160"/>
      <c r="CE57" s="360"/>
      <c r="CF57" s="161"/>
      <c r="CG57" s="164" t="str">
        <f>IFERROR(ROUNDUP(CB57/INDEX(bhpc_data[units_per_carton],MATCH(BZ57,bhpc_data[sku],0)),0),"")</f>
        <v/>
      </c>
      <c r="CH57" s="165" t="str">
        <f>IFERROR(ROUNDUP(CD57/INDEX(bhpc_data[units_per_carton],MATCH(BZ57,bhpc_data[sku],0)),0),"")</f>
        <v/>
      </c>
      <c r="CI57" s="165" t="str">
        <f>IFERROR(ROUNDUP(CF57/INDEX(bhpc_data[units_per_carton],MATCH(BZ57,bhpc_data[sku])),0),"")</f>
        <v/>
      </c>
      <c r="CJ57" s="165" t="str">
        <f>IFERROR(((CB57+CD57+CF57)/INDEX(bhpc_data[units_per_carton],MATCH(BZ57,bhpc_data[sku],0)))*INDEX(bhpc_data[net_weight],MATCH(BZ57,bhpc_data[sku],0)),"")</f>
        <v/>
      </c>
      <c r="CK57" s="165" t="str">
        <f>IFERROR(((CB57+CD57+CF57)/INDEX(bhpc_data[units_per_carton],MATCH(BZ57,bhpc_data[sku],0)))*INDEX(bhpc_data[gross_weight],MATCH(BZ57,bhpc_data[sku],0)),"")</f>
        <v/>
      </c>
      <c r="CL57" s="180" t="str">
        <f>IFERROR((CB57+CD57+CF57)/INDEX(bhpc_data[units_per_carton],MATCH(BZ57,bhpc_data[sku],0))*INDEX(bhpc_data[lenght],MATCH(BZ57,bhpc_data[sku],0))*INDEX(bhpc_data[width],MATCH(BZ57,bhpc_data[sku],0))*INDEX(bhpc_data[height],MATCH(BZ57,bhpc_data[sku],0))/1000000000,"")</f>
        <v/>
      </c>
      <c r="CM57" s="189" t="str">
        <f>IFERROR(INDEX(bhpc_data[category],MATCH(BZ57,bhpc_data[sku],0)),"")</f>
        <v/>
      </c>
      <c r="CN57" s="189" t="str">
        <f>IFERROR(INDEX(bhpc_data[size1],MATCH(BZ57,bhpc_data[sku],0)),"")</f>
        <v/>
      </c>
      <c r="CO57" s="388" t="str">
        <f>IFERROR(INDEX(bhpc_data[hs_code],MATCH(BZ57,bhpc_data[sku],0)),"")</f>
        <v/>
      </c>
      <c r="CP57" s="377" t="str">
        <f>IFERROR(INDEX(inventory[ESISTENZA],MATCH(BZ57,inventory[ARTICOLO],0)),"")</f>
        <v/>
      </c>
      <c r="CQ57" s="364" t="str">
        <f>IFERROR(IF(BZ57="","",IF($BX$15="SALE",INDEX(inventory[COSTO UNITARIO],MATCH(BZ57,inventory[ARTICOLO],0)),IF($BX$15="SAMPLING",INDEX(inventory[COSTO UNITARIO],MATCH(BZ57,inventory[ARTICOLO],0)),""))),"")</f>
        <v/>
      </c>
      <c r="CR57" s="365" t="str">
        <f t="shared" si="3"/>
        <v/>
      </c>
      <c r="CS57" s="264" t="str">
        <f t="shared" si="4"/>
        <v/>
      </c>
      <c r="DA57" s="432" t="str">
        <f>IFERROR(VLOOKUP(BZ57,bhpc_data[],22,FALSE),"")</f>
        <v/>
      </c>
      <c r="EE57" s="202" t="str" cm="1">
        <f t="array" ref="EE57">IFERROR(IF($EC$9="",IF($EC$11="",IF($EC$13="",INDEX(bhpc_data[sku],SMALL(MATCH(ROW(bhpc_data[sku]),ROW(bhpc_data[sku])),ROWS($A$15:A62)+$B$3)),INDEX(bhpc_data[sku],SMALL(IF(ISNUMBER(MATCH(bhpc_data[size1],$EC$13,0)),MATCH(ROW(bhpc_data[sku]),ROW(bhpc_data[sku])),""),ROWS($A$15:A62)+$B$3))),IF($EC$13="",INDEX(bhpc_data[sku],SMALL(IF(ISNUMBER(MATCH(bhpc_data[sex],$EC$11,0)),MATCH(ROW(bhpc_data[sku]),ROW(bhpc_data[sku])),""),ROWS($A$15:A62)+$B$3)),INDEX(bhpc_data[sku],SMALL(IF(ISNUMBER(MATCH(bhpc_data[sex],$EC$11,0)*MATCH(bhpc_data[size1],$EC$13,0)),MATCH(ROW(bhpc_data[sku]),ROW(bhpc_data[sku])),""),ROWS($A$15:A62)+$B$3)))),IF($EC$11="",IF($EC$13="",INDEX(bhpc_data[sku],SMALL(IF(ISNUMBER(MATCH(bhpc_data[category],$EC$9,0)),MATCH(ROW(bhpc_data[sku]),ROW(bhpc_data[sku])),""),ROWS($A$15:A62)+$B$3)),INDEX(bhpc_data[sku],SMALL(IF(ISNUMBER(MATCH(bhpc_data[category],$EC$9,0)*MATCH(bhpc_data[size1],$EC$13,0)),MATCH(ROW(bhpc_data[sku]),ROW(bhpc_data[sku])),""),ROWS($A$15:A62)+$B$3))),IF($EC$13="",INDEX(bhpc_data[sku],SMALL(IF(ISNUMBER(MATCH(bhpc_data[category],$EC$9,0)*MATCH(bhpc_data[sex],$EC$11,0)),MATCH(ROW(bhpc_data[sku]),ROW(bhpc_data[sku])),""),ROWS($A$15:A62)+$B$3)),INDEX(bhpc_data[sku],SMALL(IF(ISNUMBER(MATCH(bhpc_data[category],$EC$9,0)*MATCH(bhpc_data[sex],$EC$11,0)*MATCH(bhpc_data[size1],$EC$13,0)),MATCH(ROW(bhpc_data[sku]),ROW(bhpc_data[sku])),""),ROWS($A$15:A62)+$B$3))))),"")</f>
        <v>P05025</v>
      </c>
      <c r="EF57" s="198" t="str" cm="1">
        <f t="array" ref="EF57">IFERROR(IF($EC$9="",IF($EC$11="",IF($EC$13="",INDEX(bhpc_data[description],SMALL(MATCH(ROW(bhpc_data[sku]),ROW(bhpc_data[sku])),ROWS($A$15:A62)+$B$3)),INDEX(bhpc_data[description],SMALL(IF(ISNUMBER(MATCH(bhpc_data[size1],$EC$13,0)),MATCH(ROW(bhpc_data[sku]),ROW(bhpc_data[sku])),""),ROWS($A$15:A62)+$B$3))),IF($EC$13="",INDEX(bhpc_data[description],SMALL(IF(ISNUMBER(MATCH(bhpc_data[sex],$EC$11,0)),MATCH(ROW(bhpc_data[sku]),ROW(bhpc_data[sku])),""),ROWS($A$15:A62)+$B$3)),INDEX(bhpc_data[description],SMALL(IF(ISNUMBER(MATCH(bhpc_data[sex],$EC$11,0)*MATCH(bhpc_data[size1],$EC$13,0)),MATCH(ROW(bhpc_data[sku]),ROW(bhpc_data[sku])),""),ROWS($A$15:A62)+$B$3)))),IF($EC$11="",IF($EC$13="",INDEX(bhpc_data[description],SMALL(IF(ISNUMBER(MATCH(bhpc_data[category],$EC$9,0)),MATCH(ROW(bhpc_data[sku]),ROW(bhpc_data[sku])),""),ROWS($A$15:A62)+$B$3)),INDEX(bhpc_data[description],SMALL(IF(ISNUMBER(MATCH(bhpc_data[category],$EC$9,0)*MATCH(bhpc_data[size1],$EC$13,0)),MATCH(ROW(bhpc_data[sku]),ROW(bhpc_data[sku])),""),ROWS($A$15:A62)+$B$3))),IF($EC$13="",INDEX(bhpc_data[description],SMALL(IF(ISNUMBER(MATCH(bhpc_data[category],$EC$9,0)*MATCH(bhpc_data[sex],$EC$11,0)),MATCH(ROW(bhpc_data[sku]),ROW(bhpc_data[sku])),""),ROWS($A$15:A62)+$B$3)),INDEX(bhpc_data[description],SMALL(IF(ISNUMBER(MATCH(bhpc_data[category],$EC$9,0)*MATCH(bhpc_data[sex],$EC$11,0)*MATCH(bhpc_data[size1],$EC$13,0)),MATCH(ROW(bhpc_data[sku]),ROW(bhpc_data[sku])),""),ROWS($A$15:A62)+$B$3))))),"")</f>
        <v>BHPC WOMEN 9 DEO 150ML</v>
      </c>
      <c r="EG57" s="263">
        <f>IFERROR(IF(warehouse[[#This Row],[SKU]]="","",INDEX(inventory[ESISTENZA],MATCH(warehouse[[#This Row],[SKU]],inventory[ARTICOLO],0))),"")</f>
        <v>25051</v>
      </c>
      <c r="EH57" s="328"/>
      <c r="EI57" s="328"/>
      <c r="EJ57" s="263"/>
      <c r="EK57" s="329"/>
      <c r="EO57" s="296" t="str">
        <f t="array" ref="EO57">IFERROR(INDEX(orderHistory[order_no],SMALL(IF(ISNUMBER(MATCH(orderHistory[status],$EO$7,0)),MATCH(ROW(orderHistory[order_no]),ROW(orderHistory[order_no])),""),ROWS($A$15:A62))),"")</f>
        <v/>
      </c>
    </row>
    <row r="58" spans="10:145" ht="15" customHeight="1" x14ac:dyDescent="0.35">
      <c r="L58" s="539" t="str">
        <f t="array" ref="L58">IFERROR(IF($D$9="",IF($D$11="",IF($D$13="",IF($D$15="",INDEX(orderHistory[customer],SMALL(MATCH(ROW(orderHistory[customer]),ROW(orderHistory[customer])),ROWS($A$15:A63)+$B$3)),INDEX(orderHistory[customer],SMALL(IF(ISNUMBER(MATCH(YEAR(orderHistory[invoice_date]),$D$15,0)),MATCH(ROW(orderHistory[customer]),ROW(orderHistory[customer])),""),ROWS($A$15:A63)+$B$3))),IF($D$15="",INDEX(orderHistory[customer],SMALL(IF(ISNUMBER(MATCH(orderHistory[order_type],$D$13,0)),MATCH(ROW(orderHistory[customer]),ROW(orderHistory[customer])),""),ROWS($A$15:A63)+$B$3)),INDEX(orderHistory[customer],SMALL(IF(ISNUMBER(MATCH(orderHistory[order_type],$D$13,0)*MATCH(YEAR(orderHistory[invoice_date]),$D$15,0)),MATCH(ROW(orderHistory[customer]),ROW(orderHistory[customer])),""),ROWS($A$15:A63)+$B$3)))),IF($D$13="",IF($D$15="",INDEX(orderHistory[customer],SMALL(IF(ISNUMBER(MATCH(orderHistory[status],$D$11,0)),MATCH(ROW(orderHistory[customer]),ROW(orderHistory[customer])),""),ROWS($A$15:A63)+$B$3)),INDEX(orderHistory[customer],SMALL(IF(ISNUMBER(MATCH(orderHistory[status],$D$11,0)*MATCH(YEAR(orderHistory[invoice_date]),$D$15,0)),MATCH(ROW(orderHistory[customer]),ROW(orderHistory[customer])),""),ROWS($A$15:A63)+$B$3))),IF($D$15="",INDEX(orderHistory[customer],SMALL(IF(ISNUMBER(MATCH(orderHistory[status],$D$11,0)*MATCH(orderHistory[order_type],$D$13,0)),MATCH(ROW(orderHistory[customer]),ROW(orderHistory[customer])),""),ROWS($A$15:A63)+$B$3)),INDEX(orderHistory[customer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customer],SMALL(IF(ISNUMBER(MATCH(orderHistory[customer],$D$9,0)),MATCH(ROW(orderHistory[customer]),ROW(orderHistory[customer])),""),ROWS($A$15:A63)+$B$3)),INDEX(orderHistory[customer],SMALL(IF(ISNUMBER(MATCH(orderHistory[customer],$D$9,0)*MATCH(YEAR(orderHistory[invoice_date]),$D$15,0)),MATCH(ROW(orderHistory[customer]),ROW(orderHistory[customer])),""),ROWS($A$15:A63)+$B$3))),IF($D$15="",INDEX(orderHistory[customer],SMALL(IF(ISNUMBER(MATCH(orderHistory[customer],$D$9,0)*MATCH(orderHistory[order_type],$D$13,0)),MATCH(ROW(orderHistory[customer]),ROW(orderHistory[customer])),""),ROWS($A$15:A63)+$B$3)),INDEX(orderHistory[customer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customer],SMALL(IF(ISNUMBER(MATCH(orderHistory[customer],$D$9,0)*MATCH(orderHistory[status],$D$11,0)),MATCH(ROW(orderHistory[customer]),ROW(orderHistory[customer])),""),ROWS($A$15:A63)+$B$3)),INDEX(orderHistory[customer],SMALL(IF(ISNUMBER(MATCH(orderHistory[customer],$D$9,0)*MATCH(orderHistory[status],$D$11,0)*MATCH(YEAR(orderHistory[invoice_date]),$D$15,0)),MATCH(ROW(orderHistory[customer]),ROW(orderHistory[customer])),""),ROWS($A$15:A63)+$B$3))),IF($D$15="",INDEX(orderHistory[customer],SMALL(IF(ISNUMBER(MATCH(orderHistory[customer],$D$9,0)*MATCH(orderHistory[status],$D$11,0)*MATCH(orderHistory[order_type],$D$13,0)),MATCH(ROW(orderHistory[customer]),ROW(orderHistory[customer])),""),ROWS($A$15:A63)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M58" s="540" t="str">
        <f t="array" ref="M58">IFERROR(IF($D$9="",IF($D$11="",IF($D$13="",IF($D$15="",INDEX(orderHistory[order_no],SMALL(MATCH(ROW(orderHistory[customer]),ROW(orderHistory[customer])),ROWS($A$15:A63)+$B$3)),INDEX(orderHistory[order_no],SMALL(IF(ISNUMBER(MATCH(YEAR(orderHistory[invoice_date]),$D$15,0)),MATCH(ROW(orderHistory[customer]),ROW(orderHistory[customer])),""),ROWS($A$15:A63)+$B$3))),IF($D$15="",INDEX(orderHistory[order_no],SMALL(IF(ISNUMBER(MATCH(orderHistory[order_type],$D$13,0)),MATCH(ROW(orderHistory[customer]),ROW(orderHistory[customer])),""),ROWS($A$15:A63)+$B$3)),INDEX(orderHistory[order_no],SMALL(IF(ISNUMBER(MATCH(orderHistory[order_type],$D$13,0)*MATCH(YEAR(orderHistory[invoice_date]),$D$15,0)),MATCH(ROW(orderHistory[customer]),ROW(orderHistory[customer])),""),ROWS($A$15:A63)+$B$3)))),IF($D$13="",IF($D$15="",INDEX(orderHistory[order_no],SMALL(IF(ISNUMBER(MATCH(orderHistory[status],$D$11,0)),MATCH(ROW(orderHistory[customer]),ROW(orderHistory[customer])),""),ROWS($A$15:A63)+$B$3)),INDEX(orderHistory[order_no],SMALL(IF(ISNUMBER(MATCH(orderHistory[status],$D$11,0)*MATCH(YEAR(orderHistory[invoice_date]),$D$15,0)),MATCH(ROW(orderHistory[customer]),ROW(orderHistory[customer])),""),ROWS($A$15:A63)+$B$3))),IF($D$15="",INDEX(orderHistory[order_no],SMALL(IF(ISNUMBER(MATCH(orderHistory[status],$D$11,0)*MATCH(orderHistory[order_type],$D$13,0)),MATCH(ROW(orderHistory[customer]),ROW(orderHistory[customer])),""),ROWS($A$15:A63)+$B$3)),INDEX(orderHistory[order_no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no],SMALL(IF(ISNUMBER(MATCH(orderHistory[customer],$D$9,0)),MATCH(ROW(orderHistory[customer]),ROW(orderHistory[customer])),""),ROWS($A$15:A63)+$B$3)),INDEX(orderHistory[order_no],SMALL(IF(ISNUMBER(MATCH(orderHistory[customer],$D$9,0)*MATCH(YEAR(orderHistory[invoice_date]),$D$15,0)),MATCH(ROW(orderHistory[customer]),ROW(orderHistory[customer])),""),ROWS($A$15:A63)+$B$3))),IF($D$15="",INDEX(orderHistory[order_no],SMALL(IF(ISNUMBER(MATCH(orderHistory[customer],$D$9,0)*MATCH(orderHistory[order_type],$D$13,0)),MATCH(ROW(orderHistory[customer]),ROW(orderHistory[customer])),""),ROWS($A$15:A63)+$B$3)),INDEX(orderHistory[order_no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no],SMALL(IF(ISNUMBER(MATCH(orderHistory[customer],$D$9,0)*MATCH(orderHistory[status],$D$11,0)),MATCH(ROW(orderHistory[customer]),ROW(orderHistory[customer])),""),ROWS($A$15:A63)+$B$3)),INDEX(orderHistory[order_no],SMALL(IF(ISNUMBER(MATCH(orderHistory[customer],$D$9,0)*MATCH(orderHistory[status],$D$11,0)*MATCH(YEAR(orderHistory[invoice_date]),$D$15,0)),MATCH(ROW(orderHistory[customer]),ROW(orderHistory[customer])),""),ROWS($A$15:A63)+$B$3))),IF($D$15="",INDEX(orderHistory[order_no],SMALL(IF(ISNUMBER(MATCH(orderHistory[customer],$D$9,0)*MATCH(orderHistory[status],$D$11,0)*MATCH(orderHistory[order_type],$D$13,0)),MATCH(ROW(orderHistory[customer]),ROW(orderHistory[customer])),""),ROWS($A$15:A63)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N58" s="541" t="str">
        <f t="array" ref="N58">IFERROR(IF($D$9="",IF($D$11="",IF($D$13="",IF($D$15="",INDEX(orderHistory[order_type],SMALL(MATCH(ROW(orderHistory[customer]),ROW(orderHistory[customer])),ROWS($A$15:A63)+$B$3)),INDEX(orderHistory[order_type],SMALL(IF(ISNUMBER(MATCH(YEAR(orderHistory[invoice_date]),$D$15,0)),MATCH(ROW(orderHistory[customer]),ROW(orderHistory[customer])),""),ROWS($A$15:A63)+$B$3))),IF($D$15="",INDEX(orderHistory[order_type],SMALL(IF(ISNUMBER(MATCH(orderHistory[order_type],$D$13,0)),MATCH(ROW(orderHistory[customer]),ROW(orderHistory[customer])),""),ROWS($A$15:A63)+$B$3)),INDEX(orderHistory[order_type],SMALL(IF(ISNUMBER(MATCH(orderHistory[order_type],$D$13,0)*MATCH(YEAR(orderHistory[invoice_date]),$D$15,0)),MATCH(ROW(orderHistory[customer]),ROW(orderHistory[customer])),""),ROWS($A$15:A63)+$B$3)))),IF($D$13="",IF($D$15="",INDEX(orderHistory[order_type],SMALL(IF(ISNUMBER(MATCH(orderHistory[status],$D$11,0)),MATCH(ROW(orderHistory[customer]),ROW(orderHistory[customer])),""),ROWS($A$15:A63)+$B$3)),INDEX(orderHistory[order_type],SMALL(IF(ISNUMBER(MATCH(orderHistory[status],$D$11,0)*MATCH(YEAR(orderHistory[invoice_date]),$D$15,0)),MATCH(ROW(orderHistory[customer]),ROW(orderHistory[customer])),""),ROWS($A$15:A63)+$B$3))),IF($D$15="",INDEX(orderHistory[order_type],SMALL(IF(ISNUMBER(MATCH(orderHistory[status],$D$11,0)*MATCH(orderHistory[order_type],$D$13,0)),MATCH(ROW(orderHistory[customer]),ROW(orderHistory[customer])),""),ROWS($A$15:A63)+$B$3)),INDEX(orderHistory[order_typ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type],SMALL(IF(ISNUMBER(MATCH(orderHistory[customer],$D$9,0)),MATCH(ROW(orderHistory[customer]),ROW(orderHistory[customer])),""),ROWS($A$15:A63)+$B$3)),INDEX(orderHistory[order_type],SMALL(IF(ISNUMBER(MATCH(orderHistory[customer],$D$9,0)*MATCH(YEAR(orderHistory[invoice_date]),$D$15,0)),MATCH(ROW(orderHistory[customer]),ROW(orderHistory[customer])),""),ROWS($A$15:A63)+$B$3))),IF($D$15="",INDEX(orderHistory[order_type],SMALL(IF(ISNUMBER(MATCH(orderHistory[customer],$D$9,0)*MATCH(orderHistory[order_type],$D$13,0)),MATCH(ROW(orderHistory[customer]),ROW(orderHistory[customer])),""),ROWS($A$15:A63)+$B$3)),INDEX(orderHistory[order_typ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type],SMALL(IF(ISNUMBER(MATCH(orderHistory[customer],$D$9,0)*MATCH(orderHistory[status],$D$11,0)),MATCH(ROW(orderHistory[customer]),ROW(orderHistory[customer])),""),ROWS($A$15:A63)+$B$3)),INDEX(orderHistory[order_type],SMALL(IF(ISNUMBER(MATCH(orderHistory[customer],$D$9,0)*MATCH(orderHistory[status],$D$11,0)*MATCH(YEAR(orderHistory[invoice_date]),$D$15,0)),MATCH(ROW(orderHistory[customer]),ROW(orderHistory[customer])),""),ROWS($A$15:A63)+$B$3))),IF($D$15="",INDEX(orderHistory[order_type],SMALL(IF(ISNUMBER(MATCH(orderHistory[customer],$D$9,0)*MATCH(orderHistory[status],$D$11,0)*MATCH(orderHistory[order_type],$D$13,0)),MATCH(ROW(orderHistory[customer]),ROW(orderHistory[customer])),""),ROWS($A$15:A63)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O58" s="542" t="str">
        <f t="array" ref="O58">IFERROR(IF($D$9="",IF($D$11="",IF($D$13="",IF($D$15="",INDEX(orderHistory[order_date],SMALL(MATCH(ROW(orderHistory[customer]),ROW(orderHistory[customer])),ROWS($A$15:A63)+$B$3)),INDEX(orderHistory[order_date],SMALL(IF(ISNUMBER(MATCH(YEAR(orderHistory[invoice_date]),$D$15,0)),MATCH(ROW(orderHistory[customer]),ROW(orderHistory[customer])),""),ROWS($A$15:A63)+$B$3))),IF($D$15="",INDEX(orderHistory[order_date],SMALL(IF(ISNUMBER(MATCH(orderHistory[order_type],$D$13,0)),MATCH(ROW(orderHistory[customer]),ROW(orderHistory[customer])),""),ROWS($A$15:A63)+$B$3)),INDEX(orderHistory[order_date],SMALL(IF(ISNUMBER(MATCH(orderHistory[order_type],$D$13,0)*MATCH(YEAR(orderHistory[invoice_date]),$D$15,0)),MATCH(ROW(orderHistory[customer]),ROW(orderHistory[customer])),""),ROWS($A$15:A63)+$B$3)))),IF($D$13="",IF($D$15="",INDEX(orderHistory[order_date],SMALL(IF(ISNUMBER(MATCH(orderHistory[status],$D$11,0)),MATCH(ROW(orderHistory[customer]),ROW(orderHistory[customer])),""),ROWS($A$15:A63)+$B$3)),INDEX(orderHistory[order_date],SMALL(IF(ISNUMBER(MATCH(orderHistory[status],$D$11,0)*MATCH(YEAR(orderHistory[invoice_date]),$D$15,0)),MATCH(ROW(orderHistory[customer]),ROW(orderHistory[customer])),""),ROWS($A$15:A63)+$B$3))),IF($D$15="",INDEX(orderHistory[order_date],SMALL(IF(ISNUMBER(MATCH(orderHistory[status],$D$11,0)*MATCH(orderHistory[order_type],$D$13,0)),MATCH(ROW(orderHistory[customer]),ROW(orderHistory[customer])),""),ROWS($A$15:A63)+$B$3)),INDEX(orderHistory[order_dat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date],SMALL(IF(ISNUMBER(MATCH(orderHistory[customer],$D$9,0)),MATCH(ROW(orderHistory[customer]),ROW(orderHistory[customer])),""),ROWS($A$15:A63)+$B$3)),INDEX(orderHistory[order_date],SMALL(IF(ISNUMBER(MATCH(orderHistory[customer],$D$9,0)*MATCH(YEAR(orderHistory[invoice_date]),$D$15,0)),MATCH(ROW(orderHistory[customer]),ROW(orderHistory[customer])),""),ROWS($A$15:A63)+$B$3))),IF($D$15="",INDEX(orderHistory[order_date],SMALL(IF(ISNUMBER(MATCH(orderHistory[customer],$D$9,0)*MATCH(orderHistory[order_type],$D$13,0)),MATCH(ROW(orderHistory[customer]),ROW(orderHistory[customer])),""),ROWS($A$15:A63)+$B$3)),INDEX(orderHistory[order_dat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date],SMALL(IF(ISNUMBER(MATCH(orderHistory[customer],$D$9,0)*MATCH(orderHistory[status],$D$11,0)),MATCH(ROW(orderHistory[customer]),ROW(orderHistory[customer])),""),ROWS($A$15:A63)+$B$3)),INDEX(orderHistory[order_date],SMALL(IF(ISNUMBER(MATCH(orderHistory[customer],$D$9,0)*MATCH(orderHistory[status],$D$11,0)*MATCH(YEAR(orderHistory[invoice_date]),$D$15,0)),MATCH(ROW(orderHistory[customer]),ROW(orderHistory[customer])),""),ROWS($A$15:A63)+$B$3))),IF($D$15="",INDEX(orderHistory[order_date],SMALL(IF(ISNUMBER(MATCH(orderHistory[customer],$D$9,0)*MATCH(orderHistory[status],$D$11,0)*MATCH(orderHistory[order_type],$D$13,0)),MATCH(ROW(orderHistory[customer]),ROW(orderHistory[customer])),""),ROWS($A$15:A63)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P58" s="543" t="str">
        <f t="array" ref="P58">IFERROR(IF($D$9="",IF($D$11="",IF($D$13="",IF($D$15="",INDEX(orderHistory[invoice_no],SMALL(MATCH(ROW(orderHistory[customer]),ROW(orderHistory[customer])),ROWS($A$15:A63)+$B$3)),INDEX(orderHistory[invoice_no],SMALL(IF(ISNUMBER(MATCH(YEAR(orderHistory[invoice_date]),$D$15,0)),MATCH(ROW(orderHistory[customer]),ROW(orderHistory[customer])),""),ROWS($A$15:A63)+$B$3))),IF($D$15="",INDEX(orderHistory[invoice_no],SMALL(IF(ISNUMBER(MATCH(orderHistory[order_type],$D$13,0)),MATCH(ROW(orderHistory[customer]),ROW(orderHistory[customer])),""),ROWS($A$15:A63)+$B$3)),INDEX(orderHistory[invoice_no],SMALL(IF(ISNUMBER(MATCH(orderHistory[order_type],$D$13,0)*MATCH(YEAR(orderHistory[invoice_date]),$D$15,0)),MATCH(ROW(orderHistory[customer]),ROW(orderHistory[customer])),""),ROWS($A$15:A63)+$B$3)))),IF($D$13="",IF($D$15="",INDEX(orderHistory[invoice_no],SMALL(IF(ISNUMBER(MATCH(orderHistory[status],$D$11,0)),MATCH(ROW(orderHistory[customer]),ROW(orderHistory[customer])),""),ROWS($A$15:A63)+$B$3)),INDEX(orderHistory[invoice_no],SMALL(IF(ISNUMBER(MATCH(orderHistory[status],$D$11,0)*MATCH(YEAR(orderHistory[invoice_date]),$D$15,0)),MATCH(ROW(orderHistory[customer]),ROW(orderHistory[customer])),""),ROWS($A$15:A63)+$B$3))),IF($D$15="",INDEX(orderHistory[invoice_no],SMALL(IF(ISNUMBER(MATCH(orderHistory[status],$D$11,0)*MATCH(orderHistory[order_type],$D$13,0)),MATCH(ROW(orderHistory[customer]),ROW(orderHistory[customer])),""),ROWS($A$15:A63)+$B$3)),INDEX(orderHistory[invoice_no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oice_no],SMALL(IF(ISNUMBER(MATCH(orderHistory[customer],$D$9,0)),MATCH(ROW(orderHistory[customer]),ROW(orderHistory[customer])),""),ROWS($A$15:A63)+$B$3)),INDEX(orderHistory[invoice_no],SMALL(IF(ISNUMBER(MATCH(orderHistory[customer],$D$9,0)*MATCH(YEAR(orderHistory[invoice_date]),$D$15,0)),MATCH(ROW(orderHistory[customer]),ROW(orderHistory[customer])),""),ROWS($A$15:A63)+$B$3))),IF($D$15="",INDEX(orderHistory[invoice_no],SMALL(IF(ISNUMBER(MATCH(orderHistory[customer],$D$9,0)*MATCH(orderHistory[order_type],$D$13,0)),MATCH(ROW(orderHistory[customer]),ROW(orderHistory[customer])),""),ROWS($A$15:A63)+$B$3)),INDEX(orderHistory[invoice_no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oice_no],SMALL(IF(ISNUMBER(MATCH(orderHistory[customer],$D$9,0)*MATCH(orderHistory[status],$D$11,0)),MATCH(ROW(orderHistory[customer]),ROW(orderHistory[customer])),""),ROWS($A$15:A63)+$B$3)),INDEX(orderHistory[invoice_no],SMALL(IF(ISNUMBER(MATCH(orderHistory[customer],$D$9,0)*MATCH(orderHistory[status],$D$11,0)*MATCH(YEAR(orderHistory[invoice_date]),$D$15,0)),MATCH(ROW(orderHistory[customer]),ROW(orderHistory[customer])),""),ROWS($A$15:A63)+$B$3))),IF($D$15="",INDEX(orderHistory[invoice_no],SMALL(IF(ISNUMBER(MATCH(orderHistory[customer],$D$9,0)*MATCH(orderHistory[status],$D$11,0)*MATCH(orderHistory[order_type],$D$13,0)),MATCH(ROW(orderHistory[customer]),ROW(orderHistory[customer])),""),ROWS($A$15:A63)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Q58" s="544" t="str">
        <f t="array" ref="Q58">IFERROR(IF($D$9="",IF($D$11="",IF($D$13="",IF($D$15="",INDEX(orderHistory[invoice_date],SMALL(MATCH(ROW(orderHistory[customer]),ROW(orderHistory[customer])),ROWS($A$15:A63)+$B$3)),INDEX(orderHistory[invoice_date],SMALL(IF(ISNUMBER(MATCH(YEAR(orderHistory[invoice_date]),$D$15,0)),MATCH(ROW(orderHistory[customer]),ROW(orderHistory[customer])),""),ROWS($A$15:A63)+$B$3))),IF($D$15="",INDEX(orderHistory[invoice_date],SMALL(IF(ISNUMBER(MATCH(orderHistory[order_type],$D$13,0)),MATCH(ROW(orderHistory[customer]),ROW(orderHistory[customer])),""),ROWS($A$15:A63)+$B$3)),INDEX(orderHistory[invoice_date],SMALL(IF(ISNUMBER(MATCH(orderHistory[order_type],$D$13,0)*MATCH(YEAR(orderHistory[invoice_date]),$D$15,0)),MATCH(ROW(orderHistory[customer]),ROW(orderHistory[customer])),""),ROWS($A$15:A63)+$B$3)))),IF($D$13="",IF($D$15="",INDEX(orderHistory[invoice_date],SMALL(IF(ISNUMBER(MATCH(orderHistory[status],$D$11,0)),MATCH(ROW(orderHistory[customer]),ROW(orderHistory[customer])),""),ROWS($A$15:A63)+$B$3)),INDEX(orderHistory[invoice_date],SMALL(IF(ISNUMBER(MATCH(orderHistory[status],$D$11,0)*MATCH(YEAR(orderHistory[invoice_date]),$D$15,0)),MATCH(ROW(orderHistory[customer]),ROW(orderHistory[customer])),""),ROWS($A$15:A63)+$B$3))),IF($D$15="",INDEX(orderHistory[invoice_date],SMALL(IF(ISNUMBER(MATCH(orderHistory[status],$D$11,0)*MATCH(orderHistory[order_type],$D$13,0)),MATCH(ROW(orderHistory[customer]),ROW(orderHistory[customer])),""),ROWS($A$15:A63)+$B$3)),INDEX(orderHistory[invoice_dat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oice_date],SMALL(IF(ISNUMBER(MATCH(orderHistory[customer],$D$9,0)),MATCH(ROW(orderHistory[customer]),ROW(orderHistory[customer])),""),ROWS($A$15:A63)+$B$3)),INDEX(orderHistory[invoice_date],SMALL(IF(ISNUMBER(MATCH(orderHistory[customer],$D$9,0)*MATCH(YEAR(orderHistory[invoice_date]),$D$15,0)),MATCH(ROW(orderHistory[customer]),ROW(orderHistory[customer])),""),ROWS($A$15:A63)+$B$3))),IF($D$15="",INDEX(orderHistory[invoice_date],SMALL(IF(ISNUMBER(MATCH(orderHistory[customer],$D$9,0)*MATCH(orderHistory[order_type],$D$13,0)),MATCH(ROW(orderHistory[customer]),ROW(orderHistory[customer])),""),ROWS($A$15:A63)+$B$3)),INDEX(orderHistory[invoice_dat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oice_date],SMALL(IF(ISNUMBER(MATCH(orderHistory[customer],$D$9,0)*MATCH(orderHistory[status],$D$11,0)),MATCH(ROW(orderHistory[customer]),ROW(orderHistory[customer])),""),ROWS($A$15:A63)+$B$3)),INDEX(orderHistory[invoice_date],SMALL(IF(ISNUMBER(MATCH(orderHistory[customer],$D$9,0)*MATCH(orderHistory[status],$D$11,0)*MATCH(YEAR(orderHistory[invoice_date]),$D$15,0)),MATCH(ROW(orderHistory[customer]),ROW(orderHistory[customer])),""),ROWS($A$15:A63)+$B$3))),IF($D$15="",INDEX(orderHistory[invoice_date],SMALL(IF(ISNUMBER(MATCH(orderHistory[customer],$D$9,0)*MATCH(orderHistory[status],$D$11,0)*MATCH(orderHistory[order_type],$D$13,0)),MATCH(ROW(orderHistory[customer]),ROW(orderHistory[customer])),""),ROWS($A$15:A63)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R58" s="545" t="str">
        <f t="array" ref="R58">IFERROR(IF($D$9="",IF($D$11="",IF($D$13="",IF($D$15="",INDEX(orderHistory[inv_amount],SMALL(MATCH(ROW(orderHistory[customer]),ROW(orderHistory[customer])),ROWS($A$15:A63)+$B$3)),INDEX(orderHistory[inv_amount],SMALL(IF(ISNUMBER(MATCH(YEAR(orderHistory[invoice_date]),$D$15,0)),MATCH(ROW(orderHistory[customer]),ROW(orderHistory[customer])),""),ROWS($A$15:A63)+$B$3))),IF($D$15="",INDEX(orderHistory[inv_amount],SMALL(IF(ISNUMBER(MATCH(orderHistory[order_type],$D$13,0)),MATCH(ROW(orderHistory[customer]),ROW(orderHistory[customer])),""),ROWS($A$15:A63)+$B$3)),INDEX(orderHistory[inv_amount],SMALL(IF(ISNUMBER(MATCH(orderHistory[order_type],$D$13,0)*MATCH(YEAR(orderHistory[invoice_date]),$D$15,0)),MATCH(ROW(orderHistory[customer]),ROW(orderHistory[customer])),""),ROWS($A$15:A63)+$B$3)))),IF($D$13="",IF($D$15="",INDEX(orderHistory[inv_amount],SMALL(IF(ISNUMBER(MATCH(orderHistory[status],$D$11,0)),MATCH(ROW(orderHistory[customer]),ROW(orderHistory[customer])),""),ROWS($A$15:A63)+$B$3)),INDEX(orderHistory[inv_amount],SMALL(IF(ISNUMBER(MATCH(orderHistory[status],$D$11,0)*MATCH(YEAR(orderHistory[invoice_date]),$D$15,0)),MATCH(ROW(orderHistory[customer]),ROW(orderHistory[customer])),""),ROWS($A$15:A63)+$B$3))),IF($D$15="",INDEX(orderHistory[inv_amount],SMALL(IF(ISNUMBER(MATCH(orderHistory[status],$D$11,0)*MATCH(orderHistory[order_type],$D$13,0)),MATCH(ROW(orderHistory[customer]),ROW(orderHistory[customer])),""),ROWS($A$15:A63)+$B$3)),INDEX(orderHistory[inv_amount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_amount],SMALL(IF(ISNUMBER(MATCH(orderHistory[customer],$D$9,0)),MATCH(ROW(orderHistory[customer]),ROW(orderHistory[customer])),""),ROWS($A$15:A63)+$B$3)),INDEX(orderHistory[inv_amount],SMALL(IF(ISNUMBER(MATCH(orderHistory[customer],$D$9,0)*MATCH(YEAR(orderHistory[invoice_date]),$D$15,0)),MATCH(ROW(orderHistory[customer]),ROW(orderHistory[customer])),""),ROWS($A$15:A63)+$B$3))),IF($D$15="",INDEX(orderHistory[inv_amount],SMALL(IF(ISNUMBER(MATCH(orderHistory[customer],$D$9,0)*MATCH(orderHistory[order_type],$D$13,0)),MATCH(ROW(orderHistory[customer]),ROW(orderHistory[customer])),""),ROWS($A$15:A63)+$B$3)),INDEX(orderHistory[inv_amount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_amount],SMALL(IF(ISNUMBER(MATCH(orderHistory[customer],$D$9,0)*MATCH(orderHistory[status],$D$11,0)),MATCH(ROW(orderHistory[customer]),ROW(orderHistory[customer])),""),ROWS($A$15:A63)+$B$3)),INDEX(orderHistory[inv_amount],SMALL(IF(ISNUMBER(MATCH(orderHistory[customer],$D$9,0)*MATCH(orderHistory[status],$D$11,0)*MATCH(YEAR(orderHistory[inv_amount]),$D$15,0)),MATCH(ROW(orderHistory[customer]),ROW(orderHistory[customer])),""),ROWS($A$15:A63)+$B$3))),IF($D$15="",INDEX(orderHistory[inv_amount],SMALL(IF(ISNUMBER(MATCH(orderHistory[customer],$D$9,0)*MATCH(orderHistory[status],$D$11,0)*MATCH(orderHistory[order_type],$D$13,0)),MATCH(ROW(orderHistory[customer]),ROW(orderHistory[customer])),""),ROWS($A$15:A63)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S58" s="546" t="str">
        <f t="shared" si="2"/>
        <v/>
      </c>
      <c r="T58" s="547" t="str">
        <f t="array" ref="T58">IFERROR(IF($D$9="",IF($D$11="",IF($D$13="",IF($D$15="",INDEX(orderHistory[payed],SMALL(MATCH(ROW(orderHistory[customer]),ROW(orderHistory[customer])),ROWS($A$15:A63)+$B$3)),INDEX(orderHistory[payed],SMALL(IF(ISNUMBER(MATCH(YEAR(orderHistory[invoice_date]),$D$15,0)),MATCH(ROW(orderHistory[customer]),ROW(orderHistory[customer])),""),ROWS($A$15:A63)+$B$3))),IF($D$15="",INDEX(orderHistory[payed],SMALL(IF(ISNUMBER(MATCH(orderHistory[order_type],$D$13,0)),MATCH(ROW(orderHistory[customer]),ROW(orderHistory[customer])),""),ROWS($A$15:A63)+$B$3)),INDEX(orderHistory[payed],SMALL(IF(ISNUMBER(MATCH(orderHistory[order_type],$D$13,0)*MATCH(YEAR(orderHistory[invoice_date]),$D$15,0)),MATCH(ROW(orderHistory[customer]),ROW(orderHistory[customer])),""),ROWS($A$15:A63)+$B$3)))),IF($D$13="",IF($D$15="",INDEX(orderHistory[payed],SMALL(IF(ISNUMBER(MATCH(orderHistory[status],$D$11,0)),MATCH(ROW(orderHistory[customer]),ROW(orderHistory[customer])),""),ROWS($A$15:A63)+$B$3)),INDEX(orderHistory[payed],SMALL(IF(ISNUMBER(MATCH(orderHistory[status],$D$11,0)*MATCH(YEAR(orderHistory[invoice_date]),$D$15,0)),MATCH(ROW(orderHistory[customer]),ROW(orderHistory[customer])),""),ROWS($A$15:A63)+$B$3))),IF($D$15="",INDEX(orderHistory[payed],SMALL(IF(ISNUMBER(MATCH(orderHistory[status],$D$11,0)*MATCH(orderHistory[order_type],$D$13,0)),MATCH(ROW(orderHistory[customer]),ROW(orderHistory[customer])),""),ROWS($A$15:A63)+$B$3)),INDEX(orderHistory[payed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payed],SMALL(IF(ISNUMBER(MATCH(orderHistory[customer],$D$9,0)),MATCH(ROW(orderHistory[customer]),ROW(orderHistory[customer])),""),ROWS($A$15:A63)+$B$3)),INDEX(orderHistory[payed],SMALL(IF(ISNUMBER(MATCH(orderHistory[customer],$D$9,0)*MATCH(YEAR(orderHistory[invoice_date]),$D$15,0)),MATCH(ROW(orderHistory[customer]),ROW(orderHistory[customer])),""),ROWS($A$15:A63)+$B$3))),IF($D$15="",INDEX(orderHistory[payed],SMALL(IF(ISNUMBER(MATCH(orderHistory[customer],$D$9,0)*MATCH(orderHistory[order_type],$D$13,0)),MATCH(ROW(orderHistory[customer]),ROW(orderHistory[customer])),""),ROWS($A$15:A63)+$B$3)),INDEX(orderHistory[payed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payed],SMALL(IF(ISNUMBER(MATCH(orderHistory[customer],$D$9,0)*MATCH(orderHistory[status],$D$11,0)),MATCH(ROW(orderHistory[customer]),ROW(orderHistory[customer])),""),ROWS($A$15:A63)+$B$3)),INDEX(orderHistory[payed],SMALL(IF(ISNUMBER(MATCH(orderHistory[customer],$D$9,0)*MATCH(orderHistory[status],$D$11,0)*MATCH(YEAR(orderHistory[payed]),$D$15,0)),MATCH(ROW(orderHistory[customer]),ROW(orderHistory[customer])),""),ROWS($A$15:A63)+$B$3))),IF($D$15="",INDEX(orderHistory[payed],SMALL(IF(ISNUMBER(MATCH(orderHistory[customer],$D$9,0)*MATCH(orderHistory[status],$D$11,0)*MATCH(orderHistory[order_type],$D$13,0)),MATCH(ROW(orderHistory[customer]),ROW(orderHistory[customer])),""),ROWS($A$15:A63)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U58" s="541" t="str">
        <f t="array" ref="U58">IFERROR(IF($D$9="",IF($D$11="",IF($D$13="",IF($D$15="",INDEX(orderHistory[shipping_method],SMALL(MATCH(ROW(orderHistory[customer]),ROW(orderHistory[customer])),ROWS($A$15:A63)+$B$3)),INDEX(orderHistory[shipping_method],SMALL(IF(ISNUMBER(MATCH(YEAR(orderHistory[invoice_date]),$D$15,0)),MATCH(ROW(orderHistory[customer]),ROW(orderHistory[customer])),""),ROWS($A$15:A63)+$B$3))),IF($D$15="",INDEX(orderHistory[shipping_method],SMALL(IF(ISNUMBER(MATCH(orderHistory[order_type],$D$13,0)),MATCH(ROW(orderHistory[customer]),ROW(orderHistory[customer])),""),ROWS($A$15:A63)+$B$3)),INDEX(orderHistory[shipping_method],SMALL(IF(ISNUMBER(MATCH(orderHistory[order_type],$D$13,0)*MATCH(YEAR(orderHistory[invoice_date]),$D$15,0)),MATCH(ROW(orderHistory[customer]),ROW(orderHistory[customer])),""),ROWS($A$15:A63)+$B$3)))),IF($D$13="",IF($D$15="",INDEX(orderHistory[shipping_method],SMALL(IF(ISNUMBER(MATCH(orderHistory[status],$D$11,0)),MATCH(ROW(orderHistory[customer]),ROW(orderHistory[customer])),""),ROWS($A$15:A63)+$B$3)),INDEX(orderHistory[shipping_method],SMALL(IF(ISNUMBER(MATCH(orderHistory[status],$D$11,0)*MATCH(YEAR(orderHistory[invoice_date]),$D$15,0)),MATCH(ROW(orderHistory[customer]),ROW(orderHistory[customer])),""),ROWS($A$15:A63)+$B$3))),IF($D$15="",INDEX(orderHistory[shipping_method],SMALL(IF(ISNUMBER(MATCH(orderHistory[status],$D$11,0)*MATCH(orderHistory[order_type],$D$13,0)),MATCH(ROW(orderHistory[customer]),ROW(orderHistory[customer])),""),ROWS($A$15:A63)+$B$3)),INDEX(orderHistory[shipping_method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shipping_method],SMALL(IF(ISNUMBER(MATCH(orderHistory[customer],$D$9,0)),MATCH(ROW(orderHistory[customer]),ROW(orderHistory[customer])),""),ROWS($A$15:A63)+$B$3)),INDEX(orderHistory[shipping_method],SMALL(IF(ISNUMBER(MATCH(orderHistory[customer],$D$9,0)*MATCH(YEAR(orderHistory[invoice_date]),$D$15,0)),MATCH(ROW(orderHistory[customer]),ROW(orderHistory[customer])),""),ROWS($A$15:A63)+$B$3))),IF($D$15="",INDEX(orderHistory[shipping_method],SMALL(IF(ISNUMBER(MATCH(orderHistory[customer],$D$9,0)*MATCH(orderHistory[order_type],$D$13,0)),MATCH(ROW(orderHistory[customer]),ROW(orderHistory[customer])),""),ROWS($A$15:A63)+$B$3)),INDEX(orderHistory[shipping_method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shipping_method],SMALL(IF(ISNUMBER(MATCH(orderHistory[customer],$D$9,0)*MATCH(orderHistory[status],$D$11,0)),MATCH(ROW(orderHistory[customer]),ROW(orderHistory[customer])),""),ROWS($A$15:A63)+$B$3)),INDEX(orderHistory[shipping_method],SMALL(IF(ISNUMBER(MATCH(orderHistory[customer],$D$9,0)*MATCH(orderHistory[status],$D$11,0)*MATCH(YEAR(orderHistory[shipping_method]),$D$15,0)),MATCH(ROW(orderHistory[customer]),ROW(orderHistory[customer])),""),ROWS($A$15:A63)+$B$3))),IF($D$15="",INDEX(orderHistory[shipping_method],SMALL(IF(ISNUMBER(MATCH(orderHistory[customer],$D$9,0)*MATCH(orderHistory[status],$D$11,0)*MATCH(orderHistory[order_type],$D$13,0)),MATCH(ROW(orderHistory[customer]),ROW(orderHistory[customer])),""),ROWS($A$15:A63)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V58" s="548" t="str">
        <f t="array" ref="V58">IFERROR(IF($D$9="",IF($D$11="",IF($D$13="",IF($D$15="",INDEX(orderHistory[status],SMALL(MATCH(ROW(orderHistory[customer]),ROW(orderHistory[customer])),ROWS($A$15:A63)+$B$3)),INDEX(orderHistory[status],SMALL(IF(ISNUMBER(MATCH(YEAR(orderHistory[invoice_date]),$D$15,0)),MATCH(ROW(orderHistory[customer]),ROW(orderHistory[customer])),""),ROWS($A$15:A63)+$B$3))),IF($D$15="",INDEX(orderHistory[status],SMALL(IF(ISNUMBER(MATCH(orderHistory[order_type],$D$13,0)),MATCH(ROW(orderHistory[customer]),ROW(orderHistory[customer])),""),ROWS($A$15:A63)+$B$3)),INDEX(orderHistory[status],SMALL(IF(ISNUMBER(MATCH(orderHistory[order_type],$D$13,0)*MATCH(YEAR(orderHistory[invoice_date]),$D$15,0)),MATCH(ROW(orderHistory[customer]),ROW(orderHistory[customer])),""),ROWS($A$15:A63)+$B$3)))),IF($D$13="",IF($D$15="",INDEX(orderHistory[status],SMALL(IF(ISNUMBER(MATCH(orderHistory[status],$D$11,0)),MATCH(ROW(orderHistory[customer]),ROW(orderHistory[customer])),""),ROWS($A$15:A63)+$B$3)),INDEX(orderHistory[status],SMALL(IF(ISNUMBER(MATCH(orderHistory[status],$D$11,0)*MATCH(YEAR(orderHistory[invoice_date]),$D$15,0)),MATCH(ROW(orderHistory[customer]),ROW(orderHistory[customer])),""),ROWS($A$15:A63)+$B$3))),IF($D$15="",INDEX(orderHistory[status],SMALL(IF(ISNUMBER(MATCH(orderHistory[status],$D$11,0)*MATCH(orderHistory[order_type],$D$13,0)),MATCH(ROW(orderHistory[customer]),ROW(orderHistory[customer])),""),ROWS($A$15:A63)+$B$3)),INDEX(orderHistory[status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status],SMALL(IF(ISNUMBER(MATCH(orderHistory[customer],$D$9,0)),MATCH(ROW(orderHistory[customer]),ROW(orderHistory[customer])),""),ROWS($A$15:A63)+$B$3)),INDEX(orderHistory[status],SMALL(IF(ISNUMBER(MATCH(orderHistory[customer],$D$9,0)*MATCH(YEAR(orderHistory[invoice_date]),$D$15,0)),MATCH(ROW(orderHistory[customer]),ROW(orderHistory[customer])),""),ROWS($A$15:A63)+$B$3))),IF($D$15="",INDEX(orderHistory[status],SMALL(IF(ISNUMBER(MATCH(orderHistory[customer],$D$9,0)*MATCH(orderHistory[order_type],$D$13,0)),MATCH(ROW(orderHistory[customer]),ROW(orderHistory[customer])),""),ROWS($A$15:A63)+$B$3)),INDEX(orderHistory[status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status],SMALL(IF(ISNUMBER(MATCH(orderHistory[customer],$D$9,0)*MATCH(orderHistory[status],$D$11,0)),MATCH(ROW(orderHistory[customer]),ROW(orderHistory[customer])),""),ROWS($A$15:A63)+$B$3)),INDEX(orderHistory[status],SMALL(IF(ISNUMBER(MATCH(orderHistory[customer],$D$9,0)*MATCH(orderHistory[status],$D$11,0)*MATCH(YEAR(orderHistory[status]),$D$15,0)),MATCH(ROW(orderHistory[customer]),ROW(orderHistory[customer])),""),ROWS($A$15:A63)+$B$3))),IF($D$15="",INDEX(orderHistory[status],SMALL(IF(ISNUMBER(MATCH(orderHistory[customer],$D$9,0)*MATCH(orderHistory[status],$D$11,0)*MATCH(orderHistory[order_type],$D$13,0)),MATCH(ROW(orderHistory[customer]),ROW(orderHistory[customer])),""),ROWS($A$15:A63)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W58" s="107"/>
      <c r="AQ58" s="432"/>
      <c r="AR58" s="432" t="s">
        <v>624</v>
      </c>
      <c r="BG58" s="296"/>
      <c r="BK58" s="450"/>
      <c r="BL58" s="451"/>
      <c r="BM58" s="452"/>
      <c r="BN58" s="451"/>
      <c r="BO58" s="452"/>
      <c r="BZ58" s="168"/>
      <c r="CA58" s="154" t="str">
        <f>IF(BZ58="","",INDEX(bhpc_data[description],MATCH(BZ58,bhpc_data[sku],0)))</f>
        <v/>
      </c>
      <c r="CB58" s="159"/>
      <c r="CC58" s="357"/>
      <c r="CD58" s="160"/>
      <c r="CE58" s="360"/>
      <c r="CF58" s="161"/>
      <c r="CG58" s="164" t="str">
        <f>IFERROR(ROUNDUP(CB58/INDEX(bhpc_data[units_per_carton],MATCH(BZ58,bhpc_data[sku],0)),0),"")</f>
        <v/>
      </c>
      <c r="CH58" s="165" t="str">
        <f>IFERROR(ROUNDUP(CD58/INDEX(bhpc_data[units_per_carton],MATCH(BZ58,bhpc_data[sku],0)),0),"")</f>
        <v/>
      </c>
      <c r="CI58" s="165" t="str">
        <f>IFERROR(ROUNDUP(CF58/INDEX(bhpc_data[units_per_carton],MATCH(BZ58,bhpc_data[sku])),0),"")</f>
        <v/>
      </c>
      <c r="CJ58" s="165" t="str">
        <f>IFERROR(((CB58+CD58+CF58)/INDEX(bhpc_data[units_per_carton],MATCH(BZ58,bhpc_data[sku],0)))*INDEX(bhpc_data[net_weight],MATCH(BZ58,bhpc_data[sku],0)),"")</f>
        <v/>
      </c>
      <c r="CK58" s="165" t="str">
        <f>IFERROR(((CB58+CD58+CF58)/INDEX(bhpc_data[units_per_carton],MATCH(BZ58,bhpc_data[sku],0)))*INDEX(bhpc_data[gross_weight],MATCH(BZ58,bhpc_data[sku],0)),"")</f>
        <v/>
      </c>
      <c r="CL58" s="180" t="str">
        <f>IFERROR((CB58+CD58+CF58)/INDEX(bhpc_data[units_per_carton],MATCH(BZ58,bhpc_data[sku],0))*INDEX(bhpc_data[lenght],MATCH(BZ58,bhpc_data[sku],0))*INDEX(bhpc_data[width],MATCH(BZ58,bhpc_data[sku],0))*INDEX(bhpc_data[height],MATCH(BZ58,bhpc_data[sku],0))/1000000000,"")</f>
        <v/>
      </c>
      <c r="CM58" s="189" t="str">
        <f>IFERROR(INDEX(bhpc_data[category],MATCH(BZ58,bhpc_data[sku],0)),"")</f>
        <v/>
      </c>
      <c r="CN58" s="189" t="str">
        <f>IFERROR(INDEX(bhpc_data[size1],MATCH(BZ58,bhpc_data[sku],0)),"")</f>
        <v/>
      </c>
      <c r="CO58" s="388" t="str">
        <f>IFERROR(INDEX(bhpc_data[hs_code],MATCH(BZ58,bhpc_data[sku],0)),"")</f>
        <v/>
      </c>
      <c r="CP58" s="377" t="str">
        <f>IFERROR(INDEX(inventory[ESISTENZA],MATCH(BZ58,inventory[ARTICOLO],0)),"")</f>
        <v/>
      </c>
      <c r="CQ58" s="364" t="str">
        <f>IFERROR(IF(BZ58="","",IF($BX$15="SALE",INDEX(inventory[COSTO UNITARIO],MATCH(BZ58,inventory[ARTICOLO],0)),IF($BX$15="SAMPLING",INDEX(inventory[COSTO UNITARIO],MATCH(BZ58,inventory[ARTICOLO],0)),""))),"")</f>
        <v/>
      </c>
      <c r="CR58" s="365" t="str">
        <f t="shared" si="3"/>
        <v/>
      </c>
      <c r="CS58" s="264" t="str">
        <f t="shared" si="4"/>
        <v/>
      </c>
      <c r="DA58" s="432" t="str">
        <f>IFERROR(VLOOKUP(BZ58,bhpc_data[],22,FALSE),"")</f>
        <v/>
      </c>
      <c r="EE58" s="202" t="str" cm="1">
        <f t="array" ref="EE58">IFERROR(IF($EC$9="",IF($EC$11="",IF($EC$13="",INDEX(bhpc_data[sku],SMALL(MATCH(ROW(bhpc_data[sku]),ROW(bhpc_data[sku])),ROWS($A$15:A63)+$B$3)),INDEX(bhpc_data[sku],SMALL(IF(ISNUMBER(MATCH(bhpc_data[size1],$EC$13,0)),MATCH(ROW(bhpc_data[sku]),ROW(bhpc_data[sku])),""),ROWS($A$15:A63)+$B$3))),IF($EC$13="",INDEX(bhpc_data[sku],SMALL(IF(ISNUMBER(MATCH(bhpc_data[sex],$EC$11,0)),MATCH(ROW(bhpc_data[sku]),ROW(bhpc_data[sku])),""),ROWS($A$15:A63)+$B$3)),INDEX(bhpc_data[sku],SMALL(IF(ISNUMBER(MATCH(bhpc_data[sex],$EC$11,0)*MATCH(bhpc_data[size1],$EC$13,0)),MATCH(ROW(bhpc_data[sku]),ROW(bhpc_data[sku])),""),ROWS($A$15:A63)+$B$3)))),IF($EC$11="",IF($EC$13="",INDEX(bhpc_data[sku],SMALL(IF(ISNUMBER(MATCH(bhpc_data[category],$EC$9,0)),MATCH(ROW(bhpc_data[sku]),ROW(bhpc_data[sku])),""),ROWS($A$15:A63)+$B$3)),INDEX(bhpc_data[sku],SMALL(IF(ISNUMBER(MATCH(bhpc_data[category],$EC$9,0)*MATCH(bhpc_data[size1],$EC$13,0)),MATCH(ROW(bhpc_data[sku]),ROW(bhpc_data[sku])),""),ROWS($A$15:A63)+$B$3))),IF($EC$13="",INDEX(bhpc_data[sku],SMALL(IF(ISNUMBER(MATCH(bhpc_data[category],$EC$9,0)*MATCH(bhpc_data[sex],$EC$11,0)),MATCH(ROW(bhpc_data[sku]),ROW(bhpc_data[sku])),""),ROWS($A$15:A63)+$B$3)),INDEX(bhpc_data[sku],SMALL(IF(ISNUMBER(MATCH(bhpc_data[category],$EC$9,0)*MATCH(bhpc_data[sex],$EC$11,0)*MATCH(bhpc_data[size1],$EC$13,0)),MATCH(ROW(bhpc_data[sku]),ROW(bhpc_data[sku])),""),ROWS($A$15:A63)+$B$3))))),"")</f>
        <v>P05026</v>
      </c>
      <c r="EF58" s="198" t="str" cm="1">
        <f t="array" ref="EF58">IFERROR(IF($EC$9="",IF($EC$11="",IF($EC$13="",INDEX(bhpc_data[description],SMALL(MATCH(ROW(bhpc_data[sku]),ROW(bhpc_data[sku])),ROWS($A$15:A63)+$B$3)),INDEX(bhpc_data[description],SMALL(IF(ISNUMBER(MATCH(bhpc_data[size1],$EC$13,0)),MATCH(ROW(bhpc_data[sku]),ROW(bhpc_data[sku])),""),ROWS($A$15:A63)+$B$3))),IF($EC$13="",INDEX(bhpc_data[description],SMALL(IF(ISNUMBER(MATCH(bhpc_data[sex],$EC$11,0)),MATCH(ROW(bhpc_data[sku]),ROW(bhpc_data[sku])),""),ROWS($A$15:A63)+$B$3)),INDEX(bhpc_data[description],SMALL(IF(ISNUMBER(MATCH(bhpc_data[sex],$EC$11,0)*MATCH(bhpc_data[size1],$EC$13,0)),MATCH(ROW(bhpc_data[sku]),ROW(bhpc_data[sku])),""),ROWS($A$15:A63)+$B$3)))),IF($EC$11="",IF($EC$13="",INDEX(bhpc_data[description],SMALL(IF(ISNUMBER(MATCH(bhpc_data[category],$EC$9,0)),MATCH(ROW(bhpc_data[sku]),ROW(bhpc_data[sku])),""),ROWS($A$15:A63)+$B$3)),INDEX(bhpc_data[description],SMALL(IF(ISNUMBER(MATCH(bhpc_data[category],$EC$9,0)*MATCH(bhpc_data[size1],$EC$13,0)),MATCH(ROW(bhpc_data[sku]),ROW(bhpc_data[sku])),""),ROWS($A$15:A63)+$B$3))),IF($EC$13="",INDEX(bhpc_data[description],SMALL(IF(ISNUMBER(MATCH(bhpc_data[category],$EC$9,0)*MATCH(bhpc_data[sex],$EC$11,0)),MATCH(ROW(bhpc_data[sku]),ROW(bhpc_data[sku])),""),ROWS($A$15:A63)+$B$3)),INDEX(bhpc_data[description],SMALL(IF(ISNUMBER(MATCH(bhpc_data[category],$EC$9,0)*MATCH(bhpc_data[sex],$EC$11,0)*MATCH(bhpc_data[size1],$EC$13,0)),MATCH(ROW(bhpc_data[sku]),ROW(bhpc_data[sku])),""),ROWS($A$15:A63)+$B$3))))),"")</f>
        <v>BHPC WOMEN 8 DEO 150ML</v>
      </c>
      <c r="EG58" s="263">
        <f>IFERROR(IF(warehouse[[#This Row],[SKU]]="","",INDEX(inventory[ESISTENZA],MATCH(warehouse[[#This Row],[SKU]],inventory[ARTICOLO],0))),"")</f>
        <v>20448</v>
      </c>
      <c r="EH58" s="328"/>
      <c r="EI58" s="328"/>
      <c r="EJ58" s="263"/>
      <c r="EK58" s="329"/>
      <c r="EO58" s="296" t="str">
        <f t="array" ref="EO58">IFERROR(INDEX(orderHistory[order_no],SMALL(IF(ISNUMBER(MATCH(orderHistory[status],$EO$7,0)),MATCH(ROW(orderHistory[order_no]),ROW(orderHistory[order_no])),""),ROWS($A$15:A63))),"")</f>
        <v/>
      </c>
    </row>
    <row r="59" spans="10:145" ht="15" customHeight="1" x14ac:dyDescent="0.35">
      <c r="L59" s="539" t="str">
        <f t="array" ref="L59">IFERROR(IF($D$9="",IF($D$11="",IF($D$13="",IF($D$15="",INDEX(orderHistory[customer],SMALL(MATCH(ROW(orderHistory[customer]),ROW(orderHistory[customer])),ROWS($A$15:A64)+$B$3)),INDEX(orderHistory[customer],SMALL(IF(ISNUMBER(MATCH(YEAR(orderHistory[invoice_date]),$D$15,0)),MATCH(ROW(orderHistory[customer]),ROW(orderHistory[customer])),""),ROWS($A$15:A64)+$B$3))),IF($D$15="",INDEX(orderHistory[customer],SMALL(IF(ISNUMBER(MATCH(orderHistory[order_type],$D$13,0)),MATCH(ROW(orderHistory[customer]),ROW(orderHistory[customer])),""),ROWS($A$15:A64)+$B$3)),INDEX(orderHistory[customer],SMALL(IF(ISNUMBER(MATCH(orderHistory[order_type],$D$13,0)*MATCH(YEAR(orderHistory[invoice_date]),$D$15,0)),MATCH(ROW(orderHistory[customer]),ROW(orderHistory[customer])),""),ROWS($A$15:A64)+$B$3)))),IF($D$13="",IF($D$15="",INDEX(orderHistory[customer],SMALL(IF(ISNUMBER(MATCH(orderHistory[status],$D$11,0)),MATCH(ROW(orderHistory[customer]),ROW(orderHistory[customer])),""),ROWS($A$15:A64)+$B$3)),INDEX(orderHistory[customer],SMALL(IF(ISNUMBER(MATCH(orderHistory[status],$D$11,0)*MATCH(YEAR(orderHistory[invoice_date]),$D$15,0)),MATCH(ROW(orderHistory[customer]),ROW(orderHistory[customer])),""),ROWS($A$15:A64)+$B$3))),IF($D$15="",INDEX(orderHistory[customer],SMALL(IF(ISNUMBER(MATCH(orderHistory[status],$D$11,0)*MATCH(orderHistory[order_type],$D$13,0)),MATCH(ROW(orderHistory[customer]),ROW(orderHistory[customer])),""),ROWS($A$15:A64)+$B$3)),INDEX(orderHistory[customer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customer],SMALL(IF(ISNUMBER(MATCH(orderHistory[customer],$D$9,0)),MATCH(ROW(orderHistory[customer]),ROW(orderHistory[customer])),""),ROWS($A$15:A64)+$B$3)),INDEX(orderHistory[customer],SMALL(IF(ISNUMBER(MATCH(orderHistory[customer],$D$9,0)*MATCH(YEAR(orderHistory[invoice_date]),$D$15,0)),MATCH(ROW(orderHistory[customer]),ROW(orderHistory[customer])),""),ROWS($A$15:A64)+$B$3))),IF($D$15="",INDEX(orderHistory[customer],SMALL(IF(ISNUMBER(MATCH(orderHistory[customer],$D$9,0)*MATCH(orderHistory[order_type],$D$13,0)),MATCH(ROW(orderHistory[customer]),ROW(orderHistory[customer])),""),ROWS($A$15:A64)+$B$3)),INDEX(orderHistory[customer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customer],SMALL(IF(ISNUMBER(MATCH(orderHistory[customer],$D$9,0)*MATCH(orderHistory[status],$D$11,0)),MATCH(ROW(orderHistory[customer]),ROW(orderHistory[customer])),""),ROWS($A$15:A64)+$B$3)),INDEX(orderHistory[customer],SMALL(IF(ISNUMBER(MATCH(orderHistory[customer],$D$9,0)*MATCH(orderHistory[status],$D$11,0)*MATCH(YEAR(orderHistory[invoice_date]),$D$15,0)),MATCH(ROW(orderHistory[customer]),ROW(orderHistory[customer])),""),ROWS($A$15:A64)+$B$3))),IF($D$15="",INDEX(orderHistory[customer],SMALL(IF(ISNUMBER(MATCH(orderHistory[customer],$D$9,0)*MATCH(orderHistory[status],$D$11,0)*MATCH(orderHistory[order_type],$D$13,0)),MATCH(ROW(orderHistory[customer]),ROW(orderHistory[customer])),""),ROWS($A$15:A64)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M59" s="540" t="str">
        <f t="array" ref="M59">IFERROR(IF($D$9="",IF($D$11="",IF($D$13="",IF($D$15="",INDEX(orderHistory[order_no],SMALL(MATCH(ROW(orderHistory[customer]),ROW(orderHistory[customer])),ROWS($A$15:A64)+$B$3)),INDEX(orderHistory[order_no],SMALL(IF(ISNUMBER(MATCH(YEAR(orderHistory[invoice_date]),$D$15,0)),MATCH(ROW(orderHistory[customer]),ROW(orderHistory[customer])),""),ROWS($A$15:A64)+$B$3))),IF($D$15="",INDEX(orderHistory[order_no],SMALL(IF(ISNUMBER(MATCH(orderHistory[order_type],$D$13,0)),MATCH(ROW(orderHistory[customer]),ROW(orderHistory[customer])),""),ROWS($A$15:A64)+$B$3)),INDEX(orderHistory[order_no],SMALL(IF(ISNUMBER(MATCH(orderHistory[order_type],$D$13,0)*MATCH(YEAR(orderHistory[invoice_date]),$D$15,0)),MATCH(ROW(orderHistory[customer]),ROW(orderHistory[customer])),""),ROWS($A$15:A64)+$B$3)))),IF($D$13="",IF($D$15="",INDEX(orderHistory[order_no],SMALL(IF(ISNUMBER(MATCH(orderHistory[status],$D$11,0)),MATCH(ROW(orderHistory[customer]),ROW(orderHistory[customer])),""),ROWS($A$15:A64)+$B$3)),INDEX(orderHistory[order_no],SMALL(IF(ISNUMBER(MATCH(orderHistory[status],$D$11,0)*MATCH(YEAR(orderHistory[invoice_date]),$D$15,0)),MATCH(ROW(orderHistory[customer]),ROW(orderHistory[customer])),""),ROWS($A$15:A64)+$B$3))),IF($D$15="",INDEX(orderHistory[order_no],SMALL(IF(ISNUMBER(MATCH(orderHistory[status],$D$11,0)*MATCH(orderHistory[order_type],$D$13,0)),MATCH(ROW(orderHistory[customer]),ROW(orderHistory[customer])),""),ROWS($A$15:A64)+$B$3)),INDEX(orderHistory[order_no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no],SMALL(IF(ISNUMBER(MATCH(orderHistory[customer],$D$9,0)),MATCH(ROW(orderHistory[customer]),ROW(orderHistory[customer])),""),ROWS($A$15:A64)+$B$3)),INDEX(orderHistory[order_no],SMALL(IF(ISNUMBER(MATCH(orderHistory[customer],$D$9,0)*MATCH(YEAR(orderHistory[invoice_date]),$D$15,0)),MATCH(ROW(orderHistory[customer]),ROW(orderHistory[customer])),""),ROWS($A$15:A64)+$B$3))),IF($D$15="",INDEX(orderHistory[order_no],SMALL(IF(ISNUMBER(MATCH(orderHistory[customer],$D$9,0)*MATCH(orderHistory[order_type],$D$13,0)),MATCH(ROW(orderHistory[customer]),ROW(orderHistory[customer])),""),ROWS($A$15:A64)+$B$3)),INDEX(orderHistory[order_no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no],SMALL(IF(ISNUMBER(MATCH(orderHistory[customer],$D$9,0)*MATCH(orderHistory[status],$D$11,0)),MATCH(ROW(orderHistory[customer]),ROW(orderHistory[customer])),""),ROWS($A$15:A64)+$B$3)),INDEX(orderHistory[order_no],SMALL(IF(ISNUMBER(MATCH(orderHistory[customer],$D$9,0)*MATCH(orderHistory[status],$D$11,0)*MATCH(YEAR(orderHistory[invoice_date]),$D$15,0)),MATCH(ROW(orderHistory[customer]),ROW(orderHistory[customer])),""),ROWS($A$15:A64)+$B$3))),IF($D$15="",INDEX(orderHistory[order_no],SMALL(IF(ISNUMBER(MATCH(orderHistory[customer],$D$9,0)*MATCH(orderHistory[status],$D$11,0)*MATCH(orderHistory[order_type],$D$13,0)),MATCH(ROW(orderHistory[customer]),ROW(orderHistory[customer])),""),ROWS($A$15:A64)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N59" s="541" t="str">
        <f t="array" ref="N59">IFERROR(IF($D$9="",IF($D$11="",IF($D$13="",IF($D$15="",INDEX(orderHistory[order_type],SMALL(MATCH(ROW(orderHistory[customer]),ROW(orderHistory[customer])),ROWS($A$15:A64)+$B$3)),INDEX(orderHistory[order_type],SMALL(IF(ISNUMBER(MATCH(YEAR(orderHistory[invoice_date]),$D$15,0)),MATCH(ROW(orderHistory[customer]),ROW(orderHistory[customer])),""),ROWS($A$15:A64)+$B$3))),IF($D$15="",INDEX(orderHistory[order_type],SMALL(IF(ISNUMBER(MATCH(orderHistory[order_type],$D$13,0)),MATCH(ROW(orderHistory[customer]),ROW(orderHistory[customer])),""),ROWS($A$15:A64)+$B$3)),INDEX(orderHistory[order_type],SMALL(IF(ISNUMBER(MATCH(orderHistory[order_type],$D$13,0)*MATCH(YEAR(orderHistory[invoice_date]),$D$15,0)),MATCH(ROW(orderHistory[customer]),ROW(orderHistory[customer])),""),ROWS($A$15:A64)+$B$3)))),IF($D$13="",IF($D$15="",INDEX(orderHistory[order_type],SMALL(IF(ISNUMBER(MATCH(orderHistory[status],$D$11,0)),MATCH(ROW(orderHistory[customer]),ROW(orderHistory[customer])),""),ROWS($A$15:A64)+$B$3)),INDEX(orderHistory[order_type],SMALL(IF(ISNUMBER(MATCH(orderHistory[status],$D$11,0)*MATCH(YEAR(orderHistory[invoice_date]),$D$15,0)),MATCH(ROW(orderHistory[customer]),ROW(orderHistory[customer])),""),ROWS($A$15:A64)+$B$3))),IF($D$15="",INDEX(orderHistory[order_type],SMALL(IF(ISNUMBER(MATCH(orderHistory[status],$D$11,0)*MATCH(orderHistory[order_type],$D$13,0)),MATCH(ROW(orderHistory[customer]),ROW(orderHistory[customer])),""),ROWS($A$15:A64)+$B$3)),INDEX(orderHistory[order_typ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type],SMALL(IF(ISNUMBER(MATCH(orderHistory[customer],$D$9,0)),MATCH(ROW(orderHistory[customer]),ROW(orderHistory[customer])),""),ROWS($A$15:A64)+$B$3)),INDEX(orderHistory[order_type],SMALL(IF(ISNUMBER(MATCH(orderHistory[customer],$D$9,0)*MATCH(YEAR(orderHistory[invoice_date]),$D$15,0)),MATCH(ROW(orderHistory[customer]),ROW(orderHistory[customer])),""),ROWS($A$15:A64)+$B$3))),IF($D$15="",INDEX(orderHistory[order_type],SMALL(IF(ISNUMBER(MATCH(orderHistory[customer],$D$9,0)*MATCH(orderHistory[order_type],$D$13,0)),MATCH(ROW(orderHistory[customer]),ROW(orderHistory[customer])),""),ROWS($A$15:A64)+$B$3)),INDEX(orderHistory[order_typ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type],SMALL(IF(ISNUMBER(MATCH(orderHistory[customer],$D$9,0)*MATCH(orderHistory[status],$D$11,0)),MATCH(ROW(orderHistory[customer]),ROW(orderHistory[customer])),""),ROWS($A$15:A64)+$B$3)),INDEX(orderHistory[order_type],SMALL(IF(ISNUMBER(MATCH(orderHistory[customer],$D$9,0)*MATCH(orderHistory[status],$D$11,0)*MATCH(YEAR(orderHistory[invoice_date]),$D$15,0)),MATCH(ROW(orderHistory[customer]),ROW(orderHistory[customer])),""),ROWS($A$15:A64)+$B$3))),IF($D$15="",INDEX(orderHistory[order_type],SMALL(IF(ISNUMBER(MATCH(orderHistory[customer],$D$9,0)*MATCH(orderHistory[status],$D$11,0)*MATCH(orderHistory[order_type],$D$13,0)),MATCH(ROW(orderHistory[customer]),ROW(orderHistory[customer])),""),ROWS($A$15:A64)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O59" s="542" t="str">
        <f t="array" ref="O59">IFERROR(IF($D$9="",IF($D$11="",IF($D$13="",IF($D$15="",INDEX(orderHistory[order_date],SMALL(MATCH(ROW(orderHistory[customer]),ROW(orderHistory[customer])),ROWS($A$15:A64)+$B$3)),INDEX(orderHistory[order_date],SMALL(IF(ISNUMBER(MATCH(YEAR(orderHistory[invoice_date]),$D$15,0)),MATCH(ROW(orderHistory[customer]),ROW(orderHistory[customer])),""),ROWS($A$15:A64)+$B$3))),IF($D$15="",INDEX(orderHistory[order_date],SMALL(IF(ISNUMBER(MATCH(orderHistory[order_type],$D$13,0)),MATCH(ROW(orderHistory[customer]),ROW(orderHistory[customer])),""),ROWS($A$15:A64)+$B$3)),INDEX(orderHistory[order_date],SMALL(IF(ISNUMBER(MATCH(orderHistory[order_type],$D$13,0)*MATCH(YEAR(orderHistory[invoice_date]),$D$15,0)),MATCH(ROW(orderHistory[customer]),ROW(orderHistory[customer])),""),ROWS($A$15:A64)+$B$3)))),IF($D$13="",IF($D$15="",INDEX(orderHistory[order_date],SMALL(IF(ISNUMBER(MATCH(orderHistory[status],$D$11,0)),MATCH(ROW(orderHistory[customer]),ROW(orderHistory[customer])),""),ROWS($A$15:A64)+$B$3)),INDEX(orderHistory[order_date],SMALL(IF(ISNUMBER(MATCH(orderHistory[status],$D$11,0)*MATCH(YEAR(orderHistory[invoice_date]),$D$15,0)),MATCH(ROW(orderHistory[customer]),ROW(orderHistory[customer])),""),ROWS($A$15:A64)+$B$3))),IF($D$15="",INDEX(orderHistory[order_date],SMALL(IF(ISNUMBER(MATCH(orderHistory[status],$D$11,0)*MATCH(orderHistory[order_type],$D$13,0)),MATCH(ROW(orderHistory[customer]),ROW(orderHistory[customer])),""),ROWS($A$15:A64)+$B$3)),INDEX(orderHistory[order_dat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date],SMALL(IF(ISNUMBER(MATCH(orderHistory[customer],$D$9,0)),MATCH(ROW(orderHistory[customer]),ROW(orderHistory[customer])),""),ROWS($A$15:A64)+$B$3)),INDEX(orderHistory[order_date],SMALL(IF(ISNUMBER(MATCH(orderHistory[customer],$D$9,0)*MATCH(YEAR(orderHistory[invoice_date]),$D$15,0)),MATCH(ROW(orderHistory[customer]),ROW(orderHistory[customer])),""),ROWS($A$15:A64)+$B$3))),IF($D$15="",INDEX(orderHistory[order_date],SMALL(IF(ISNUMBER(MATCH(orderHistory[customer],$D$9,0)*MATCH(orderHistory[order_type],$D$13,0)),MATCH(ROW(orderHistory[customer]),ROW(orderHistory[customer])),""),ROWS($A$15:A64)+$B$3)),INDEX(orderHistory[order_dat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date],SMALL(IF(ISNUMBER(MATCH(orderHistory[customer],$D$9,0)*MATCH(orderHistory[status],$D$11,0)),MATCH(ROW(orderHistory[customer]),ROW(orderHistory[customer])),""),ROWS($A$15:A64)+$B$3)),INDEX(orderHistory[order_date],SMALL(IF(ISNUMBER(MATCH(orderHistory[customer],$D$9,0)*MATCH(orderHistory[status],$D$11,0)*MATCH(YEAR(orderHistory[invoice_date]),$D$15,0)),MATCH(ROW(orderHistory[customer]),ROW(orderHistory[customer])),""),ROWS($A$15:A64)+$B$3))),IF($D$15="",INDEX(orderHistory[order_date],SMALL(IF(ISNUMBER(MATCH(orderHistory[customer],$D$9,0)*MATCH(orderHistory[status],$D$11,0)*MATCH(orderHistory[order_type],$D$13,0)),MATCH(ROW(orderHistory[customer]),ROW(orderHistory[customer])),""),ROWS($A$15:A64)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P59" s="543" t="str">
        <f t="array" ref="P59">IFERROR(IF($D$9="",IF($D$11="",IF($D$13="",IF($D$15="",INDEX(orderHistory[invoice_no],SMALL(MATCH(ROW(orderHistory[customer]),ROW(orderHistory[customer])),ROWS($A$15:A64)+$B$3)),INDEX(orderHistory[invoice_no],SMALL(IF(ISNUMBER(MATCH(YEAR(orderHistory[invoice_date]),$D$15,0)),MATCH(ROW(orderHistory[customer]),ROW(orderHistory[customer])),""),ROWS($A$15:A64)+$B$3))),IF($D$15="",INDEX(orderHistory[invoice_no],SMALL(IF(ISNUMBER(MATCH(orderHistory[order_type],$D$13,0)),MATCH(ROW(orderHistory[customer]),ROW(orderHistory[customer])),""),ROWS($A$15:A64)+$B$3)),INDEX(orderHistory[invoice_no],SMALL(IF(ISNUMBER(MATCH(orderHistory[order_type],$D$13,0)*MATCH(YEAR(orderHistory[invoice_date]),$D$15,0)),MATCH(ROW(orderHistory[customer]),ROW(orderHistory[customer])),""),ROWS($A$15:A64)+$B$3)))),IF($D$13="",IF($D$15="",INDEX(orderHistory[invoice_no],SMALL(IF(ISNUMBER(MATCH(orderHistory[status],$D$11,0)),MATCH(ROW(orderHistory[customer]),ROW(orderHistory[customer])),""),ROWS($A$15:A64)+$B$3)),INDEX(orderHistory[invoice_no],SMALL(IF(ISNUMBER(MATCH(orderHistory[status],$D$11,0)*MATCH(YEAR(orderHistory[invoice_date]),$D$15,0)),MATCH(ROW(orderHistory[customer]),ROW(orderHistory[customer])),""),ROWS($A$15:A64)+$B$3))),IF($D$15="",INDEX(orderHistory[invoice_no],SMALL(IF(ISNUMBER(MATCH(orderHistory[status],$D$11,0)*MATCH(orderHistory[order_type],$D$13,0)),MATCH(ROW(orderHistory[customer]),ROW(orderHistory[customer])),""),ROWS($A$15:A64)+$B$3)),INDEX(orderHistory[invoice_no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oice_no],SMALL(IF(ISNUMBER(MATCH(orderHistory[customer],$D$9,0)),MATCH(ROW(orderHistory[customer]),ROW(orderHistory[customer])),""),ROWS($A$15:A64)+$B$3)),INDEX(orderHistory[invoice_no],SMALL(IF(ISNUMBER(MATCH(orderHistory[customer],$D$9,0)*MATCH(YEAR(orderHistory[invoice_date]),$D$15,0)),MATCH(ROW(orderHistory[customer]),ROW(orderHistory[customer])),""),ROWS($A$15:A64)+$B$3))),IF($D$15="",INDEX(orderHistory[invoice_no],SMALL(IF(ISNUMBER(MATCH(orderHistory[customer],$D$9,0)*MATCH(orderHistory[order_type],$D$13,0)),MATCH(ROW(orderHistory[customer]),ROW(orderHistory[customer])),""),ROWS($A$15:A64)+$B$3)),INDEX(orderHistory[invoice_no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oice_no],SMALL(IF(ISNUMBER(MATCH(orderHistory[customer],$D$9,0)*MATCH(orderHistory[status],$D$11,0)),MATCH(ROW(orderHistory[customer]),ROW(orderHistory[customer])),""),ROWS($A$15:A64)+$B$3)),INDEX(orderHistory[invoice_no],SMALL(IF(ISNUMBER(MATCH(orderHistory[customer],$D$9,0)*MATCH(orderHistory[status],$D$11,0)*MATCH(YEAR(orderHistory[invoice_date]),$D$15,0)),MATCH(ROW(orderHistory[customer]),ROW(orderHistory[customer])),""),ROWS($A$15:A64)+$B$3))),IF($D$15="",INDEX(orderHistory[invoice_no],SMALL(IF(ISNUMBER(MATCH(orderHistory[customer],$D$9,0)*MATCH(orderHistory[status],$D$11,0)*MATCH(orderHistory[order_type],$D$13,0)),MATCH(ROW(orderHistory[customer]),ROW(orderHistory[customer])),""),ROWS($A$15:A64)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Q59" s="544" t="str">
        <f t="array" ref="Q59">IFERROR(IF($D$9="",IF($D$11="",IF($D$13="",IF($D$15="",INDEX(orderHistory[invoice_date],SMALL(MATCH(ROW(orderHistory[customer]),ROW(orderHistory[customer])),ROWS($A$15:A64)+$B$3)),INDEX(orderHistory[invoice_date],SMALL(IF(ISNUMBER(MATCH(YEAR(orderHistory[invoice_date]),$D$15,0)),MATCH(ROW(orderHistory[customer]),ROW(orderHistory[customer])),""),ROWS($A$15:A64)+$B$3))),IF($D$15="",INDEX(orderHistory[invoice_date],SMALL(IF(ISNUMBER(MATCH(orderHistory[order_type],$D$13,0)),MATCH(ROW(orderHistory[customer]),ROW(orderHistory[customer])),""),ROWS($A$15:A64)+$B$3)),INDEX(orderHistory[invoice_date],SMALL(IF(ISNUMBER(MATCH(orderHistory[order_type],$D$13,0)*MATCH(YEAR(orderHistory[invoice_date]),$D$15,0)),MATCH(ROW(orderHistory[customer]),ROW(orderHistory[customer])),""),ROWS($A$15:A64)+$B$3)))),IF($D$13="",IF($D$15="",INDEX(orderHistory[invoice_date],SMALL(IF(ISNUMBER(MATCH(orderHistory[status],$D$11,0)),MATCH(ROW(orderHistory[customer]),ROW(orderHistory[customer])),""),ROWS($A$15:A64)+$B$3)),INDEX(orderHistory[invoice_date],SMALL(IF(ISNUMBER(MATCH(orderHistory[status],$D$11,0)*MATCH(YEAR(orderHistory[invoice_date]),$D$15,0)),MATCH(ROW(orderHistory[customer]),ROW(orderHistory[customer])),""),ROWS($A$15:A64)+$B$3))),IF($D$15="",INDEX(orderHistory[invoice_date],SMALL(IF(ISNUMBER(MATCH(orderHistory[status],$D$11,0)*MATCH(orderHistory[order_type],$D$13,0)),MATCH(ROW(orderHistory[customer]),ROW(orderHistory[customer])),""),ROWS($A$15:A64)+$B$3)),INDEX(orderHistory[invoice_dat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oice_date],SMALL(IF(ISNUMBER(MATCH(orderHistory[customer],$D$9,0)),MATCH(ROW(orderHistory[customer]),ROW(orderHistory[customer])),""),ROWS($A$15:A64)+$B$3)),INDEX(orderHistory[invoice_date],SMALL(IF(ISNUMBER(MATCH(orderHistory[customer],$D$9,0)*MATCH(YEAR(orderHistory[invoice_date]),$D$15,0)),MATCH(ROW(orderHistory[customer]),ROW(orderHistory[customer])),""),ROWS($A$15:A64)+$B$3))),IF($D$15="",INDEX(orderHistory[invoice_date],SMALL(IF(ISNUMBER(MATCH(orderHistory[customer],$D$9,0)*MATCH(orderHistory[order_type],$D$13,0)),MATCH(ROW(orderHistory[customer]),ROW(orderHistory[customer])),""),ROWS($A$15:A64)+$B$3)),INDEX(orderHistory[invoice_dat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oice_date],SMALL(IF(ISNUMBER(MATCH(orderHistory[customer],$D$9,0)*MATCH(orderHistory[status],$D$11,0)),MATCH(ROW(orderHistory[customer]),ROW(orderHistory[customer])),""),ROWS($A$15:A64)+$B$3)),INDEX(orderHistory[invoice_date],SMALL(IF(ISNUMBER(MATCH(orderHistory[customer],$D$9,0)*MATCH(orderHistory[status],$D$11,0)*MATCH(YEAR(orderHistory[invoice_date]),$D$15,0)),MATCH(ROW(orderHistory[customer]),ROW(orderHistory[customer])),""),ROWS($A$15:A64)+$B$3))),IF($D$15="",INDEX(orderHistory[invoice_date],SMALL(IF(ISNUMBER(MATCH(orderHistory[customer],$D$9,0)*MATCH(orderHistory[status],$D$11,0)*MATCH(orderHistory[order_type],$D$13,0)),MATCH(ROW(orderHistory[customer]),ROW(orderHistory[customer])),""),ROWS($A$15:A64)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R59" s="545" t="str">
        <f t="array" ref="R59">IFERROR(IF($D$9="",IF($D$11="",IF($D$13="",IF($D$15="",INDEX(orderHistory[inv_amount],SMALL(MATCH(ROW(orderHistory[customer]),ROW(orderHistory[customer])),ROWS($A$15:A64)+$B$3)),INDEX(orderHistory[inv_amount],SMALL(IF(ISNUMBER(MATCH(YEAR(orderHistory[invoice_date]),$D$15,0)),MATCH(ROW(orderHistory[customer]),ROW(orderHistory[customer])),""),ROWS($A$15:A64)+$B$3))),IF($D$15="",INDEX(orderHistory[inv_amount],SMALL(IF(ISNUMBER(MATCH(orderHistory[order_type],$D$13,0)),MATCH(ROW(orderHistory[customer]),ROW(orderHistory[customer])),""),ROWS($A$15:A64)+$B$3)),INDEX(orderHistory[inv_amount],SMALL(IF(ISNUMBER(MATCH(orderHistory[order_type],$D$13,0)*MATCH(YEAR(orderHistory[invoice_date]),$D$15,0)),MATCH(ROW(orderHistory[customer]),ROW(orderHistory[customer])),""),ROWS($A$15:A64)+$B$3)))),IF($D$13="",IF($D$15="",INDEX(orderHistory[inv_amount],SMALL(IF(ISNUMBER(MATCH(orderHistory[status],$D$11,0)),MATCH(ROW(orderHistory[customer]),ROW(orderHistory[customer])),""),ROWS($A$15:A64)+$B$3)),INDEX(orderHistory[inv_amount],SMALL(IF(ISNUMBER(MATCH(orderHistory[status],$D$11,0)*MATCH(YEAR(orderHistory[invoice_date]),$D$15,0)),MATCH(ROW(orderHistory[customer]),ROW(orderHistory[customer])),""),ROWS($A$15:A64)+$B$3))),IF($D$15="",INDEX(orderHistory[inv_amount],SMALL(IF(ISNUMBER(MATCH(orderHistory[status],$D$11,0)*MATCH(orderHistory[order_type],$D$13,0)),MATCH(ROW(orderHistory[customer]),ROW(orderHistory[customer])),""),ROWS($A$15:A64)+$B$3)),INDEX(orderHistory[inv_amount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_amount],SMALL(IF(ISNUMBER(MATCH(orderHistory[customer],$D$9,0)),MATCH(ROW(orderHistory[customer]),ROW(orderHistory[customer])),""),ROWS($A$15:A64)+$B$3)),INDEX(orderHistory[inv_amount],SMALL(IF(ISNUMBER(MATCH(orderHistory[customer],$D$9,0)*MATCH(YEAR(orderHistory[invoice_date]),$D$15,0)),MATCH(ROW(orderHistory[customer]),ROW(orderHistory[customer])),""),ROWS($A$15:A64)+$B$3))),IF($D$15="",INDEX(orderHistory[inv_amount],SMALL(IF(ISNUMBER(MATCH(orderHistory[customer],$D$9,0)*MATCH(orderHistory[order_type],$D$13,0)),MATCH(ROW(orderHistory[customer]),ROW(orderHistory[customer])),""),ROWS($A$15:A64)+$B$3)),INDEX(orderHistory[inv_amount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_amount],SMALL(IF(ISNUMBER(MATCH(orderHistory[customer],$D$9,0)*MATCH(orderHistory[status],$D$11,0)),MATCH(ROW(orderHistory[customer]),ROW(orderHistory[customer])),""),ROWS($A$15:A64)+$B$3)),INDEX(orderHistory[inv_amount],SMALL(IF(ISNUMBER(MATCH(orderHistory[customer],$D$9,0)*MATCH(orderHistory[status],$D$11,0)*MATCH(YEAR(orderHistory[inv_amount]),$D$15,0)),MATCH(ROW(orderHistory[customer]),ROW(orderHistory[customer])),""),ROWS($A$15:A64)+$B$3))),IF($D$15="",INDEX(orderHistory[inv_amount],SMALL(IF(ISNUMBER(MATCH(orderHistory[customer],$D$9,0)*MATCH(orderHistory[status],$D$11,0)*MATCH(orderHistory[order_type],$D$13,0)),MATCH(ROW(orderHistory[customer]),ROW(orderHistory[customer])),""),ROWS($A$15:A64)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S59" s="546" t="str">
        <f t="shared" si="2"/>
        <v/>
      </c>
      <c r="T59" s="547" t="str">
        <f t="array" ref="T59">IFERROR(IF($D$9="",IF($D$11="",IF($D$13="",IF($D$15="",INDEX(orderHistory[payed],SMALL(MATCH(ROW(orderHistory[customer]),ROW(orderHistory[customer])),ROWS($A$15:A64)+$B$3)),INDEX(orderHistory[payed],SMALL(IF(ISNUMBER(MATCH(YEAR(orderHistory[invoice_date]),$D$15,0)),MATCH(ROW(orderHistory[customer]),ROW(orderHistory[customer])),""),ROWS($A$15:A64)+$B$3))),IF($D$15="",INDEX(orderHistory[payed],SMALL(IF(ISNUMBER(MATCH(orderHistory[order_type],$D$13,0)),MATCH(ROW(orderHistory[customer]),ROW(orderHistory[customer])),""),ROWS($A$15:A64)+$B$3)),INDEX(orderHistory[payed],SMALL(IF(ISNUMBER(MATCH(orderHistory[order_type],$D$13,0)*MATCH(YEAR(orderHistory[invoice_date]),$D$15,0)),MATCH(ROW(orderHistory[customer]),ROW(orderHistory[customer])),""),ROWS($A$15:A64)+$B$3)))),IF($D$13="",IF($D$15="",INDEX(orderHistory[payed],SMALL(IF(ISNUMBER(MATCH(orderHistory[status],$D$11,0)),MATCH(ROW(orderHistory[customer]),ROW(orderHistory[customer])),""),ROWS($A$15:A64)+$B$3)),INDEX(orderHistory[payed],SMALL(IF(ISNUMBER(MATCH(orderHistory[status],$D$11,0)*MATCH(YEAR(orderHistory[invoice_date]),$D$15,0)),MATCH(ROW(orderHistory[customer]),ROW(orderHistory[customer])),""),ROWS($A$15:A64)+$B$3))),IF($D$15="",INDEX(orderHistory[payed],SMALL(IF(ISNUMBER(MATCH(orderHistory[status],$D$11,0)*MATCH(orderHistory[order_type],$D$13,0)),MATCH(ROW(orderHistory[customer]),ROW(orderHistory[customer])),""),ROWS($A$15:A64)+$B$3)),INDEX(orderHistory[payed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payed],SMALL(IF(ISNUMBER(MATCH(orderHistory[customer],$D$9,0)),MATCH(ROW(orderHistory[customer]),ROW(orderHistory[customer])),""),ROWS($A$15:A64)+$B$3)),INDEX(orderHistory[payed],SMALL(IF(ISNUMBER(MATCH(orderHistory[customer],$D$9,0)*MATCH(YEAR(orderHistory[invoice_date]),$D$15,0)),MATCH(ROW(orderHistory[customer]),ROW(orderHistory[customer])),""),ROWS($A$15:A64)+$B$3))),IF($D$15="",INDEX(orderHistory[payed],SMALL(IF(ISNUMBER(MATCH(orderHistory[customer],$D$9,0)*MATCH(orderHistory[order_type],$D$13,0)),MATCH(ROW(orderHistory[customer]),ROW(orderHistory[customer])),""),ROWS($A$15:A64)+$B$3)),INDEX(orderHistory[payed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payed],SMALL(IF(ISNUMBER(MATCH(orderHistory[customer],$D$9,0)*MATCH(orderHistory[status],$D$11,0)),MATCH(ROW(orderHistory[customer]),ROW(orderHistory[customer])),""),ROWS($A$15:A64)+$B$3)),INDEX(orderHistory[payed],SMALL(IF(ISNUMBER(MATCH(orderHistory[customer],$D$9,0)*MATCH(orderHistory[status],$D$11,0)*MATCH(YEAR(orderHistory[payed]),$D$15,0)),MATCH(ROW(orderHistory[customer]),ROW(orderHistory[customer])),""),ROWS($A$15:A64)+$B$3))),IF($D$15="",INDEX(orderHistory[payed],SMALL(IF(ISNUMBER(MATCH(orderHistory[customer],$D$9,0)*MATCH(orderHistory[status],$D$11,0)*MATCH(orderHistory[order_type],$D$13,0)),MATCH(ROW(orderHistory[customer]),ROW(orderHistory[customer])),""),ROWS($A$15:A64)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U59" s="541" t="str">
        <f t="array" ref="U59">IFERROR(IF($D$9="",IF($D$11="",IF($D$13="",IF($D$15="",INDEX(orderHistory[shipping_method],SMALL(MATCH(ROW(orderHistory[customer]),ROW(orderHistory[customer])),ROWS($A$15:A64)+$B$3)),INDEX(orderHistory[shipping_method],SMALL(IF(ISNUMBER(MATCH(YEAR(orderHistory[invoice_date]),$D$15,0)),MATCH(ROW(orderHistory[customer]),ROW(orderHistory[customer])),""),ROWS($A$15:A64)+$B$3))),IF($D$15="",INDEX(orderHistory[shipping_method],SMALL(IF(ISNUMBER(MATCH(orderHistory[order_type],$D$13,0)),MATCH(ROW(orderHistory[customer]),ROW(orderHistory[customer])),""),ROWS($A$15:A64)+$B$3)),INDEX(orderHistory[shipping_method],SMALL(IF(ISNUMBER(MATCH(orderHistory[order_type],$D$13,0)*MATCH(YEAR(orderHistory[invoice_date]),$D$15,0)),MATCH(ROW(orderHistory[customer]),ROW(orderHistory[customer])),""),ROWS($A$15:A64)+$B$3)))),IF($D$13="",IF($D$15="",INDEX(orderHistory[shipping_method],SMALL(IF(ISNUMBER(MATCH(orderHistory[status],$D$11,0)),MATCH(ROW(orderHistory[customer]),ROW(orderHistory[customer])),""),ROWS($A$15:A64)+$B$3)),INDEX(orderHistory[shipping_method],SMALL(IF(ISNUMBER(MATCH(orderHistory[status],$D$11,0)*MATCH(YEAR(orderHistory[invoice_date]),$D$15,0)),MATCH(ROW(orderHistory[customer]),ROW(orderHistory[customer])),""),ROWS($A$15:A64)+$B$3))),IF($D$15="",INDEX(orderHistory[shipping_method],SMALL(IF(ISNUMBER(MATCH(orderHistory[status],$D$11,0)*MATCH(orderHistory[order_type],$D$13,0)),MATCH(ROW(orderHistory[customer]),ROW(orderHistory[customer])),""),ROWS($A$15:A64)+$B$3)),INDEX(orderHistory[shipping_method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shipping_method],SMALL(IF(ISNUMBER(MATCH(orderHistory[customer],$D$9,0)),MATCH(ROW(orderHistory[customer]),ROW(orderHistory[customer])),""),ROWS($A$15:A64)+$B$3)),INDEX(orderHistory[shipping_method],SMALL(IF(ISNUMBER(MATCH(orderHistory[customer],$D$9,0)*MATCH(YEAR(orderHistory[invoice_date]),$D$15,0)),MATCH(ROW(orderHistory[customer]),ROW(orderHistory[customer])),""),ROWS($A$15:A64)+$B$3))),IF($D$15="",INDEX(orderHistory[shipping_method],SMALL(IF(ISNUMBER(MATCH(orderHistory[customer],$D$9,0)*MATCH(orderHistory[order_type],$D$13,0)),MATCH(ROW(orderHistory[customer]),ROW(orderHistory[customer])),""),ROWS($A$15:A64)+$B$3)),INDEX(orderHistory[shipping_method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shipping_method],SMALL(IF(ISNUMBER(MATCH(orderHistory[customer],$D$9,0)*MATCH(orderHistory[status],$D$11,0)),MATCH(ROW(orderHistory[customer]),ROW(orderHistory[customer])),""),ROWS($A$15:A64)+$B$3)),INDEX(orderHistory[shipping_method],SMALL(IF(ISNUMBER(MATCH(orderHistory[customer],$D$9,0)*MATCH(orderHistory[status],$D$11,0)*MATCH(YEAR(orderHistory[shipping_method]),$D$15,0)),MATCH(ROW(orderHistory[customer]),ROW(orderHistory[customer])),""),ROWS($A$15:A64)+$B$3))),IF($D$15="",INDEX(orderHistory[shipping_method],SMALL(IF(ISNUMBER(MATCH(orderHistory[customer],$D$9,0)*MATCH(orderHistory[status],$D$11,0)*MATCH(orderHistory[order_type],$D$13,0)),MATCH(ROW(orderHistory[customer]),ROW(orderHistory[customer])),""),ROWS($A$15:A64)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V59" s="548" t="str">
        <f t="array" ref="V59">IFERROR(IF($D$9="",IF($D$11="",IF($D$13="",IF($D$15="",INDEX(orderHistory[status],SMALL(MATCH(ROW(orderHistory[customer]),ROW(orderHistory[customer])),ROWS($A$15:A64)+$B$3)),INDEX(orderHistory[status],SMALL(IF(ISNUMBER(MATCH(YEAR(orderHistory[invoice_date]),$D$15,0)),MATCH(ROW(orderHistory[customer]),ROW(orderHistory[customer])),""),ROWS($A$15:A64)+$B$3))),IF($D$15="",INDEX(orderHistory[status],SMALL(IF(ISNUMBER(MATCH(orderHistory[order_type],$D$13,0)),MATCH(ROW(orderHistory[customer]),ROW(orderHistory[customer])),""),ROWS($A$15:A64)+$B$3)),INDEX(orderHistory[status],SMALL(IF(ISNUMBER(MATCH(orderHistory[order_type],$D$13,0)*MATCH(YEAR(orderHistory[invoice_date]),$D$15,0)),MATCH(ROW(orderHistory[customer]),ROW(orderHistory[customer])),""),ROWS($A$15:A64)+$B$3)))),IF($D$13="",IF($D$15="",INDEX(orderHistory[status],SMALL(IF(ISNUMBER(MATCH(orderHistory[status],$D$11,0)),MATCH(ROW(orderHistory[customer]),ROW(orderHistory[customer])),""),ROWS($A$15:A64)+$B$3)),INDEX(orderHistory[status],SMALL(IF(ISNUMBER(MATCH(orderHistory[status],$D$11,0)*MATCH(YEAR(orderHistory[invoice_date]),$D$15,0)),MATCH(ROW(orderHistory[customer]),ROW(orderHistory[customer])),""),ROWS($A$15:A64)+$B$3))),IF($D$15="",INDEX(orderHistory[status],SMALL(IF(ISNUMBER(MATCH(orderHistory[status],$D$11,0)*MATCH(orderHistory[order_type],$D$13,0)),MATCH(ROW(orderHistory[customer]),ROW(orderHistory[customer])),""),ROWS($A$15:A64)+$B$3)),INDEX(orderHistory[status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status],SMALL(IF(ISNUMBER(MATCH(orderHistory[customer],$D$9,0)),MATCH(ROW(orderHistory[customer]),ROW(orderHistory[customer])),""),ROWS($A$15:A64)+$B$3)),INDEX(orderHistory[status],SMALL(IF(ISNUMBER(MATCH(orderHistory[customer],$D$9,0)*MATCH(YEAR(orderHistory[invoice_date]),$D$15,0)),MATCH(ROW(orderHistory[customer]),ROW(orderHistory[customer])),""),ROWS($A$15:A64)+$B$3))),IF($D$15="",INDEX(orderHistory[status],SMALL(IF(ISNUMBER(MATCH(orderHistory[customer],$D$9,0)*MATCH(orderHistory[order_type],$D$13,0)),MATCH(ROW(orderHistory[customer]),ROW(orderHistory[customer])),""),ROWS($A$15:A64)+$B$3)),INDEX(orderHistory[status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status],SMALL(IF(ISNUMBER(MATCH(orderHistory[customer],$D$9,0)*MATCH(orderHistory[status],$D$11,0)),MATCH(ROW(orderHistory[customer]),ROW(orderHistory[customer])),""),ROWS($A$15:A64)+$B$3)),INDEX(orderHistory[status],SMALL(IF(ISNUMBER(MATCH(orderHistory[customer],$D$9,0)*MATCH(orderHistory[status],$D$11,0)*MATCH(YEAR(orderHistory[status]),$D$15,0)),MATCH(ROW(orderHistory[customer]),ROW(orderHistory[customer])),""),ROWS($A$15:A64)+$B$3))),IF($D$15="",INDEX(orderHistory[status],SMALL(IF(ISNUMBER(MATCH(orderHistory[customer],$D$9,0)*MATCH(orderHistory[status],$D$11,0)*MATCH(orderHistory[order_type],$D$13,0)),MATCH(ROW(orderHistory[customer]),ROW(orderHistory[customer])),""),ROWS($A$15:A64)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W59" s="107"/>
      <c r="AQ59" s="432"/>
      <c r="AR59" s="432" t="s">
        <v>412</v>
      </c>
      <c r="BG59" s="296"/>
      <c r="BK59" s="450"/>
      <c r="BL59" s="451"/>
      <c r="BM59" s="452"/>
      <c r="BN59" s="451"/>
      <c r="BO59" s="452"/>
      <c r="BZ59" s="168"/>
      <c r="CA59" s="154" t="str">
        <f>IF(BZ59="","",INDEX(bhpc_data[description],MATCH(BZ59,bhpc_data[sku],0)))</f>
        <v/>
      </c>
      <c r="CB59" s="159"/>
      <c r="CC59" s="357"/>
      <c r="CD59" s="169"/>
      <c r="CE59" s="361"/>
      <c r="CF59" s="170"/>
      <c r="CG59" s="164" t="str">
        <f>IFERROR(ROUNDUP(CB59/INDEX(bhpc_data[units_per_carton],MATCH(BZ59,bhpc_data[sku],0)),0),"")</f>
        <v/>
      </c>
      <c r="CH59" s="165" t="str">
        <f>IFERROR(ROUNDUP(CD59/INDEX(bhpc_data[units_per_carton],MATCH(BZ59,bhpc_data[sku],0)),0),"")</f>
        <v/>
      </c>
      <c r="CI59" s="165" t="str">
        <f>IFERROR(ROUNDUP(CF59/INDEX(bhpc_data[units_per_carton],MATCH(BZ59,bhpc_data[sku])),0),"")</f>
        <v/>
      </c>
      <c r="CJ59" s="165" t="str">
        <f>IFERROR(((CB59+CD59+CF59)/INDEX(bhpc_data[units_per_carton],MATCH(BZ59,bhpc_data[sku],0)))*INDEX(bhpc_data[net_weight],MATCH(BZ59,bhpc_data[sku],0)),"")</f>
        <v/>
      </c>
      <c r="CK59" s="165" t="str">
        <f>IFERROR(((CB59+CD59+CF59)/INDEX(bhpc_data[units_per_carton],MATCH(BZ59,bhpc_data[sku],0)))*INDEX(bhpc_data[gross_weight],MATCH(BZ59,bhpc_data[sku],0)),"")</f>
        <v/>
      </c>
      <c r="CL59" s="180" t="str">
        <f>IFERROR((CB59+CD59+CF59)/INDEX(bhpc_data[units_per_carton],MATCH(BZ59,bhpc_data[sku],0))*INDEX(bhpc_data[lenght],MATCH(BZ59,bhpc_data[sku],0))*INDEX(bhpc_data[width],MATCH(BZ59,bhpc_data[sku],0))*INDEX(bhpc_data[height],MATCH(BZ59,bhpc_data[sku],0))/1000000000,"")</f>
        <v/>
      </c>
      <c r="CM59" s="189" t="str">
        <f>IFERROR(INDEX(bhpc_data[category],MATCH(BZ59,bhpc_data[sku],0)),"")</f>
        <v/>
      </c>
      <c r="CN59" s="189" t="str">
        <f>IFERROR(INDEX(bhpc_data[size1],MATCH(BZ59,bhpc_data[sku],0)),"")</f>
        <v/>
      </c>
      <c r="CO59" s="388" t="str">
        <f>IFERROR(INDEX(bhpc_data[hs_code],MATCH(BZ59,bhpc_data[sku],0)),"")</f>
        <v/>
      </c>
      <c r="CP59" s="377" t="str">
        <f>IFERROR(INDEX(inventory[ESISTENZA],MATCH(BZ59,inventory[ARTICOLO],0)),"")</f>
        <v/>
      </c>
      <c r="CQ59" s="364" t="str">
        <f>IFERROR(IF(BZ59="","",IF($BX$15="SALE",INDEX(inventory[COSTO UNITARIO],MATCH(BZ59,inventory[ARTICOLO],0)),IF($BX$15="SAMPLING",INDEX(inventory[COSTO UNITARIO],MATCH(BZ59,inventory[ARTICOLO],0)),""))),"")</f>
        <v/>
      </c>
      <c r="CR59" s="365" t="str">
        <f t="shared" si="3"/>
        <v/>
      </c>
      <c r="CS59" s="264" t="str">
        <f t="shared" si="4"/>
        <v/>
      </c>
      <c r="DA59" s="432" t="str">
        <f>IFERROR(VLOOKUP(BZ59,bhpc_data[],22,FALSE),"")</f>
        <v/>
      </c>
      <c r="EE59" s="202" t="str" cm="1">
        <f t="array" ref="EE59">IFERROR(IF($EC$9="",IF($EC$11="",IF($EC$13="",INDEX(bhpc_data[sku],SMALL(MATCH(ROW(bhpc_data[sku]),ROW(bhpc_data[sku])),ROWS($A$15:A64)+$B$3)),INDEX(bhpc_data[sku],SMALL(IF(ISNUMBER(MATCH(bhpc_data[size1],$EC$13,0)),MATCH(ROW(bhpc_data[sku]),ROW(bhpc_data[sku])),""),ROWS($A$15:A64)+$B$3))),IF($EC$13="",INDEX(bhpc_data[sku],SMALL(IF(ISNUMBER(MATCH(bhpc_data[sex],$EC$11,0)),MATCH(ROW(bhpc_data[sku]),ROW(bhpc_data[sku])),""),ROWS($A$15:A64)+$B$3)),INDEX(bhpc_data[sku],SMALL(IF(ISNUMBER(MATCH(bhpc_data[sex],$EC$11,0)*MATCH(bhpc_data[size1],$EC$13,0)),MATCH(ROW(bhpc_data[sku]),ROW(bhpc_data[sku])),""),ROWS($A$15:A64)+$B$3)))),IF($EC$11="",IF($EC$13="",INDEX(bhpc_data[sku],SMALL(IF(ISNUMBER(MATCH(bhpc_data[category],$EC$9,0)),MATCH(ROW(bhpc_data[sku]),ROW(bhpc_data[sku])),""),ROWS($A$15:A64)+$B$3)),INDEX(bhpc_data[sku],SMALL(IF(ISNUMBER(MATCH(bhpc_data[category],$EC$9,0)*MATCH(bhpc_data[size1],$EC$13,0)),MATCH(ROW(bhpc_data[sku]),ROW(bhpc_data[sku])),""),ROWS($A$15:A64)+$B$3))),IF($EC$13="",INDEX(bhpc_data[sku],SMALL(IF(ISNUMBER(MATCH(bhpc_data[category],$EC$9,0)*MATCH(bhpc_data[sex],$EC$11,0)),MATCH(ROW(bhpc_data[sku]),ROW(bhpc_data[sku])),""),ROWS($A$15:A64)+$B$3)),INDEX(bhpc_data[sku],SMALL(IF(ISNUMBER(MATCH(bhpc_data[category],$EC$9,0)*MATCH(bhpc_data[sex],$EC$11,0)*MATCH(bhpc_data[size1],$EC$13,0)),MATCH(ROW(bhpc_data[sku]),ROW(bhpc_data[sku])),""),ROWS($A$15:A64)+$B$3))))),"")</f>
        <v>P05027</v>
      </c>
      <c r="EF59" s="198" t="str" cm="1">
        <f t="array" ref="EF59">IFERROR(IF($EC$9="",IF($EC$11="",IF($EC$13="",INDEX(bhpc_data[description],SMALL(MATCH(ROW(bhpc_data[sku]),ROW(bhpc_data[sku])),ROWS($A$15:A64)+$B$3)),INDEX(bhpc_data[description],SMALL(IF(ISNUMBER(MATCH(bhpc_data[size1],$EC$13,0)),MATCH(ROW(bhpc_data[sku]),ROW(bhpc_data[sku])),""),ROWS($A$15:A64)+$B$3))),IF($EC$13="",INDEX(bhpc_data[description],SMALL(IF(ISNUMBER(MATCH(bhpc_data[sex],$EC$11,0)),MATCH(ROW(bhpc_data[sku]),ROW(bhpc_data[sku])),""),ROWS($A$15:A64)+$B$3)),INDEX(bhpc_data[description],SMALL(IF(ISNUMBER(MATCH(bhpc_data[sex],$EC$11,0)*MATCH(bhpc_data[size1],$EC$13,0)),MATCH(ROW(bhpc_data[sku]),ROW(bhpc_data[sku])),""),ROWS($A$15:A64)+$B$3)))),IF($EC$11="",IF($EC$13="",INDEX(bhpc_data[description],SMALL(IF(ISNUMBER(MATCH(bhpc_data[category],$EC$9,0)),MATCH(ROW(bhpc_data[sku]),ROW(bhpc_data[sku])),""),ROWS($A$15:A64)+$B$3)),INDEX(bhpc_data[description],SMALL(IF(ISNUMBER(MATCH(bhpc_data[category],$EC$9,0)*MATCH(bhpc_data[size1],$EC$13,0)),MATCH(ROW(bhpc_data[sku]),ROW(bhpc_data[sku])),""),ROWS($A$15:A64)+$B$3))),IF($EC$13="",INDEX(bhpc_data[description],SMALL(IF(ISNUMBER(MATCH(bhpc_data[category],$EC$9,0)*MATCH(bhpc_data[sex],$EC$11,0)),MATCH(ROW(bhpc_data[sku]),ROW(bhpc_data[sku])),""),ROWS($A$15:A64)+$B$3)),INDEX(bhpc_data[description],SMALL(IF(ISNUMBER(MATCH(bhpc_data[category],$EC$9,0)*MATCH(bhpc_data[sex],$EC$11,0)*MATCH(bhpc_data[size1],$EC$13,0)),MATCH(ROW(bhpc_data[sku]),ROW(bhpc_data[sku])),""),ROWS($A$15:A64)+$B$3))))),"")</f>
        <v>BHPC WOMEN 2 DEO 150ML</v>
      </c>
      <c r="EG59" s="263">
        <f>IFERROR(IF(warehouse[[#This Row],[SKU]]="","",INDEX(inventory[ESISTENZA],MATCH(warehouse[[#This Row],[SKU]],inventory[ARTICOLO],0))),"")</f>
        <v>23767</v>
      </c>
      <c r="EH59" s="328"/>
      <c r="EI59" s="328"/>
      <c r="EJ59" s="263"/>
      <c r="EK59" s="329"/>
      <c r="EO59" s="296" t="str">
        <f t="array" ref="EO59">IFERROR(INDEX(orderHistory[order_no],SMALL(IF(ISNUMBER(MATCH(orderHistory[status],$EO$7,0)),MATCH(ROW(orderHistory[order_no]),ROW(orderHistory[order_no])),""),ROWS($A$15:A64))),"")</f>
        <v/>
      </c>
    </row>
    <row r="60" spans="10:145" ht="15" customHeight="1" thickBot="1" x14ac:dyDescent="0.4">
      <c r="L60" s="549" t="str">
        <f t="array" ref="L60">IFERROR(IF($D$9="",IF($D$11="",IF($D$13="",IF($D$15="",INDEX(orderHistory[customer],SMALL(MATCH(ROW(orderHistory[customer]),ROW(orderHistory[customer])),ROWS($A$15:A65)+$B$3)),INDEX(orderHistory[customer],SMALL(IF(ISNUMBER(MATCH(YEAR(orderHistory[invoice_date]),$D$15,0)),MATCH(ROW(orderHistory[customer]),ROW(orderHistory[customer])),""),ROWS($A$15:A65)+$B$3))),IF($D$15="",INDEX(orderHistory[customer],SMALL(IF(ISNUMBER(MATCH(orderHistory[order_type],$D$13,0)),MATCH(ROW(orderHistory[customer]),ROW(orderHistory[customer])),""),ROWS($A$15:A65)+$B$3)),INDEX(orderHistory[customer],SMALL(IF(ISNUMBER(MATCH(orderHistory[order_type],$D$13,0)*MATCH(YEAR(orderHistory[invoice_date]),$D$15,0)),MATCH(ROW(orderHistory[customer]),ROW(orderHistory[customer])),""),ROWS($A$15:A65)+$B$3)))),IF($D$13="",IF($D$15="",INDEX(orderHistory[customer],SMALL(IF(ISNUMBER(MATCH(orderHistory[status],$D$11,0)),MATCH(ROW(orderHistory[customer]),ROW(orderHistory[customer])),""),ROWS($A$15:A65)+$B$3)),INDEX(orderHistory[customer],SMALL(IF(ISNUMBER(MATCH(orderHistory[status],$D$11,0)*MATCH(YEAR(orderHistory[invoice_date]),$D$15,0)),MATCH(ROW(orderHistory[customer]),ROW(orderHistory[customer])),""),ROWS($A$15:A65)+$B$3))),IF($D$15="",INDEX(orderHistory[customer],SMALL(IF(ISNUMBER(MATCH(orderHistory[status],$D$11,0)*MATCH(orderHistory[order_type],$D$13,0)),MATCH(ROW(orderHistory[customer]),ROW(orderHistory[customer])),""),ROWS($A$15:A65)+$B$3)),INDEX(orderHistory[customer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customer],SMALL(IF(ISNUMBER(MATCH(orderHistory[customer],$D$9,0)),MATCH(ROW(orderHistory[customer]),ROW(orderHistory[customer])),""),ROWS($A$15:A65)+$B$3)),INDEX(orderHistory[customer],SMALL(IF(ISNUMBER(MATCH(orderHistory[customer],$D$9,0)*MATCH(YEAR(orderHistory[invoice_date]),$D$15,0)),MATCH(ROW(orderHistory[customer]),ROW(orderHistory[customer])),""),ROWS($A$15:A65)+$B$3))),IF($D$15="",INDEX(orderHistory[customer],SMALL(IF(ISNUMBER(MATCH(orderHistory[customer],$D$9,0)*MATCH(orderHistory[order_type],$D$13,0)),MATCH(ROW(orderHistory[customer]),ROW(orderHistory[customer])),""),ROWS($A$15:A65)+$B$3)),INDEX(orderHistory[customer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customer],SMALL(IF(ISNUMBER(MATCH(orderHistory[customer],$D$9,0)*MATCH(orderHistory[status],$D$11,0)),MATCH(ROW(orderHistory[customer]),ROW(orderHistory[customer])),""),ROWS($A$15:A65)+$B$3)),INDEX(orderHistory[customer],SMALL(IF(ISNUMBER(MATCH(orderHistory[customer],$D$9,0)*MATCH(orderHistory[status],$D$11,0)*MATCH(YEAR(orderHistory[invoice_date]),$D$15,0)),MATCH(ROW(orderHistory[customer]),ROW(orderHistory[customer])),""),ROWS($A$15:A65)+$B$3))),IF($D$15="",INDEX(orderHistory[customer],SMALL(IF(ISNUMBER(MATCH(orderHistory[customer],$D$9,0)*MATCH(orderHistory[status],$D$11,0)*MATCH(orderHistory[order_type],$D$13,0)),MATCH(ROW(orderHistory[customer]),ROW(orderHistory[customer])),""),ROWS($A$15:A65)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M60" s="550" t="str">
        <f t="array" ref="M60">IFERROR(IF($D$9="",IF($D$11="",IF($D$13="",IF($D$15="",INDEX(orderHistory[order_no],SMALL(MATCH(ROW(orderHistory[customer]),ROW(orderHistory[customer])),ROWS($A$15:A65)+$B$3)),INDEX(orderHistory[order_no],SMALL(IF(ISNUMBER(MATCH(YEAR(orderHistory[invoice_date]),$D$15,0)),MATCH(ROW(orderHistory[customer]),ROW(orderHistory[customer])),""),ROWS($A$15:A65)+$B$3))),IF($D$15="",INDEX(orderHistory[order_no],SMALL(IF(ISNUMBER(MATCH(orderHistory[order_type],$D$13,0)),MATCH(ROW(orderHistory[customer]),ROW(orderHistory[customer])),""),ROWS($A$15:A65)+$B$3)),INDEX(orderHistory[order_no],SMALL(IF(ISNUMBER(MATCH(orderHistory[order_type],$D$13,0)*MATCH(YEAR(orderHistory[invoice_date]),$D$15,0)),MATCH(ROW(orderHistory[customer]),ROW(orderHistory[customer])),""),ROWS($A$15:A65)+$B$3)))),IF($D$13="",IF($D$15="",INDEX(orderHistory[order_no],SMALL(IF(ISNUMBER(MATCH(orderHistory[status],$D$11,0)),MATCH(ROW(orderHistory[customer]),ROW(orderHistory[customer])),""),ROWS($A$15:A65)+$B$3)),INDEX(orderHistory[order_no],SMALL(IF(ISNUMBER(MATCH(orderHistory[status],$D$11,0)*MATCH(YEAR(orderHistory[invoice_date]),$D$15,0)),MATCH(ROW(orderHistory[customer]),ROW(orderHistory[customer])),""),ROWS($A$15:A65)+$B$3))),IF($D$15="",INDEX(orderHistory[order_no],SMALL(IF(ISNUMBER(MATCH(orderHistory[status],$D$11,0)*MATCH(orderHistory[order_type],$D$13,0)),MATCH(ROW(orderHistory[customer]),ROW(orderHistory[customer])),""),ROWS($A$15:A65)+$B$3)),INDEX(orderHistory[order_no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no],SMALL(IF(ISNUMBER(MATCH(orderHistory[customer],$D$9,0)),MATCH(ROW(orderHistory[customer]),ROW(orderHistory[customer])),""),ROWS($A$15:A65)+$B$3)),INDEX(orderHistory[order_no],SMALL(IF(ISNUMBER(MATCH(orderHistory[customer],$D$9,0)*MATCH(YEAR(orderHistory[invoice_date]),$D$15,0)),MATCH(ROW(orderHistory[customer]),ROW(orderHistory[customer])),""),ROWS($A$15:A65)+$B$3))),IF($D$15="",INDEX(orderHistory[order_no],SMALL(IF(ISNUMBER(MATCH(orderHistory[customer],$D$9,0)*MATCH(orderHistory[order_type],$D$13,0)),MATCH(ROW(orderHistory[customer]),ROW(orderHistory[customer])),""),ROWS($A$15:A65)+$B$3)),INDEX(orderHistory[order_no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no],SMALL(IF(ISNUMBER(MATCH(orderHistory[customer],$D$9,0)*MATCH(orderHistory[status],$D$11,0)),MATCH(ROW(orderHistory[customer]),ROW(orderHistory[customer])),""),ROWS($A$15:A65)+$B$3)),INDEX(orderHistory[order_no],SMALL(IF(ISNUMBER(MATCH(orderHistory[customer],$D$9,0)*MATCH(orderHistory[status],$D$11,0)*MATCH(YEAR(orderHistory[invoice_date]),$D$15,0)),MATCH(ROW(orderHistory[customer]),ROW(orderHistory[customer])),""),ROWS($A$15:A65)+$B$3))),IF($D$15="",INDEX(orderHistory[order_no],SMALL(IF(ISNUMBER(MATCH(orderHistory[customer],$D$9,0)*MATCH(orderHistory[status],$D$11,0)*MATCH(orderHistory[order_type],$D$13,0)),MATCH(ROW(orderHistory[customer]),ROW(orderHistory[customer])),""),ROWS($A$15:A65)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N60" s="551" t="str">
        <f t="array" ref="N60">IFERROR(IF($D$9="",IF($D$11="",IF($D$13="",IF($D$15="",INDEX(orderHistory[order_type],SMALL(MATCH(ROW(orderHistory[customer]),ROW(orderHistory[customer])),ROWS($A$15:A65)+$B$3)),INDEX(orderHistory[order_type],SMALL(IF(ISNUMBER(MATCH(YEAR(orderHistory[invoice_date]),$D$15,0)),MATCH(ROW(orderHistory[customer]),ROW(orderHistory[customer])),""),ROWS($A$15:A65)+$B$3))),IF($D$15="",INDEX(orderHistory[order_type],SMALL(IF(ISNUMBER(MATCH(orderHistory[order_type],$D$13,0)),MATCH(ROW(orderHistory[customer]),ROW(orderHistory[customer])),""),ROWS($A$15:A65)+$B$3)),INDEX(orderHistory[order_type],SMALL(IF(ISNUMBER(MATCH(orderHistory[order_type],$D$13,0)*MATCH(YEAR(orderHistory[invoice_date]),$D$15,0)),MATCH(ROW(orderHistory[customer]),ROW(orderHistory[customer])),""),ROWS($A$15:A65)+$B$3)))),IF($D$13="",IF($D$15="",INDEX(orderHistory[order_type],SMALL(IF(ISNUMBER(MATCH(orderHistory[status],$D$11,0)),MATCH(ROW(orderHistory[customer]),ROW(orderHistory[customer])),""),ROWS($A$15:A65)+$B$3)),INDEX(orderHistory[order_type],SMALL(IF(ISNUMBER(MATCH(orderHistory[status],$D$11,0)*MATCH(YEAR(orderHistory[invoice_date]),$D$15,0)),MATCH(ROW(orderHistory[customer]),ROW(orderHistory[customer])),""),ROWS($A$15:A65)+$B$3))),IF($D$15="",INDEX(orderHistory[order_type],SMALL(IF(ISNUMBER(MATCH(orderHistory[status],$D$11,0)*MATCH(orderHistory[order_type],$D$13,0)),MATCH(ROW(orderHistory[customer]),ROW(orderHistory[customer])),""),ROWS($A$15:A65)+$B$3)),INDEX(orderHistory[order_typ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type],SMALL(IF(ISNUMBER(MATCH(orderHistory[customer],$D$9,0)),MATCH(ROW(orderHistory[customer]),ROW(orderHistory[customer])),""),ROWS($A$15:A65)+$B$3)),INDEX(orderHistory[order_type],SMALL(IF(ISNUMBER(MATCH(orderHistory[customer],$D$9,0)*MATCH(YEAR(orderHistory[invoice_date]),$D$15,0)),MATCH(ROW(orderHistory[customer]),ROW(orderHistory[customer])),""),ROWS($A$15:A65)+$B$3))),IF($D$15="",INDEX(orderHistory[order_type],SMALL(IF(ISNUMBER(MATCH(orderHistory[customer],$D$9,0)*MATCH(orderHistory[order_type],$D$13,0)),MATCH(ROW(orderHistory[customer]),ROW(orderHistory[customer])),""),ROWS($A$15:A65)+$B$3)),INDEX(orderHistory[order_typ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type],SMALL(IF(ISNUMBER(MATCH(orderHistory[customer],$D$9,0)*MATCH(orderHistory[status],$D$11,0)),MATCH(ROW(orderHistory[customer]),ROW(orderHistory[customer])),""),ROWS($A$15:A65)+$B$3)),INDEX(orderHistory[order_type],SMALL(IF(ISNUMBER(MATCH(orderHistory[customer],$D$9,0)*MATCH(orderHistory[status],$D$11,0)*MATCH(YEAR(orderHistory[invoice_date]),$D$15,0)),MATCH(ROW(orderHistory[customer]),ROW(orderHistory[customer])),""),ROWS($A$15:A65)+$B$3))),IF($D$15="",INDEX(orderHistory[order_type],SMALL(IF(ISNUMBER(MATCH(orderHistory[customer],$D$9,0)*MATCH(orderHistory[status],$D$11,0)*MATCH(orderHistory[order_type],$D$13,0)),MATCH(ROW(orderHistory[customer]),ROW(orderHistory[customer])),""),ROWS($A$15:A65)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O60" s="552" t="str">
        <f t="array" ref="O60">IFERROR(IF($D$9="",IF($D$11="",IF($D$13="",IF($D$15="",INDEX(orderHistory[order_date],SMALL(MATCH(ROW(orderHistory[customer]),ROW(orderHistory[customer])),ROWS($A$15:A65)+$B$3)),INDEX(orderHistory[order_date],SMALL(IF(ISNUMBER(MATCH(YEAR(orderHistory[invoice_date]),$D$15,0)),MATCH(ROW(orderHistory[customer]),ROW(orderHistory[customer])),""),ROWS($A$15:A65)+$B$3))),IF($D$15="",INDEX(orderHistory[order_date],SMALL(IF(ISNUMBER(MATCH(orderHistory[order_type],$D$13,0)),MATCH(ROW(orderHistory[customer]),ROW(orderHistory[customer])),""),ROWS($A$15:A65)+$B$3)),INDEX(orderHistory[order_date],SMALL(IF(ISNUMBER(MATCH(orderHistory[order_type],$D$13,0)*MATCH(YEAR(orderHistory[invoice_date]),$D$15,0)),MATCH(ROW(orderHistory[customer]),ROW(orderHistory[customer])),""),ROWS($A$15:A65)+$B$3)))),IF($D$13="",IF($D$15="",INDEX(orderHistory[order_date],SMALL(IF(ISNUMBER(MATCH(orderHistory[status],$D$11,0)),MATCH(ROW(orderHistory[customer]),ROW(orderHistory[customer])),""),ROWS($A$15:A65)+$B$3)),INDEX(orderHistory[order_date],SMALL(IF(ISNUMBER(MATCH(orderHistory[status],$D$11,0)*MATCH(YEAR(orderHistory[invoice_date]),$D$15,0)),MATCH(ROW(orderHistory[customer]),ROW(orderHistory[customer])),""),ROWS($A$15:A65)+$B$3))),IF($D$15="",INDEX(orderHistory[order_date],SMALL(IF(ISNUMBER(MATCH(orderHistory[status],$D$11,0)*MATCH(orderHistory[order_type],$D$13,0)),MATCH(ROW(orderHistory[customer]),ROW(orderHistory[customer])),""),ROWS($A$15:A65)+$B$3)),INDEX(orderHistory[order_dat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date],SMALL(IF(ISNUMBER(MATCH(orderHistory[customer],$D$9,0)),MATCH(ROW(orderHistory[customer]),ROW(orderHistory[customer])),""),ROWS($A$15:A65)+$B$3)),INDEX(orderHistory[order_date],SMALL(IF(ISNUMBER(MATCH(orderHistory[customer],$D$9,0)*MATCH(YEAR(orderHistory[invoice_date]),$D$15,0)),MATCH(ROW(orderHistory[customer]),ROW(orderHistory[customer])),""),ROWS($A$15:A65)+$B$3))),IF($D$15="",INDEX(orderHistory[order_date],SMALL(IF(ISNUMBER(MATCH(orderHistory[customer],$D$9,0)*MATCH(orderHistory[order_type],$D$13,0)),MATCH(ROW(orderHistory[customer]),ROW(orderHistory[customer])),""),ROWS($A$15:A65)+$B$3)),INDEX(orderHistory[order_dat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date],SMALL(IF(ISNUMBER(MATCH(orderHistory[customer],$D$9,0)*MATCH(orderHistory[status],$D$11,0)),MATCH(ROW(orderHistory[customer]),ROW(orderHistory[customer])),""),ROWS($A$15:A65)+$B$3)),INDEX(orderHistory[order_date],SMALL(IF(ISNUMBER(MATCH(orderHistory[customer],$D$9,0)*MATCH(orderHistory[status],$D$11,0)*MATCH(YEAR(orderHistory[invoice_date]),$D$15,0)),MATCH(ROW(orderHistory[customer]),ROW(orderHistory[customer])),""),ROWS($A$15:A65)+$B$3))),IF($D$15="",INDEX(orderHistory[order_date],SMALL(IF(ISNUMBER(MATCH(orderHistory[customer],$D$9,0)*MATCH(orderHistory[status],$D$11,0)*MATCH(orderHistory[order_type],$D$13,0)),MATCH(ROW(orderHistory[customer]),ROW(orderHistory[customer])),""),ROWS($A$15:A65)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P60" s="553" t="str">
        <f t="array" ref="P60">IFERROR(IF($D$9="",IF($D$11="",IF($D$13="",IF($D$15="",INDEX(orderHistory[invoice_no],SMALL(MATCH(ROW(orderHistory[customer]),ROW(orderHistory[customer])),ROWS($A$15:A65)+$B$3)),INDEX(orderHistory[invoice_no],SMALL(IF(ISNUMBER(MATCH(YEAR(orderHistory[invoice_date]),$D$15,0)),MATCH(ROW(orderHistory[customer]),ROW(orderHistory[customer])),""),ROWS($A$15:A65)+$B$3))),IF($D$15="",INDEX(orderHistory[invoice_no],SMALL(IF(ISNUMBER(MATCH(orderHistory[order_type],$D$13,0)),MATCH(ROW(orderHistory[customer]),ROW(orderHistory[customer])),""),ROWS($A$15:A65)+$B$3)),INDEX(orderHistory[invoice_no],SMALL(IF(ISNUMBER(MATCH(orderHistory[order_type],$D$13,0)*MATCH(YEAR(orderHistory[invoice_date]),$D$15,0)),MATCH(ROW(orderHistory[customer]),ROW(orderHistory[customer])),""),ROWS($A$15:A65)+$B$3)))),IF($D$13="",IF($D$15="",INDEX(orderHistory[invoice_no],SMALL(IF(ISNUMBER(MATCH(orderHistory[status],$D$11,0)),MATCH(ROW(orderHistory[customer]),ROW(orderHistory[customer])),""),ROWS($A$15:A65)+$B$3)),INDEX(orderHistory[invoice_no],SMALL(IF(ISNUMBER(MATCH(orderHistory[status],$D$11,0)*MATCH(YEAR(orderHistory[invoice_date]),$D$15,0)),MATCH(ROW(orderHistory[customer]),ROW(orderHistory[customer])),""),ROWS($A$15:A65)+$B$3))),IF($D$15="",INDEX(orderHistory[invoice_no],SMALL(IF(ISNUMBER(MATCH(orderHistory[status],$D$11,0)*MATCH(orderHistory[order_type],$D$13,0)),MATCH(ROW(orderHistory[customer]),ROW(orderHistory[customer])),""),ROWS($A$15:A65)+$B$3)),INDEX(orderHistory[invoice_no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oice_no],SMALL(IF(ISNUMBER(MATCH(orderHistory[customer],$D$9,0)),MATCH(ROW(orderHistory[customer]),ROW(orderHistory[customer])),""),ROWS($A$15:A65)+$B$3)),INDEX(orderHistory[invoice_no],SMALL(IF(ISNUMBER(MATCH(orderHistory[customer],$D$9,0)*MATCH(YEAR(orderHistory[invoice_date]),$D$15,0)),MATCH(ROW(orderHistory[customer]),ROW(orderHistory[customer])),""),ROWS($A$15:A65)+$B$3))),IF($D$15="",INDEX(orderHistory[invoice_no],SMALL(IF(ISNUMBER(MATCH(orderHistory[customer],$D$9,0)*MATCH(orderHistory[order_type],$D$13,0)),MATCH(ROW(orderHistory[customer]),ROW(orderHistory[customer])),""),ROWS($A$15:A65)+$B$3)),INDEX(orderHistory[invoice_no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oice_no],SMALL(IF(ISNUMBER(MATCH(orderHistory[customer],$D$9,0)*MATCH(orderHistory[status],$D$11,0)),MATCH(ROW(orderHistory[customer]),ROW(orderHistory[customer])),""),ROWS($A$15:A65)+$B$3)),INDEX(orderHistory[invoice_no],SMALL(IF(ISNUMBER(MATCH(orderHistory[customer],$D$9,0)*MATCH(orderHistory[status],$D$11,0)*MATCH(YEAR(orderHistory[invoice_date]),$D$15,0)),MATCH(ROW(orderHistory[customer]),ROW(orderHistory[customer])),""),ROWS($A$15:A65)+$B$3))),IF($D$15="",INDEX(orderHistory[invoice_no],SMALL(IF(ISNUMBER(MATCH(orderHistory[customer],$D$9,0)*MATCH(orderHistory[status],$D$11,0)*MATCH(orderHistory[order_type],$D$13,0)),MATCH(ROW(orderHistory[customer]),ROW(orderHistory[customer])),""),ROWS($A$15:A65)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Q60" s="554" t="str">
        <f t="array" ref="Q60">IFERROR(IF($D$9="",IF($D$11="",IF($D$13="",IF($D$15="",INDEX(orderHistory[invoice_date],SMALL(MATCH(ROW(orderHistory[customer]),ROW(orderHistory[customer])),ROWS($A$15:A65)+$B$3)),INDEX(orderHistory[invoice_date],SMALL(IF(ISNUMBER(MATCH(YEAR(orderHistory[invoice_date]),$D$15,0)),MATCH(ROW(orderHistory[customer]),ROW(orderHistory[customer])),""),ROWS($A$15:A65)+$B$3))),IF($D$15="",INDEX(orderHistory[invoice_date],SMALL(IF(ISNUMBER(MATCH(orderHistory[order_type],$D$13,0)),MATCH(ROW(orderHistory[customer]),ROW(orderHistory[customer])),""),ROWS($A$15:A65)+$B$3)),INDEX(orderHistory[invoice_date],SMALL(IF(ISNUMBER(MATCH(orderHistory[order_type],$D$13,0)*MATCH(YEAR(orderHistory[invoice_date]),$D$15,0)),MATCH(ROW(orderHistory[customer]),ROW(orderHistory[customer])),""),ROWS($A$15:A65)+$B$3)))),IF($D$13="",IF($D$15="",INDEX(orderHistory[invoice_date],SMALL(IF(ISNUMBER(MATCH(orderHistory[status],$D$11,0)),MATCH(ROW(orderHistory[customer]),ROW(orderHistory[customer])),""),ROWS($A$15:A65)+$B$3)),INDEX(orderHistory[invoice_date],SMALL(IF(ISNUMBER(MATCH(orderHistory[status],$D$11,0)*MATCH(YEAR(orderHistory[invoice_date]),$D$15,0)),MATCH(ROW(orderHistory[customer]),ROW(orderHistory[customer])),""),ROWS($A$15:A65)+$B$3))),IF($D$15="",INDEX(orderHistory[invoice_date],SMALL(IF(ISNUMBER(MATCH(orderHistory[status],$D$11,0)*MATCH(orderHistory[order_type],$D$13,0)),MATCH(ROW(orderHistory[customer]),ROW(orderHistory[customer])),""),ROWS($A$15:A65)+$B$3)),INDEX(orderHistory[invoice_dat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oice_date],SMALL(IF(ISNUMBER(MATCH(orderHistory[customer],$D$9,0)),MATCH(ROW(orderHistory[customer]),ROW(orderHistory[customer])),""),ROWS($A$15:A65)+$B$3)),INDEX(orderHistory[invoice_date],SMALL(IF(ISNUMBER(MATCH(orderHistory[customer],$D$9,0)*MATCH(YEAR(orderHistory[invoice_date]),$D$15,0)),MATCH(ROW(orderHistory[customer]),ROW(orderHistory[customer])),""),ROWS($A$15:A65)+$B$3))),IF($D$15="",INDEX(orderHistory[invoice_date],SMALL(IF(ISNUMBER(MATCH(orderHistory[customer],$D$9,0)*MATCH(orderHistory[order_type],$D$13,0)),MATCH(ROW(orderHistory[customer]),ROW(orderHistory[customer])),""),ROWS($A$15:A65)+$B$3)),INDEX(orderHistory[invoice_dat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oice_date],SMALL(IF(ISNUMBER(MATCH(orderHistory[customer],$D$9,0)*MATCH(orderHistory[status],$D$11,0)),MATCH(ROW(orderHistory[customer]),ROW(orderHistory[customer])),""),ROWS($A$15:A65)+$B$3)),INDEX(orderHistory[invoice_date],SMALL(IF(ISNUMBER(MATCH(orderHistory[customer],$D$9,0)*MATCH(orderHistory[status],$D$11,0)*MATCH(YEAR(orderHistory[invoice_date]),$D$15,0)),MATCH(ROW(orderHistory[customer]),ROW(orderHistory[customer])),""),ROWS($A$15:A65)+$B$3))),IF($D$15="",INDEX(orderHistory[invoice_date],SMALL(IF(ISNUMBER(MATCH(orderHistory[customer],$D$9,0)*MATCH(orderHistory[status],$D$11,0)*MATCH(orderHistory[order_type],$D$13,0)),MATCH(ROW(orderHistory[customer]),ROW(orderHistory[customer])),""),ROWS($A$15:A65)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R60" s="555" t="str">
        <f t="array" ref="R60">IFERROR(IF($D$9="",IF($D$11="",IF($D$13="",IF($D$15="",INDEX(orderHistory[inv_amount],SMALL(MATCH(ROW(orderHistory[customer]),ROW(orderHistory[customer])),ROWS($A$15:A65)+$B$3)),INDEX(orderHistory[inv_amount],SMALL(IF(ISNUMBER(MATCH(YEAR(orderHistory[invoice_date]),$D$15,0)),MATCH(ROW(orderHistory[customer]),ROW(orderHistory[customer])),""),ROWS($A$15:A65)+$B$3))),IF($D$15="",INDEX(orderHistory[inv_amount],SMALL(IF(ISNUMBER(MATCH(orderHistory[order_type],$D$13,0)),MATCH(ROW(orderHistory[customer]),ROW(orderHistory[customer])),""),ROWS($A$15:A65)+$B$3)),INDEX(orderHistory[inv_amount],SMALL(IF(ISNUMBER(MATCH(orderHistory[order_type],$D$13,0)*MATCH(YEAR(orderHistory[invoice_date]),$D$15,0)),MATCH(ROW(orderHistory[customer]),ROW(orderHistory[customer])),""),ROWS($A$15:A65)+$B$3)))),IF($D$13="",IF($D$15="",INDEX(orderHistory[inv_amount],SMALL(IF(ISNUMBER(MATCH(orderHistory[status],$D$11,0)),MATCH(ROW(orderHistory[customer]),ROW(orderHistory[customer])),""),ROWS($A$15:A65)+$B$3)),INDEX(orderHistory[inv_amount],SMALL(IF(ISNUMBER(MATCH(orderHistory[status],$D$11,0)*MATCH(YEAR(orderHistory[invoice_date]),$D$15,0)),MATCH(ROW(orderHistory[customer]),ROW(orderHistory[customer])),""),ROWS($A$15:A65)+$B$3))),IF($D$15="",INDEX(orderHistory[inv_amount],SMALL(IF(ISNUMBER(MATCH(orderHistory[status],$D$11,0)*MATCH(orderHistory[order_type],$D$13,0)),MATCH(ROW(orderHistory[customer]),ROW(orderHistory[customer])),""),ROWS($A$15:A65)+$B$3)),INDEX(orderHistory[inv_amount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_amount],SMALL(IF(ISNUMBER(MATCH(orderHistory[customer],$D$9,0)),MATCH(ROW(orderHistory[customer]),ROW(orderHistory[customer])),""),ROWS($A$15:A65)+$B$3)),INDEX(orderHistory[inv_amount],SMALL(IF(ISNUMBER(MATCH(orderHistory[customer],$D$9,0)*MATCH(YEAR(orderHistory[invoice_date]),$D$15,0)),MATCH(ROW(orderHistory[customer]),ROW(orderHistory[customer])),""),ROWS($A$15:A65)+$B$3))),IF($D$15="",INDEX(orderHistory[inv_amount],SMALL(IF(ISNUMBER(MATCH(orderHistory[customer],$D$9,0)*MATCH(orderHistory[order_type],$D$13,0)),MATCH(ROW(orderHistory[customer]),ROW(orderHistory[customer])),""),ROWS($A$15:A65)+$B$3)),INDEX(orderHistory[inv_amount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_amount],SMALL(IF(ISNUMBER(MATCH(orderHistory[customer],$D$9,0)*MATCH(orderHistory[status],$D$11,0)),MATCH(ROW(orderHistory[customer]),ROW(orderHistory[customer])),""),ROWS($A$15:A65)+$B$3)),INDEX(orderHistory[inv_amount],SMALL(IF(ISNUMBER(MATCH(orderHistory[customer],$D$9,0)*MATCH(orderHistory[status],$D$11,0)*MATCH(YEAR(orderHistory[inv_amount]),$D$15,0)),MATCH(ROW(orderHistory[customer]),ROW(orderHistory[customer])),""),ROWS($A$15:A65)+$B$3))),IF($D$15="",INDEX(orderHistory[inv_amount],SMALL(IF(ISNUMBER(MATCH(orderHistory[customer],$D$9,0)*MATCH(orderHistory[status],$D$11,0)*MATCH(orderHistory[order_type],$D$13,0)),MATCH(ROW(orderHistory[customer]),ROW(orderHistory[customer])),""),ROWS($A$15:A65)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S60" s="546" t="str">
        <f t="shared" si="2"/>
        <v/>
      </c>
      <c r="T60" s="556" t="str">
        <f t="array" ref="T60">IFERROR(IF($D$9="",IF($D$11="",IF($D$13="",IF($D$15="",INDEX(orderHistory[payed],SMALL(MATCH(ROW(orderHistory[customer]),ROW(orderHistory[customer])),ROWS($A$15:A65)+$B$3)),INDEX(orderHistory[payed],SMALL(IF(ISNUMBER(MATCH(YEAR(orderHistory[invoice_date]),$D$15,0)),MATCH(ROW(orderHistory[customer]),ROW(orderHistory[customer])),""),ROWS($A$15:A65)+$B$3))),IF($D$15="",INDEX(orderHistory[payed],SMALL(IF(ISNUMBER(MATCH(orderHistory[order_type],$D$13,0)),MATCH(ROW(orderHistory[customer]),ROW(orderHistory[customer])),""),ROWS($A$15:A65)+$B$3)),INDEX(orderHistory[payed],SMALL(IF(ISNUMBER(MATCH(orderHistory[order_type],$D$13,0)*MATCH(YEAR(orderHistory[invoice_date]),$D$15,0)),MATCH(ROW(orderHistory[customer]),ROW(orderHistory[customer])),""),ROWS($A$15:A65)+$B$3)))),IF($D$13="",IF($D$15="",INDEX(orderHistory[payed],SMALL(IF(ISNUMBER(MATCH(orderHistory[status],$D$11,0)),MATCH(ROW(orderHistory[customer]),ROW(orderHistory[customer])),""),ROWS($A$15:A65)+$B$3)),INDEX(orderHistory[payed],SMALL(IF(ISNUMBER(MATCH(orderHistory[status],$D$11,0)*MATCH(YEAR(orderHistory[invoice_date]),$D$15,0)),MATCH(ROW(orderHistory[customer]),ROW(orderHistory[customer])),""),ROWS($A$15:A65)+$B$3))),IF($D$15="",INDEX(orderHistory[payed],SMALL(IF(ISNUMBER(MATCH(orderHistory[status],$D$11,0)*MATCH(orderHistory[order_type],$D$13,0)),MATCH(ROW(orderHistory[customer]),ROW(orderHistory[customer])),""),ROWS($A$15:A65)+$B$3)),INDEX(orderHistory[payed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payed],SMALL(IF(ISNUMBER(MATCH(orderHistory[customer],$D$9,0)),MATCH(ROW(orderHistory[customer]),ROW(orderHistory[customer])),""),ROWS($A$15:A65)+$B$3)),INDEX(orderHistory[payed],SMALL(IF(ISNUMBER(MATCH(orderHistory[customer],$D$9,0)*MATCH(YEAR(orderHistory[invoice_date]),$D$15,0)),MATCH(ROW(orderHistory[customer]),ROW(orderHistory[customer])),""),ROWS($A$15:A65)+$B$3))),IF($D$15="",INDEX(orderHistory[payed],SMALL(IF(ISNUMBER(MATCH(orderHistory[customer],$D$9,0)*MATCH(orderHistory[order_type],$D$13,0)),MATCH(ROW(orderHistory[customer]),ROW(orderHistory[customer])),""),ROWS($A$15:A65)+$B$3)),INDEX(orderHistory[payed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payed],SMALL(IF(ISNUMBER(MATCH(orderHistory[customer],$D$9,0)*MATCH(orderHistory[status],$D$11,0)),MATCH(ROW(orderHistory[customer]),ROW(orderHistory[customer])),""),ROWS($A$15:A65)+$B$3)),INDEX(orderHistory[payed],SMALL(IF(ISNUMBER(MATCH(orderHistory[customer],$D$9,0)*MATCH(orderHistory[status],$D$11,0)*MATCH(YEAR(orderHistory[payed]),$D$15,0)),MATCH(ROW(orderHistory[customer]),ROW(orderHistory[customer])),""),ROWS($A$15:A65)+$B$3))),IF($D$15="",INDEX(orderHistory[payed],SMALL(IF(ISNUMBER(MATCH(orderHistory[customer],$D$9,0)*MATCH(orderHistory[status],$D$11,0)*MATCH(orderHistory[order_type],$D$13,0)),MATCH(ROW(orderHistory[customer]),ROW(orderHistory[customer])),""),ROWS($A$15:A65)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U60" s="551" t="str">
        <f t="array" ref="U60">IFERROR(IF($D$9="",IF($D$11="",IF($D$13="",IF($D$15="",INDEX(orderHistory[shipping_method],SMALL(MATCH(ROW(orderHistory[customer]),ROW(orderHistory[customer])),ROWS($A$15:A65)+$B$3)),INDEX(orderHistory[shipping_method],SMALL(IF(ISNUMBER(MATCH(YEAR(orderHistory[invoice_date]),$D$15,0)),MATCH(ROW(orderHistory[customer]),ROW(orderHistory[customer])),""),ROWS($A$15:A65)+$B$3))),IF($D$15="",INDEX(orderHistory[shipping_method],SMALL(IF(ISNUMBER(MATCH(orderHistory[order_type],$D$13,0)),MATCH(ROW(orderHistory[customer]),ROW(orderHistory[customer])),""),ROWS($A$15:A65)+$B$3)),INDEX(orderHistory[shipping_method],SMALL(IF(ISNUMBER(MATCH(orderHistory[order_type],$D$13,0)*MATCH(YEAR(orderHistory[invoice_date]),$D$15,0)),MATCH(ROW(orderHistory[customer]),ROW(orderHistory[customer])),""),ROWS($A$15:A65)+$B$3)))),IF($D$13="",IF($D$15="",INDEX(orderHistory[shipping_method],SMALL(IF(ISNUMBER(MATCH(orderHistory[status],$D$11,0)),MATCH(ROW(orderHistory[customer]),ROW(orderHistory[customer])),""),ROWS($A$15:A65)+$B$3)),INDEX(orderHistory[shipping_method],SMALL(IF(ISNUMBER(MATCH(orderHistory[status],$D$11,0)*MATCH(YEAR(orderHistory[invoice_date]),$D$15,0)),MATCH(ROW(orderHistory[customer]),ROW(orderHistory[customer])),""),ROWS($A$15:A65)+$B$3))),IF($D$15="",INDEX(orderHistory[shipping_method],SMALL(IF(ISNUMBER(MATCH(orderHistory[status],$D$11,0)*MATCH(orderHistory[order_type],$D$13,0)),MATCH(ROW(orderHistory[customer]),ROW(orderHistory[customer])),""),ROWS($A$15:A65)+$B$3)),INDEX(orderHistory[shipping_method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shipping_method],SMALL(IF(ISNUMBER(MATCH(orderHistory[customer],$D$9,0)),MATCH(ROW(orderHistory[customer]),ROW(orderHistory[customer])),""),ROWS($A$15:A65)+$B$3)),INDEX(orderHistory[shipping_method],SMALL(IF(ISNUMBER(MATCH(orderHistory[customer],$D$9,0)*MATCH(YEAR(orderHistory[invoice_date]),$D$15,0)),MATCH(ROW(orderHistory[customer]),ROW(orderHistory[customer])),""),ROWS($A$15:A65)+$B$3))),IF($D$15="",INDEX(orderHistory[shipping_method],SMALL(IF(ISNUMBER(MATCH(orderHistory[customer],$D$9,0)*MATCH(orderHistory[order_type],$D$13,0)),MATCH(ROW(orderHistory[customer]),ROW(orderHistory[customer])),""),ROWS($A$15:A65)+$B$3)),INDEX(orderHistory[shipping_method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shipping_method],SMALL(IF(ISNUMBER(MATCH(orderHistory[customer],$D$9,0)*MATCH(orderHistory[status],$D$11,0)),MATCH(ROW(orderHistory[customer]),ROW(orderHistory[customer])),""),ROWS($A$15:A65)+$B$3)),INDEX(orderHistory[shipping_method],SMALL(IF(ISNUMBER(MATCH(orderHistory[customer],$D$9,0)*MATCH(orderHistory[status],$D$11,0)*MATCH(YEAR(orderHistory[shipping_method]),$D$15,0)),MATCH(ROW(orderHistory[customer]),ROW(orderHistory[customer])),""),ROWS($A$15:A65)+$B$3))),IF($D$15="",INDEX(orderHistory[shipping_method],SMALL(IF(ISNUMBER(MATCH(orderHistory[customer],$D$9,0)*MATCH(orderHistory[status],$D$11,0)*MATCH(orderHistory[order_type],$D$13,0)),MATCH(ROW(orderHistory[customer]),ROW(orderHistory[customer])),""),ROWS($A$15:A65)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V60" s="557" t="str">
        <f t="array" ref="V60">IFERROR(IF($D$9="",IF($D$11="",IF($D$13="",IF($D$15="",INDEX(orderHistory[status],SMALL(MATCH(ROW(orderHistory[customer]),ROW(orderHistory[customer])),ROWS($A$15:A65)+$B$3)),INDEX(orderHistory[status],SMALL(IF(ISNUMBER(MATCH(YEAR(orderHistory[invoice_date]),$D$15,0)),MATCH(ROW(orderHistory[customer]),ROW(orderHistory[customer])),""),ROWS($A$15:A65)+$B$3))),IF($D$15="",INDEX(orderHistory[status],SMALL(IF(ISNUMBER(MATCH(orderHistory[order_type],$D$13,0)),MATCH(ROW(orderHistory[customer]),ROW(orderHistory[customer])),""),ROWS($A$15:A65)+$B$3)),INDEX(orderHistory[status],SMALL(IF(ISNUMBER(MATCH(orderHistory[order_type],$D$13,0)*MATCH(YEAR(orderHistory[invoice_date]),$D$15,0)),MATCH(ROW(orderHistory[customer]),ROW(orderHistory[customer])),""),ROWS($A$15:A65)+$B$3)))),IF($D$13="",IF($D$15="",INDEX(orderHistory[status],SMALL(IF(ISNUMBER(MATCH(orderHistory[status],$D$11,0)),MATCH(ROW(orderHistory[customer]),ROW(orderHistory[customer])),""),ROWS($A$15:A65)+$B$3)),INDEX(orderHistory[status],SMALL(IF(ISNUMBER(MATCH(orderHistory[status],$D$11,0)*MATCH(YEAR(orderHistory[invoice_date]),$D$15,0)),MATCH(ROW(orderHistory[customer]),ROW(orderHistory[customer])),""),ROWS($A$15:A65)+$B$3))),IF($D$15="",INDEX(orderHistory[status],SMALL(IF(ISNUMBER(MATCH(orderHistory[status],$D$11,0)*MATCH(orderHistory[order_type],$D$13,0)),MATCH(ROW(orderHistory[customer]),ROW(orderHistory[customer])),""),ROWS($A$15:A65)+$B$3)),INDEX(orderHistory[status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status],SMALL(IF(ISNUMBER(MATCH(orderHistory[customer],$D$9,0)),MATCH(ROW(orderHistory[customer]),ROW(orderHistory[customer])),""),ROWS($A$15:A65)+$B$3)),INDEX(orderHistory[status],SMALL(IF(ISNUMBER(MATCH(orderHistory[customer],$D$9,0)*MATCH(YEAR(orderHistory[invoice_date]),$D$15,0)),MATCH(ROW(orderHistory[customer]),ROW(orderHistory[customer])),""),ROWS($A$15:A65)+$B$3))),IF($D$15="",INDEX(orderHistory[status],SMALL(IF(ISNUMBER(MATCH(orderHistory[customer],$D$9,0)*MATCH(orderHistory[order_type],$D$13,0)),MATCH(ROW(orderHistory[customer]),ROW(orderHistory[customer])),""),ROWS($A$15:A65)+$B$3)),INDEX(orderHistory[status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status],SMALL(IF(ISNUMBER(MATCH(orderHistory[customer],$D$9,0)*MATCH(orderHistory[status],$D$11,0)),MATCH(ROW(orderHistory[customer]),ROW(orderHistory[customer])),""),ROWS($A$15:A65)+$B$3)),INDEX(orderHistory[status],SMALL(IF(ISNUMBER(MATCH(orderHistory[customer],$D$9,0)*MATCH(orderHistory[status],$D$11,0)*MATCH(YEAR(orderHistory[status]),$D$15,0)),MATCH(ROW(orderHistory[customer]),ROW(orderHistory[customer])),""),ROWS($A$15:A65)+$B$3))),IF($D$15="",INDEX(orderHistory[status],SMALL(IF(ISNUMBER(MATCH(orderHistory[customer],$D$9,0)*MATCH(orderHistory[status],$D$11,0)*MATCH(orderHistory[order_type],$D$13,0)),MATCH(ROW(orderHistory[customer]),ROW(orderHistory[customer])),""),ROWS($A$15:A65)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W60" s="107"/>
      <c r="BG60" s="296"/>
      <c r="BK60" s="450"/>
      <c r="BL60" s="451"/>
      <c r="BM60" s="452"/>
      <c r="BN60" s="451"/>
      <c r="BO60" s="452"/>
      <c r="BZ60" s="168"/>
      <c r="CA60" s="154" t="str">
        <f>IF(BZ60="","",INDEX(bhpc_data[description],MATCH(BZ60,bhpc_data[sku],0)))</f>
        <v/>
      </c>
      <c r="CB60" s="159"/>
      <c r="CC60" s="357"/>
      <c r="CD60" s="169"/>
      <c r="CE60" s="361"/>
      <c r="CF60" s="170"/>
      <c r="CG60" s="164" t="str">
        <f>IFERROR(ROUNDUP(CB60/INDEX(bhpc_data[units_per_carton],MATCH(BZ60,bhpc_data[sku],0)),0),"")</f>
        <v/>
      </c>
      <c r="CH60" s="165" t="str">
        <f>IFERROR(ROUNDUP(CD60/INDEX(bhpc_data[units_per_carton],MATCH(BZ60,bhpc_data[sku],0)),0),"")</f>
        <v/>
      </c>
      <c r="CI60" s="165" t="str">
        <f>IFERROR(ROUNDUP(CF60/INDEX(bhpc_data[units_per_carton],MATCH(BZ60,bhpc_data[sku])),0),"")</f>
        <v/>
      </c>
      <c r="CJ60" s="165" t="str">
        <f>IFERROR(((CB60+CD60+CF60)/INDEX(bhpc_data[units_per_carton],MATCH(BZ60,bhpc_data[sku],0)))*INDEX(bhpc_data[net_weight],MATCH(BZ60,bhpc_data[sku],0)),"")</f>
        <v/>
      </c>
      <c r="CK60" s="165" t="str">
        <f>IFERROR(((CB60+CD60+CF60)/INDEX(bhpc_data[units_per_carton],MATCH(BZ60,bhpc_data[sku],0)))*INDEX(bhpc_data[gross_weight],MATCH(BZ60,bhpc_data[sku],0)),"")</f>
        <v/>
      </c>
      <c r="CL60" s="180" t="str">
        <f>IFERROR((CB60+CD60+CF60)/INDEX(bhpc_data[units_per_carton],MATCH(BZ60,bhpc_data[sku],0))*INDEX(bhpc_data[lenght],MATCH(BZ60,bhpc_data[sku],0))*INDEX(bhpc_data[width],MATCH(BZ60,bhpc_data[sku],0))*INDEX(bhpc_data[height],MATCH(BZ60,bhpc_data[sku],0))/1000000000,"")</f>
        <v/>
      </c>
      <c r="CM60" s="189" t="str">
        <f>IFERROR(INDEX(bhpc_data[category],MATCH(BZ60,bhpc_data[sku],0)),"")</f>
        <v/>
      </c>
      <c r="CN60" s="189" t="str">
        <f>IFERROR(INDEX(bhpc_data[size1],MATCH(BZ60,bhpc_data[sku],0)),"")</f>
        <v/>
      </c>
      <c r="CO60" s="388" t="str">
        <f>IFERROR(INDEX(bhpc_data[hs_code],MATCH(BZ60,bhpc_data[sku],0)),"")</f>
        <v/>
      </c>
      <c r="CP60" s="377" t="str">
        <f>IFERROR(INDEX(inventory[ESISTENZA],MATCH(BZ60,inventory[ARTICOLO],0)),"")</f>
        <v/>
      </c>
      <c r="CQ60" s="364" t="str">
        <f>IFERROR(IF(BZ60="","",IF($BX$15="SALE",INDEX(inventory[COSTO UNITARIO],MATCH(BZ60,inventory[ARTICOLO],0)),IF($BX$15="SAMPLING",INDEX(inventory[COSTO UNITARIO],MATCH(BZ60,inventory[ARTICOLO],0)),""))),"")</f>
        <v/>
      </c>
      <c r="CR60" s="365" t="str">
        <f t="shared" si="3"/>
        <v/>
      </c>
      <c r="CS60" s="264" t="str">
        <f t="shared" si="4"/>
        <v/>
      </c>
      <c r="DA60" s="432" t="str">
        <f>IFERROR(VLOOKUP(BZ60,bhpc_data[],22,FALSE),"")</f>
        <v/>
      </c>
      <c r="EE60" s="202" t="str" cm="1">
        <f t="array" ref="EE60">IFERROR(IF($EC$9="",IF($EC$11="",IF($EC$13="",INDEX(bhpc_data[sku],SMALL(MATCH(ROW(bhpc_data[sku]),ROW(bhpc_data[sku])),ROWS($A$15:A65)+$B$3)),INDEX(bhpc_data[sku],SMALL(IF(ISNUMBER(MATCH(bhpc_data[size1],$EC$13,0)),MATCH(ROW(bhpc_data[sku]),ROW(bhpc_data[sku])),""),ROWS($A$15:A65)+$B$3))),IF($EC$13="",INDEX(bhpc_data[sku],SMALL(IF(ISNUMBER(MATCH(bhpc_data[sex],$EC$11,0)),MATCH(ROW(bhpc_data[sku]),ROW(bhpc_data[sku])),""),ROWS($A$15:A65)+$B$3)),INDEX(bhpc_data[sku],SMALL(IF(ISNUMBER(MATCH(bhpc_data[sex],$EC$11,0)*MATCH(bhpc_data[size1],$EC$13,0)),MATCH(ROW(bhpc_data[sku]),ROW(bhpc_data[sku])),""),ROWS($A$15:A65)+$B$3)))),IF($EC$11="",IF($EC$13="",INDEX(bhpc_data[sku],SMALL(IF(ISNUMBER(MATCH(bhpc_data[category],$EC$9,0)),MATCH(ROW(bhpc_data[sku]),ROW(bhpc_data[sku])),""),ROWS($A$15:A65)+$B$3)),INDEX(bhpc_data[sku],SMALL(IF(ISNUMBER(MATCH(bhpc_data[category],$EC$9,0)*MATCH(bhpc_data[size1],$EC$13,0)),MATCH(ROW(bhpc_data[sku]),ROW(bhpc_data[sku])),""),ROWS($A$15:A65)+$B$3))),IF($EC$13="",INDEX(bhpc_data[sku],SMALL(IF(ISNUMBER(MATCH(bhpc_data[category],$EC$9,0)*MATCH(bhpc_data[sex],$EC$11,0)),MATCH(ROW(bhpc_data[sku]),ROW(bhpc_data[sku])),""),ROWS($A$15:A65)+$B$3)),INDEX(bhpc_data[sku],SMALL(IF(ISNUMBER(MATCH(bhpc_data[category],$EC$9,0)*MATCH(bhpc_data[sex],$EC$11,0)*MATCH(bhpc_data[size1],$EC$13,0)),MATCH(ROW(bhpc_data[sku]),ROW(bhpc_data[sku])),""),ROWS($A$15:A65)+$B$3))))),"")</f>
        <v>P05028</v>
      </c>
      <c r="EF60" s="198" t="str" cm="1">
        <f t="array" ref="EF60">IFERROR(IF($EC$9="",IF($EC$11="",IF($EC$13="",INDEX(bhpc_data[description],SMALL(MATCH(ROW(bhpc_data[sku]),ROW(bhpc_data[sku])),ROWS($A$15:A65)+$B$3)),INDEX(bhpc_data[description],SMALL(IF(ISNUMBER(MATCH(bhpc_data[size1],$EC$13,0)),MATCH(ROW(bhpc_data[sku]),ROW(bhpc_data[sku])),""),ROWS($A$15:A65)+$B$3))),IF($EC$13="",INDEX(bhpc_data[description],SMALL(IF(ISNUMBER(MATCH(bhpc_data[sex],$EC$11,0)),MATCH(ROW(bhpc_data[sku]),ROW(bhpc_data[sku])),""),ROWS($A$15:A65)+$B$3)),INDEX(bhpc_data[description],SMALL(IF(ISNUMBER(MATCH(bhpc_data[sex],$EC$11,0)*MATCH(bhpc_data[size1],$EC$13,0)),MATCH(ROW(bhpc_data[sku]),ROW(bhpc_data[sku])),""),ROWS($A$15:A65)+$B$3)))),IF($EC$11="",IF($EC$13="",INDEX(bhpc_data[description],SMALL(IF(ISNUMBER(MATCH(bhpc_data[category],$EC$9,0)),MATCH(ROW(bhpc_data[sku]),ROW(bhpc_data[sku])),""),ROWS($A$15:A65)+$B$3)),INDEX(bhpc_data[description],SMALL(IF(ISNUMBER(MATCH(bhpc_data[category],$EC$9,0)*MATCH(bhpc_data[size1],$EC$13,0)),MATCH(ROW(bhpc_data[sku]),ROW(bhpc_data[sku])),""),ROWS($A$15:A65)+$B$3))),IF($EC$13="",INDEX(bhpc_data[description],SMALL(IF(ISNUMBER(MATCH(bhpc_data[category],$EC$9,0)*MATCH(bhpc_data[sex],$EC$11,0)),MATCH(ROW(bhpc_data[sku]),ROW(bhpc_data[sku])),""),ROWS($A$15:A65)+$B$3)),INDEX(bhpc_data[description],SMALL(IF(ISNUMBER(MATCH(bhpc_data[category],$EC$9,0)*MATCH(bhpc_data[sex],$EC$11,0)*MATCH(bhpc_data[size1],$EC$13,0)),MATCH(ROW(bhpc_data[sku]),ROW(bhpc_data[sku])),""),ROWS($A$15:A65)+$B$3))))),"")</f>
        <v>BHPC WOMEN 1 EDP 50ML</v>
      </c>
      <c r="EG60" s="263">
        <f>IFERROR(IF(warehouse[[#This Row],[SKU]]="","",INDEX(inventory[ESISTENZA],MATCH(warehouse[[#This Row],[SKU]],inventory[ARTICOLO],0))),"")</f>
        <v>0</v>
      </c>
      <c r="EH60" s="328"/>
      <c r="EI60" s="328"/>
      <c r="EJ60" s="263"/>
      <c r="EK60" s="329"/>
      <c r="EO60" s="296" t="str">
        <f t="array" ref="EO60">IFERROR(INDEX(orderHistory[order_no],SMALL(IF(ISNUMBER(MATCH(orderHistory[status],$EO$7,0)),MATCH(ROW(orderHistory[order_no]),ROW(orderHistory[order_no])),""),ROWS($A$15:A65))),"")</f>
        <v/>
      </c>
    </row>
    <row r="61" spans="10:145" ht="15" customHeight="1" x14ac:dyDescent="0.35">
      <c r="M61" s="296"/>
      <c r="BG61" s="296"/>
      <c r="BK61" s="450"/>
      <c r="BL61" s="451"/>
      <c r="BM61" s="452"/>
      <c r="BN61" s="451"/>
      <c r="BO61" s="452"/>
      <c r="BZ61" s="168"/>
      <c r="CA61" s="154" t="str">
        <f>IF(BZ61="","",INDEX(bhpc_data[description],MATCH(BZ61,bhpc_data[sku],0)))</f>
        <v/>
      </c>
      <c r="CB61" s="159"/>
      <c r="CC61" s="357"/>
      <c r="CD61" s="169"/>
      <c r="CE61" s="361"/>
      <c r="CF61" s="170"/>
      <c r="CG61" s="164" t="str">
        <f>IFERROR(ROUNDUP(CB61/INDEX(bhpc_data[units_per_carton],MATCH(BZ61,bhpc_data[sku],0)),0),"")</f>
        <v/>
      </c>
      <c r="CH61" s="165" t="str">
        <f>IFERROR(ROUNDUP(CD61/INDEX(bhpc_data[units_per_carton],MATCH(BZ61,bhpc_data[sku],0)),0),"")</f>
        <v/>
      </c>
      <c r="CI61" s="165" t="str">
        <f>IFERROR(ROUNDUP(CF61/INDEX(bhpc_data[units_per_carton],MATCH(BZ61,bhpc_data[sku])),0),"")</f>
        <v/>
      </c>
      <c r="CJ61" s="165" t="str">
        <f>IFERROR(((CB61+CD61+CF61)/INDEX(bhpc_data[units_per_carton],MATCH(BZ61,bhpc_data[sku],0)))*INDEX(bhpc_data[net_weight],MATCH(BZ61,bhpc_data[sku],0)),"")</f>
        <v/>
      </c>
      <c r="CK61" s="165" t="str">
        <f>IFERROR(((CB61+CD61+CF61)/INDEX(bhpc_data[units_per_carton],MATCH(BZ61,bhpc_data[sku],0)))*INDEX(bhpc_data[gross_weight],MATCH(BZ61,bhpc_data[sku],0)),"")</f>
        <v/>
      </c>
      <c r="CL61" s="180" t="str">
        <f>IFERROR((CB61+CD61+CF61)/INDEX(bhpc_data[units_per_carton],MATCH(BZ61,bhpc_data[sku],0))*INDEX(bhpc_data[lenght],MATCH(BZ61,bhpc_data[sku],0))*INDEX(bhpc_data[width],MATCH(BZ61,bhpc_data[sku],0))*INDEX(bhpc_data[height],MATCH(BZ61,bhpc_data[sku],0))/1000000000,"")</f>
        <v/>
      </c>
      <c r="CM61" s="189" t="str">
        <f>IFERROR(INDEX(bhpc_data[category],MATCH(BZ61,bhpc_data[sku],0)),"")</f>
        <v/>
      </c>
      <c r="CN61" s="189" t="str">
        <f>IFERROR(INDEX(bhpc_data[size1],MATCH(BZ61,bhpc_data[sku],0)),"")</f>
        <v/>
      </c>
      <c r="CO61" s="388" t="str">
        <f>IFERROR(INDEX(bhpc_data[hs_code],MATCH(BZ61,bhpc_data[sku],0)),"")</f>
        <v/>
      </c>
      <c r="CP61" s="377" t="str">
        <f>IFERROR(INDEX(inventory[ESISTENZA],MATCH(BZ61,inventory[ARTICOLO],0)),"")</f>
        <v/>
      </c>
      <c r="CQ61" s="364" t="str">
        <f>IFERROR(IF(BZ61="","",IF($BX$15="SALE",INDEX(inventory[COSTO UNITARIO],MATCH(BZ61,inventory[ARTICOLO],0)),IF($BX$15="SAMPLING",INDEX(inventory[COSTO UNITARIO],MATCH(BZ61,inventory[ARTICOLO],0)),""))),"")</f>
        <v/>
      </c>
      <c r="CR61" s="365" t="str">
        <f t="shared" si="3"/>
        <v/>
      </c>
      <c r="CS61" s="264" t="str">
        <f t="shared" si="4"/>
        <v/>
      </c>
      <c r="DA61" s="432" t="str">
        <f>IFERROR(VLOOKUP(BZ61,bhpc_data[],22,FALSE),"")</f>
        <v/>
      </c>
      <c r="EE61" s="202" t="str" cm="1">
        <f t="array" ref="EE61">IFERROR(IF($EC$9="",IF($EC$11="",IF($EC$13="",INDEX(bhpc_data[sku],SMALL(MATCH(ROW(bhpc_data[sku]),ROW(bhpc_data[sku])),ROWS($A$15:A66)+$B$3)),INDEX(bhpc_data[sku],SMALL(IF(ISNUMBER(MATCH(bhpc_data[size1],$EC$13,0)),MATCH(ROW(bhpc_data[sku]),ROW(bhpc_data[sku])),""),ROWS($A$15:A66)+$B$3))),IF($EC$13="",INDEX(bhpc_data[sku],SMALL(IF(ISNUMBER(MATCH(bhpc_data[sex],$EC$11,0)),MATCH(ROW(bhpc_data[sku]),ROW(bhpc_data[sku])),""),ROWS($A$15:A66)+$B$3)),INDEX(bhpc_data[sku],SMALL(IF(ISNUMBER(MATCH(bhpc_data[sex],$EC$11,0)*MATCH(bhpc_data[size1],$EC$13,0)),MATCH(ROW(bhpc_data[sku]),ROW(bhpc_data[sku])),""),ROWS($A$15:A66)+$B$3)))),IF($EC$11="",IF($EC$13="",INDEX(bhpc_data[sku],SMALL(IF(ISNUMBER(MATCH(bhpc_data[category],$EC$9,0)),MATCH(ROW(bhpc_data[sku]),ROW(bhpc_data[sku])),""),ROWS($A$15:A66)+$B$3)),INDEX(bhpc_data[sku],SMALL(IF(ISNUMBER(MATCH(bhpc_data[category],$EC$9,0)*MATCH(bhpc_data[size1],$EC$13,0)),MATCH(ROW(bhpc_data[sku]),ROW(bhpc_data[sku])),""),ROWS($A$15:A66)+$B$3))),IF($EC$13="",INDEX(bhpc_data[sku],SMALL(IF(ISNUMBER(MATCH(bhpc_data[category],$EC$9,0)*MATCH(bhpc_data[sex],$EC$11,0)),MATCH(ROW(bhpc_data[sku]),ROW(bhpc_data[sku])),""),ROWS($A$15:A66)+$B$3)),INDEX(bhpc_data[sku],SMALL(IF(ISNUMBER(MATCH(bhpc_data[category],$EC$9,0)*MATCH(bhpc_data[sex],$EC$11,0)*MATCH(bhpc_data[size1],$EC$13,0)),MATCH(ROW(bhpc_data[sku]),ROW(bhpc_data[sku])),""),ROWS($A$15:A66)+$B$3))))),"")</f>
        <v>P05029</v>
      </c>
      <c r="EF61" s="198" t="str" cm="1">
        <f t="array" ref="EF61">IFERROR(IF($EC$9="",IF($EC$11="",IF($EC$13="",INDEX(bhpc_data[description],SMALL(MATCH(ROW(bhpc_data[sku]),ROW(bhpc_data[sku])),ROWS($A$15:A66)+$B$3)),INDEX(bhpc_data[description],SMALL(IF(ISNUMBER(MATCH(bhpc_data[size1],$EC$13,0)),MATCH(ROW(bhpc_data[sku]),ROW(bhpc_data[sku])),""),ROWS($A$15:A66)+$B$3))),IF($EC$13="",INDEX(bhpc_data[description],SMALL(IF(ISNUMBER(MATCH(bhpc_data[sex],$EC$11,0)),MATCH(ROW(bhpc_data[sku]),ROW(bhpc_data[sku])),""),ROWS($A$15:A66)+$B$3)),INDEX(bhpc_data[description],SMALL(IF(ISNUMBER(MATCH(bhpc_data[sex],$EC$11,0)*MATCH(bhpc_data[size1],$EC$13,0)),MATCH(ROW(bhpc_data[sku]),ROW(bhpc_data[sku])),""),ROWS($A$15:A66)+$B$3)))),IF($EC$11="",IF($EC$13="",INDEX(bhpc_data[description],SMALL(IF(ISNUMBER(MATCH(bhpc_data[category],$EC$9,0)),MATCH(ROW(bhpc_data[sku]),ROW(bhpc_data[sku])),""),ROWS($A$15:A66)+$B$3)),INDEX(bhpc_data[description],SMALL(IF(ISNUMBER(MATCH(bhpc_data[category],$EC$9,0)*MATCH(bhpc_data[size1],$EC$13,0)),MATCH(ROW(bhpc_data[sku]),ROW(bhpc_data[sku])),""),ROWS($A$15:A66)+$B$3))),IF($EC$13="",INDEX(bhpc_data[description],SMALL(IF(ISNUMBER(MATCH(bhpc_data[category],$EC$9,0)*MATCH(bhpc_data[sex],$EC$11,0)),MATCH(ROW(bhpc_data[sku]),ROW(bhpc_data[sku])),""),ROWS($A$15:A66)+$B$3)),INDEX(bhpc_data[description],SMALL(IF(ISNUMBER(MATCH(bhpc_data[category],$EC$9,0)*MATCH(bhpc_data[sex],$EC$11,0)*MATCH(bhpc_data[size1],$EC$13,0)),MATCH(ROW(bhpc_data[sku]),ROW(bhpc_data[sku])),""),ROWS($A$15:A66)+$B$3))))),"")</f>
        <v>BHPC WOMEN 9 EDP 50ML</v>
      </c>
      <c r="EG61" s="263">
        <f>IFERROR(IF(warehouse[[#This Row],[SKU]]="","",INDEX(inventory[ESISTENZA],MATCH(warehouse[[#This Row],[SKU]],inventory[ARTICOLO],0))),"")</f>
        <v>49</v>
      </c>
      <c r="EH61" s="328"/>
      <c r="EI61" s="328"/>
      <c r="EJ61" s="263"/>
      <c r="EK61" s="329"/>
    </row>
    <row r="62" spans="10:145" ht="15" customHeight="1" x14ac:dyDescent="0.35">
      <c r="M62" s="296"/>
      <c r="BG62" s="296"/>
      <c r="BK62" s="450"/>
      <c r="BL62" s="451"/>
      <c r="BM62" s="452"/>
      <c r="BN62" s="451"/>
      <c r="BO62" s="452"/>
      <c r="BZ62" s="168"/>
      <c r="CA62" s="154" t="str">
        <f>IF(BZ62="","",INDEX(bhpc_data[description],MATCH(BZ62,bhpc_data[sku],0)))</f>
        <v/>
      </c>
      <c r="CB62" s="159"/>
      <c r="CC62" s="357"/>
      <c r="CD62" s="169"/>
      <c r="CE62" s="361"/>
      <c r="CF62" s="170"/>
      <c r="CG62" s="164" t="str">
        <f>IFERROR(ROUNDUP(CB62/INDEX(bhpc_data[units_per_carton],MATCH(BZ62,bhpc_data[sku],0)),0),"")</f>
        <v/>
      </c>
      <c r="CH62" s="165" t="str">
        <f>IFERROR(ROUNDUP(CD62/INDEX(bhpc_data[units_per_carton],MATCH(BZ62,bhpc_data[sku],0)),0),"")</f>
        <v/>
      </c>
      <c r="CI62" s="165" t="str">
        <f>IFERROR(ROUNDUP(CF62/INDEX(bhpc_data[units_per_carton],MATCH(BZ62,bhpc_data[sku])),0),"")</f>
        <v/>
      </c>
      <c r="CJ62" s="165" t="str">
        <f>IFERROR(((CB62+CD62+CF62)/INDEX(bhpc_data[units_per_carton],MATCH(BZ62,bhpc_data[sku],0)))*INDEX(bhpc_data[net_weight],MATCH(BZ62,bhpc_data[sku],0)),"")</f>
        <v/>
      </c>
      <c r="CK62" s="165" t="str">
        <f>IFERROR(((CB62+CD62+CF62)/INDEX(bhpc_data[units_per_carton],MATCH(BZ62,bhpc_data[sku],0)))*INDEX(bhpc_data[gross_weight],MATCH(BZ62,bhpc_data[sku],0)),"")</f>
        <v/>
      </c>
      <c r="CL62" s="180" t="str">
        <f>IFERROR((CB62+CD62+CF62)/INDEX(bhpc_data[units_per_carton],MATCH(BZ62,bhpc_data[sku],0))*INDEX(bhpc_data[lenght],MATCH(BZ62,bhpc_data[sku],0))*INDEX(bhpc_data[width],MATCH(BZ62,bhpc_data[sku],0))*INDEX(bhpc_data[height],MATCH(BZ62,bhpc_data[sku],0))/1000000000,"")</f>
        <v/>
      </c>
      <c r="CM62" s="189" t="str">
        <f>IFERROR(INDEX(bhpc_data[category],MATCH(BZ62,bhpc_data[sku],0)),"")</f>
        <v/>
      </c>
      <c r="CN62" s="189" t="str">
        <f>IFERROR(INDEX(bhpc_data[size1],MATCH(BZ62,bhpc_data[sku],0)),"")</f>
        <v/>
      </c>
      <c r="CO62" s="388" t="str">
        <f>IFERROR(INDEX(bhpc_data[hs_code],MATCH(BZ62,bhpc_data[sku],0)),"")</f>
        <v/>
      </c>
      <c r="CP62" s="377" t="str">
        <f>IFERROR(INDEX(inventory[ESISTENZA],MATCH(BZ62,inventory[ARTICOLO],0)),"")</f>
        <v/>
      </c>
      <c r="CQ62" s="364" t="str">
        <f>IFERROR(IF(BZ62="","",IF($BX$15="SALE",INDEX(inventory[COSTO UNITARIO],MATCH(BZ62,inventory[ARTICOLO],0)),IF($BX$15="SAMPLING",INDEX(inventory[COSTO UNITARIO],MATCH(BZ62,inventory[ARTICOLO],0)),""))),"")</f>
        <v/>
      </c>
      <c r="CR62" s="365" t="str">
        <f t="shared" si="3"/>
        <v/>
      </c>
      <c r="CS62" s="264" t="str">
        <f t="shared" si="4"/>
        <v/>
      </c>
      <c r="DA62" s="432" t="str">
        <f>IFERROR(VLOOKUP(BZ62,bhpc_data[],22,FALSE),"")</f>
        <v/>
      </c>
      <c r="EE62" s="202" t="str" cm="1">
        <f t="array" ref="EE62">IFERROR(IF($EC$9="",IF($EC$11="",IF($EC$13="",INDEX(bhpc_data[sku],SMALL(MATCH(ROW(bhpc_data[sku]),ROW(bhpc_data[sku])),ROWS($A$15:A67)+$B$3)),INDEX(bhpc_data[sku],SMALL(IF(ISNUMBER(MATCH(bhpc_data[size1],$EC$13,0)),MATCH(ROW(bhpc_data[sku]),ROW(bhpc_data[sku])),""),ROWS($A$15:A67)+$B$3))),IF($EC$13="",INDEX(bhpc_data[sku],SMALL(IF(ISNUMBER(MATCH(bhpc_data[sex],$EC$11,0)),MATCH(ROW(bhpc_data[sku]),ROW(bhpc_data[sku])),""),ROWS($A$15:A67)+$B$3)),INDEX(bhpc_data[sku],SMALL(IF(ISNUMBER(MATCH(bhpc_data[sex],$EC$11,0)*MATCH(bhpc_data[size1],$EC$13,0)),MATCH(ROW(bhpc_data[sku]),ROW(bhpc_data[sku])),""),ROWS($A$15:A67)+$B$3)))),IF($EC$11="",IF($EC$13="",INDEX(bhpc_data[sku],SMALL(IF(ISNUMBER(MATCH(bhpc_data[category],$EC$9,0)),MATCH(ROW(bhpc_data[sku]),ROW(bhpc_data[sku])),""),ROWS($A$15:A67)+$B$3)),INDEX(bhpc_data[sku],SMALL(IF(ISNUMBER(MATCH(bhpc_data[category],$EC$9,0)*MATCH(bhpc_data[size1],$EC$13,0)),MATCH(ROW(bhpc_data[sku]),ROW(bhpc_data[sku])),""),ROWS($A$15:A67)+$B$3))),IF($EC$13="",INDEX(bhpc_data[sku],SMALL(IF(ISNUMBER(MATCH(bhpc_data[category],$EC$9,0)*MATCH(bhpc_data[sex],$EC$11,0)),MATCH(ROW(bhpc_data[sku]),ROW(bhpc_data[sku])),""),ROWS($A$15:A67)+$B$3)),INDEX(bhpc_data[sku],SMALL(IF(ISNUMBER(MATCH(bhpc_data[category],$EC$9,0)*MATCH(bhpc_data[sex],$EC$11,0)*MATCH(bhpc_data[size1],$EC$13,0)),MATCH(ROW(bhpc_data[sku]),ROW(bhpc_data[sku])),""),ROWS($A$15:A67)+$B$3))))),"")</f>
        <v>P05030</v>
      </c>
      <c r="EF62" s="198" t="str" cm="1">
        <f t="array" ref="EF62">IFERROR(IF($EC$9="",IF($EC$11="",IF($EC$13="",INDEX(bhpc_data[description],SMALL(MATCH(ROW(bhpc_data[sku]),ROW(bhpc_data[sku])),ROWS($A$15:A67)+$B$3)),INDEX(bhpc_data[description],SMALL(IF(ISNUMBER(MATCH(bhpc_data[size1],$EC$13,0)),MATCH(ROW(bhpc_data[sku]),ROW(bhpc_data[sku])),""),ROWS($A$15:A67)+$B$3))),IF($EC$13="",INDEX(bhpc_data[description],SMALL(IF(ISNUMBER(MATCH(bhpc_data[sex],$EC$11,0)),MATCH(ROW(bhpc_data[sku]),ROW(bhpc_data[sku])),""),ROWS($A$15:A67)+$B$3)),INDEX(bhpc_data[description],SMALL(IF(ISNUMBER(MATCH(bhpc_data[sex],$EC$11,0)*MATCH(bhpc_data[size1],$EC$13,0)),MATCH(ROW(bhpc_data[sku]),ROW(bhpc_data[sku])),""),ROWS($A$15:A67)+$B$3)))),IF($EC$11="",IF($EC$13="",INDEX(bhpc_data[description],SMALL(IF(ISNUMBER(MATCH(bhpc_data[category],$EC$9,0)),MATCH(ROW(bhpc_data[sku]),ROW(bhpc_data[sku])),""),ROWS($A$15:A67)+$B$3)),INDEX(bhpc_data[description],SMALL(IF(ISNUMBER(MATCH(bhpc_data[category],$EC$9,0)*MATCH(bhpc_data[size1],$EC$13,0)),MATCH(ROW(bhpc_data[sku]),ROW(bhpc_data[sku])),""),ROWS($A$15:A67)+$B$3))),IF($EC$13="",INDEX(bhpc_data[description],SMALL(IF(ISNUMBER(MATCH(bhpc_data[category],$EC$9,0)*MATCH(bhpc_data[sex],$EC$11,0)),MATCH(ROW(bhpc_data[sku]),ROW(bhpc_data[sku])),""),ROWS($A$15:A67)+$B$3)),INDEX(bhpc_data[description],SMALL(IF(ISNUMBER(MATCH(bhpc_data[category],$EC$9,0)*MATCH(bhpc_data[sex],$EC$11,0)*MATCH(bhpc_data[size1],$EC$13,0)),MATCH(ROW(bhpc_data[sku]),ROW(bhpc_data[sku])),""),ROWS($A$15:A67)+$B$3))))),"")</f>
        <v>BHPC WOMEN 8 EDP 50ML</v>
      </c>
      <c r="EG62" s="263">
        <f>IFERROR(IF(warehouse[[#This Row],[SKU]]="","",INDEX(inventory[ESISTENZA],MATCH(warehouse[[#This Row],[SKU]],inventory[ARTICOLO],0))),"")</f>
        <v>9</v>
      </c>
      <c r="EH62" s="328"/>
      <c r="EI62" s="328"/>
      <c r="EJ62" s="263"/>
      <c r="EK62" s="329"/>
    </row>
    <row r="63" spans="10:145" ht="15" customHeight="1" x14ac:dyDescent="0.35">
      <c r="M63" s="296"/>
      <c r="BG63" s="296"/>
      <c r="BK63" s="450"/>
      <c r="BL63" s="451"/>
      <c r="BM63" s="452"/>
      <c r="BN63" s="451"/>
      <c r="BO63" s="452"/>
      <c r="BZ63" s="168"/>
      <c r="CA63" s="154" t="str">
        <f>IF(BZ63="","",INDEX(bhpc_data[description],MATCH(BZ63,bhpc_data[sku],0)))</f>
        <v/>
      </c>
      <c r="CB63" s="159"/>
      <c r="CC63" s="357"/>
      <c r="CD63" s="169"/>
      <c r="CE63" s="361"/>
      <c r="CF63" s="170"/>
      <c r="CG63" s="164" t="str">
        <f>IFERROR(ROUNDUP(CB63/INDEX(bhpc_data[units_per_carton],MATCH(BZ63,bhpc_data[sku],0)),0),"")</f>
        <v/>
      </c>
      <c r="CH63" s="165" t="str">
        <f>IFERROR(ROUNDUP(CD63/INDEX(bhpc_data[units_per_carton],MATCH(BZ63,bhpc_data[sku],0)),0),"")</f>
        <v/>
      </c>
      <c r="CI63" s="165" t="str">
        <f>IFERROR(ROUNDUP(CF63/INDEX(bhpc_data[units_per_carton],MATCH(BZ63,bhpc_data[sku])),0),"")</f>
        <v/>
      </c>
      <c r="CJ63" s="165" t="str">
        <f>IFERROR(((CB63+CD63+CF63)/INDEX(bhpc_data[units_per_carton],MATCH(BZ63,bhpc_data[sku],0)))*INDEX(bhpc_data[net_weight],MATCH(BZ63,bhpc_data[sku],0)),"")</f>
        <v/>
      </c>
      <c r="CK63" s="165" t="str">
        <f>IFERROR(((CB63+CD63+CF63)/INDEX(bhpc_data[units_per_carton],MATCH(BZ63,bhpc_data[sku],0)))*INDEX(bhpc_data[gross_weight],MATCH(BZ63,bhpc_data[sku],0)),"")</f>
        <v/>
      </c>
      <c r="CL63" s="180" t="str">
        <f>IFERROR((CB63+CD63+CF63)/INDEX(bhpc_data[units_per_carton],MATCH(BZ63,bhpc_data[sku],0))*INDEX(bhpc_data[lenght],MATCH(BZ63,bhpc_data[sku],0))*INDEX(bhpc_data[width],MATCH(BZ63,bhpc_data[sku],0))*INDEX(bhpc_data[height],MATCH(BZ63,bhpc_data[sku],0))/1000000000,"")</f>
        <v/>
      </c>
      <c r="CM63" s="189" t="str">
        <f>IFERROR(INDEX(bhpc_data[category],MATCH(BZ63,bhpc_data[sku],0)),"")</f>
        <v/>
      </c>
      <c r="CN63" s="189" t="str">
        <f>IFERROR(INDEX(bhpc_data[size1],MATCH(BZ63,bhpc_data[sku],0)),"")</f>
        <v/>
      </c>
      <c r="CO63" s="388" t="str">
        <f>IFERROR(INDEX(bhpc_data[hs_code],MATCH(BZ63,bhpc_data[sku],0)),"")</f>
        <v/>
      </c>
      <c r="CP63" s="377" t="str">
        <f>IFERROR(INDEX(inventory[ESISTENZA],MATCH(BZ63,inventory[ARTICOLO],0)),"")</f>
        <v/>
      </c>
      <c r="CQ63" s="364" t="str">
        <f>IFERROR(IF(BZ63="","",IF($BX$15="SALE",INDEX(inventory[COSTO UNITARIO],MATCH(BZ63,inventory[ARTICOLO],0)),IF($BX$15="SAMPLING",INDEX(inventory[COSTO UNITARIO],MATCH(BZ63,inventory[ARTICOLO],0)),""))),"")</f>
        <v/>
      </c>
      <c r="CR63" s="365" t="str">
        <f t="shared" si="3"/>
        <v/>
      </c>
      <c r="CS63" s="264" t="str">
        <f t="shared" si="4"/>
        <v/>
      </c>
      <c r="DA63" s="432" t="str">
        <f>IFERROR(VLOOKUP(BZ63,bhpc_data[],22,FALSE),"")</f>
        <v/>
      </c>
      <c r="EE63" s="202" t="str" cm="1">
        <f t="array" ref="EE63">IFERROR(IF($EC$9="",IF($EC$11="",IF($EC$13="",INDEX(bhpc_data[sku],SMALL(MATCH(ROW(bhpc_data[sku]),ROW(bhpc_data[sku])),ROWS($A$15:A68)+$B$3)),INDEX(bhpc_data[sku],SMALL(IF(ISNUMBER(MATCH(bhpc_data[size1],$EC$13,0)),MATCH(ROW(bhpc_data[sku]),ROW(bhpc_data[sku])),""),ROWS($A$15:A68)+$B$3))),IF($EC$13="",INDEX(bhpc_data[sku],SMALL(IF(ISNUMBER(MATCH(bhpc_data[sex],$EC$11,0)),MATCH(ROW(bhpc_data[sku]),ROW(bhpc_data[sku])),""),ROWS($A$15:A68)+$B$3)),INDEX(bhpc_data[sku],SMALL(IF(ISNUMBER(MATCH(bhpc_data[sex],$EC$11,0)*MATCH(bhpc_data[size1],$EC$13,0)),MATCH(ROW(bhpc_data[sku]),ROW(bhpc_data[sku])),""),ROWS($A$15:A68)+$B$3)))),IF($EC$11="",IF($EC$13="",INDEX(bhpc_data[sku],SMALL(IF(ISNUMBER(MATCH(bhpc_data[category],$EC$9,0)),MATCH(ROW(bhpc_data[sku]),ROW(bhpc_data[sku])),""),ROWS($A$15:A68)+$B$3)),INDEX(bhpc_data[sku],SMALL(IF(ISNUMBER(MATCH(bhpc_data[category],$EC$9,0)*MATCH(bhpc_data[size1],$EC$13,0)),MATCH(ROW(bhpc_data[sku]),ROW(bhpc_data[sku])),""),ROWS($A$15:A68)+$B$3))),IF($EC$13="",INDEX(bhpc_data[sku],SMALL(IF(ISNUMBER(MATCH(bhpc_data[category],$EC$9,0)*MATCH(bhpc_data[sex],$EC$11,0)),MATCH(ROW(bhpc_data[sku]),ROW(bhpc_data[sku])),""),ROWS($A$15:A68)+$B$3)),INDEX(bhpc_data[sku],SMALL(IF(ISNUMBER(MATCH(bhpc_data[category],$EC$9,0)*MATCH(bhpc_data[sex],$EC$11,0)*MATCH(bhpc_data[size1],$EC$13,0)),MATCH(ROW(bhpc_data[sku]),ROW(bhpc_data[sku])),""),ROWS($A$15:A68)+$B$3))))),"")</f>
        <v>P05031</v>
      </c>
      <c r="EF63" s="198" t="str" cm="1">
        <f t="array" ref="EF63">IFERROR(IF($EC$9="",IF($EC$11="",IF($EC$13="",INDEX(bhpc_data[description],SMALL(MATCH(ROW(bhpc_data[sku]),ROW(bhpc_data[sku])),ROWS($A$15:A68)+$B$3)),INDEX(bhpc_data[description],SMALL(IF(ISNUMBER(MATCH(bhpc_data[size1],$EC$13,0)),MATCH(ROW(bhpc_data[sku]),ROW(bhpc_data[sku])),""),ROWS($A$15:A68)+$B$3))),IF($EC$13="",INDEX(bhpc_data[description],SMALL(IF(ISNUMBER(MATCH(bhpc_data[sex],$EC$11,0)),MATCH(ROW(bhpc_data[sku]),ROW(bhpc_data[sku])),""),ROWS($A$15:A68)+$B$3)),INDEX(bhpc_data[description],SMALL(IF(ISNUMBER(MATCH(bhpc_data[sex],$EC$11,0)*MATCH(bhpc_data[size1],$EC$13,0)),MATCH(ROW(bhpc_data[sku]),ROW(bhpc_data[sku])),""),ROWS($A$15:A68)+$B$3)))),IF($EC$11="",IF($EC$13="",INDEX(bhpc_data[description],SMALL(IF(ISNUMBER(MATCH(bhpc_data[category],$EC$9,0)),MATCH(ROW(bhpc_data[sku]),ROW(bhpc_data[sku])),""),ROWS($A$15:A68)+$B$3)),INDEX(bhpc_data[description],SMALL(IF(ISNUMBER(MATCH(bhpc_data[category],$EC$9,0)*MATCH(bhpc_data[size1],$EC$13,0)),MATCH(ROW(bhpc_data[sku]),ROW(bhpc_data[sku])),""),ROWS($A$15:A68)+$B$3))),IF($EC$13="",INDEX(bhpc_data[description],SMALL(IF(ISNUMBER(MATCH(bhpc_data[category],$EC$9,0)*MATCH(bhpc_data[sex],$EC$11,0)),MATCH(ROW(bhpc_data[sku]),ROW(bhpc_data[sku])),""),ROWS($A$15:A68)+$B$3)),INDEX(bhpc_data[description],SMALL(IF(ISNUMBER(MATCH(bhpc_data[category],$EC$9,0)*MATCH(bhpc_data[sex],$EC$11,0)*MATCH(bhpc_data[size1],$EC$13,0)),MATCH(ROW(bhpc_data[sku]),ROW(bhpc_data[sku])),""),ROWS($A$15:A68)+$B$3))))),"")</f>
        <v>BHPC WOMEN 2 EDP 50ML</v>
      </c>
      <c r="EG63" s="263">
        <f>IFERROR(IF(warehouse[[#This Row],[SKU]]="","",INDEX(inventory[ESISTENZA],MATCH(warehouse[[#This Row],[SKU]],inventory[ARTICOLO],0))),"")</f>
        <v>0</v>
      </c>
      <c r="EH63" s="328"/>
      <c r="EI63" s="328"/>
      <c r="EJ63" s="263"/>
      <c r="EK63" s="329"/>
    </row>
    <row r="64" spans="10:145" ht="15" customHeight="1" x14ac:dyDescent="0.35">
      <c r="BG64" s="296"/>
      <c r="BK64" s="450"/>
      <c r="BL64" s="451"/>
      <c r="BM64" s="452"/>
      <c r="BN64" s="451"/>
      <c r="BO64" s="452"/>
      <c r="BZ64" s="168"/>
      <c r="CA64" s="154" t="str">
        <f>IF(BZ64="","",INDEX(bhpc_data[description],MATCH(BZ64,bhpc_data[sku],0)))</f>
        <v/>
      </c>
      <c r="CB64" s="159"/>
      <c r="CC64" s="357"/>
      <c r="CD64" s="169"/>
      <c r="CE64" s="361"/>
      <c r="CF64" s="170"/>
      <c r="CG64" s="164" t="str">
        <f>IFERROR(ROUNDUP(CB64/INDEX(bhpc_data[units_per_carton],MATCH(BZ64,bhpc_data[sku],0)),0),"")</f>
        <v/>
      </c>
      <c r="CH64" s="165" t="str">
        <f>IFERROR(ROUNDUP(CD64/INDEX(bhpc_data[units_per_carton],MATCH(BZ64,bhpc_data[sku],0)),0),"")</f>
        <v/>
      </c>
      <c r="CI64" s="165" t="str">
        <f>IFERROR(ROUNDUP(CF64/INDEX(bhpc_data[units_per_carton],MATCH(BZ64,bhpc_data[sku])),0),"")</f>
        <v/>
      </c>
      <c r="CJ64" s="165" t="str">
        <f>IFERROR(((CB64+CD64+CF64)/INDEX(bhpc_data[units_per_carton],MATCH(BZ64,bhpc_data[sku],0)))*INDEX(bhpc_data[net_weight],MATCH(BZ64,bhpc_data[sku],0)),"")</f>
        <v/>
      </c>
      <c r="CK64" s="165" t="str">
        <f>IFERROR(((CB64+CD64+CF64)/INDEX(bhpc_data[units_per_carton],MATCH(BZ64,bhpc_data[sku],0)))*INDEX(bhpc_data[gross_weight],MATCH(BZ64,bhpc_data[sku],0)),"")</f>
        <v/>
      </c>
      <c r="CL64" s="180" t="str">
        <f>IFERROR((CB64+CD64+CF64)/INDEX(bhpc_data[units_per_carton],MATCH(BZ64,bhpc_data[sku],0))*INDEX(bhpc_data[lenght],MATCH(BZ64,bhpc_data[sku],0))*INDEX(bhpc_data[width],MATCH(BZ64,bhpc_data[sku],0))*INDEX(bhpc_data[height],MATCH(BZ64,bhpc_data[sku],0))/1000000000,"")</f>
        <v/>
      </c>
      <c r="CM64" s="189" t="str">
        <f>IFERROR(INDEX(bhpc_data[category],MATCH(BZ64,bhpc_data[sku],0)),"")</f>
        <v/>
      </c>
      <c r="CN64" s="189" t="str">
        <f>IFERROR(INDEX(bhpc_data[size1],MATCH(BZ64,bhpc_data[sku],0)),"")</f>
        <v/>
      </c>
      <c r="CO64" s="388" t="str">
        <f>IFERROR(INDEX(bhpc_data[hs_code],MATCH(BZ64,bhpc_data[sku],0)),"")</f>
        <v/>
      </c>
      <c r="CP64" s="377" t="str">
        <f>IFERROR(INDEX(inventory[ESISTENZA],MATCH(BZ64,inventory[ARTICOLO],0)),"")</f>
        <v/>
      </c>
      <c r="CQ64" s="364" t="str">
        <f>IFERROR(IF(BZ64="","",IF($BX$15="SALE",INDEX(inventory[COSTO UNITARIO],MATCH(BZ64,inventory[ARTICOLO],0)),IF($BX$15="SAMPLING",INDEX(inventory[COSTO UNITARIO],MATCH(BZ64,inventory[ARTICOLO],0)),""))),"")</f>
        <v/>
      </c>
      <c r="CR64" s="365" t="str">
        <f t="shared" si="3"/>
        <v/>
      </c>
      <c r="CS64" s="264" t="str">
        <f t="shared" si="4"/>
        <v/>
      </c>
      <c r="DA64" s="432" t="str">
        <f>IFERROR(VLOOKUP(BZ64,bhpc_data[],22,FALSE),"")</f>
        <v/>
      </c>
      <c r="EE64" s="202" t="str" cm="1">
        <f t="array" ref="EE64">IFERROR(IF($EC$9="",IF($EC$11="",IF($EC$13="",INDEX(bhpc_data[sku],SMALL(MATCH(ROW(bhpc_data[sku]),ROW(bhpc_data[sku])),ROWS($A$15:A69)+$B$3)),INDEX(bhpc_data[sku],SMALL(IF(ISNUMBER(MATCH(bhpc_data[size1],$EC$13,0)),MATCH(ROW(bhpc_data[sku]),ROW(bhpc_data[sku])),""),ROWS($A$15:A69)+$B$3))),IF($EC$13="",INDEX(bhpc_data[sku],SMALL(IF(ISNUMBER(MATCH(bhpc_data[sex],$EC$11,0)),MATCH(ROW(bhpc_data[sku]),ROW(bhpc_data[sku])),""),ROWS($A$15:A69)+$B$3)),INDEX(bhpc_data[sku],SMALL(IF(ISNUMBER(MATCH(bhpc_data[sex],$EC$11,0)*MATCH(bhpc_data[size1],$EC$13,0)),MATCH(ROW(bhpc_data[sku]),ROW(bhpc_data[sku])),""),ROWS($A$15:A69)+$B$3)))),IF($EC$11="",IF($EC$13="",INDEX(bhpc_data[sku],SMALL(IF(ISNUMBER(MATCH(bhpc_data[category],$EC$9,0)),MATCH(ROW(bhpc_data[sku]),ROW(bhpc_data[sku])),""),ROWS($A$15:A69)+$B$3)),INDEX(bhpc_data[sku],SMALL(IF(ISNUMBER(MATCH(bhpc_data[category],$EC$9,0)*MATCH(bhpc_data[size1],$EC$13,0)),MATCH(ROW(bhpc_data[sku]),ROW(bhpc_data[sku])),""),ROWS($A$15:A69)+$B$3))),IF($EC$13="",INDEX(bhpc_data[sku],SMALL(IF(ISNUMBER(MATCH(bhpc_data[category],$EC$9,0)*MATCH(bhpc_data[sex],$EC$11,0)),MATCH(ROW(bhpc_data[sku]),ROW(bhpc_data[sku])),""),ROWS($A$15:A69)+$B$3)),INDEX(bhpc_data[sku],SMALL(IF(ISNUMBER(MATCH(bhpc_data[category],$EC$9,0)*MATCH(bhpc_data[sex],$EC$11,0)*MATCH(bhpc_data[size1],$EC$13,0)),MATCH(ROW(bhpc_data[sku]),ROW(bhpc_data[sku])),""),ROWS($A$15:A69)+$B$3))))),"")</f>
        <v>P05050</v>
      </c>
      <c r="EF64" s="198" t="str" cm="1">
        <f t="array" ref="EF64">IFERROR(IF($EC$9="",IF($EC$11="",IF($EC$13="",INDEX(bhpc_data[description],SMALL(MATCH(ROW(bhpc_data[sku]),ROW(bhpc_data[sku])),ROWS($A$15:A69)+$B$3)),INDEX(bhpc_data[description],SMALL(IF(ISNUMBER(MATCH(bhpc_data[size1],$EC$13,0)),MATCH(ROW(bhpc_data[sku]),ROW(bhpc_data[sku])),""),ROWS($A$15:A69)+$B$3))),IF($EC$13="",INDEX(bhpc_data[description],SMALL(IF(ISNUMBER(MATCH(bhpc_data[sex],$EC$11,0)),MATCH(ROW(bhpc_data[sku]),ROW(bhpc_data[sku])),""),ROWS($A$15:A69)+$B$3)),INDEX(bhpc_data[description],SMALL(IF(ISNUMBER(MATCH(bhpc_data[sex],$EC$11,0)*MATCH(bhpc_data[size1],$EC$13,0)),MATCH(ROW(bhpc_data[sku]),ROW(bhpc_data[sku])),""),ROWS($A$15:A69)+$B$3)))),IF($EC$11="",IF($EC$13="",INDEX(bhpc_data[description],SMALL(IF(ISNUMBER(MATCH(bhpc_data[category],$EC$9,0)),MATCH(ROW(bhpc_data[sku]),ROW(bhpc_data[sku])),""),ROWS($A$15:A69)+$B$3)),INDEX(bhpc_data[description],SMALL(IF(ISNUMBER(MATCH(bhpc_data[category],$EC$9,0)*MATCH(bhpc_data[size1],$EC$13,0)),MATCH(ROW(bhpc_data[sku]),ROW(bhpc_data[sku])),""),ROWS($A$15:A69)+$B$3))),IF($EC$13="",INDEX(bhpc_data[description],SMALL(IF(ISNUMBER(MATCH(bhpc_data[category],$EC$9,0)*MATCH(bhpc_data[sex],$EC$11,0)),MATCH(ROW(bhpc_data[sku]),ROW(bhpc_data[sku])),""),ROWS($A$15:A69)+$B$3)),INDEX(bhpc_data[description],SMALL(IF(ISNUMBER(MATCH(bhpc_data[category],$EC$9,0)*MATCH(bhpc_data[sex],$EC$11,0)*MATCH(bhpc_data[size1],$EC$13,0)),MATCH(ROW(bhpc_data[sku]),ROW(bhpc_data[sku])),""),ROWS($A$15:A69)+$B$3))))),"")</f>
        <v>BHPC WOMEN 1 EDP 100ML</v>
      </c>
      <c r="EG64" s="263">
        <f>IFERROR(IF(warehouse[[#This Row],[SKU]]="","",INDEX(inventory[ESISTENZA],MATCH(warehouse[[#This Row],[SKU]],inventory[ARTICOLO],0))),"")</f>
        <v>9142</v>
      </c>
      <c r="EH64" s="328"/>
      <c r="EI64" s="328"/>
      <c r="EJ64" s="263"/>
      <c r="EK64" s="329"/>
    </row>
    <row r="65" spans="59:141" ht="15" customHeight="1" x14ac:dyDescent="0.35">
      <c r="BG65" s="296"/>
      <c r="BK65" s="450"/>
      <c r="BL65" s="451"/>
      <c r="BM65" s="452"/>
      <c r="BN65" s="451"/>
      <c r="BO65" s="452"/>
      <c r="BZ65" s="168"/>
      <c r="CA65" s="154" t="str">
        <f>IF(BZ65="","",INDEX(bhpc_data[description],MATCH(BZ65,bhpc_data[sku],0)))</f>
        <v/>
      </c>
      <c r="CB65" s="159"/>
      <c r="CC65" s="357"/>
      <c r="CD65" s="169"/>
      <c r="CE65" s="361"/>
      <c r="CF65" s="170"/>
      <c r="CG65" s="164" t="str">
        <f>IFERROR(ROUNDUP(CB65/INDEX(bhpc_data[units_per_carton],MATCH(BZ65,bhpc_data[sku],0)),0),"")</f>
        <v/>
      </c>
      <c r="CH65" s="165" t="str">
        <f>IFERROR(ROUNDUP(CD65/INDEX(bhpc_data[units_per_carton],MATCH(BZ65,bhpc_data[sku],0)),0),"")</f>
        <v/>
      </c>
      <c r="CI65" s="165" t="str">
        <f>IFERROR(ROUNDUP(CF65/INDEX(bhpc_data[units_per_carton],MATCH(BZ65,bhpc_data[sku])),0),"")</f>
        <v/>
      </c>
      <c r="CJ65" s="165" t="str">
        <f>IFERROR(((CB65+CD65+CF65)/INDEX(bhpc_data[units_per_carton],MATCH(BZ65,bhpc_data[sku],0)))*INDEX(bhpc_data[net_weight],MATCH(BZ65,bhpc_data[sku],0)),"")</f>
        <v/>
      </c>
      <c r="CK65" s="165" t="str">
        <f>IFERROR(((CB65+CD65+CF65)/INDEX(bhpc_data[units_per_carton],MATCH(BZ65,bhpc_data[sku],0)))*INDEX(bhpc_data[gross_weight],MATCH(BZ65,bhpc_data[sku],0)),"")</f>
        <v/>
      </c>
      <c r="CL65" s="180" t="str">
        <f>IFERROR((CB65+CD65+CF65)/INDEX(bhpc_data[units_per_carton],MATCH(BZ65,bhpc_data[sku],0))*INDEX(bhpc_data[lenght],MATCH(BZ65,bhpc_data[sku],0))*INDEX(bhpc_data[width],MATCH(BZ65,bhpc_data[sku],0))*INDEX(bhpc_data[height],MATCH(BZ65,bhpc_data[sku],0))/1000000000,"")</f>
        <v/>
      </c>
      <c r="CM65" s="189" t="str">
        <f>IFERROR(INDEX(bhpc_data[category],MATCH(BZ65,bhpc_data[sku],0)),"")</f>
        <v/>
      </c>
      <c r="CN65" s="189" t="str">
        <f>IFERROR(INDEX(bhpc_data[size1],MATCH(BZ65,bhpc_data[sku],0)),"")</f>
        <v/>
      </c>
      <c r="CO65" s="388" t="str">
        <f>IFERROR(INDEX(bhpc_data[hs_code],MATCH(BZ65,bhpc_data[sku],0)),"")</f>
        <v/>
      </c>
      <c r="CP65" s="377" t="str">
        <f>IFERROR(INDEX(inventory[ESISTENZA],MATCH(BZ65,inventory[ARTICOLO],0)),"")</f>
        <v/>
      </c>
      <c r="CQ65" s="364" t="str">
        <f>IFERROR(IF(BZ65="","",IF($BX$15="SALE",INDEX(inventory[COSTO UNITARIO],MATCH(BZ65,inventory[ARTICOLO],0)),IF($BX$15="SAMPLING",INDEX(inventory[COSTO UNITARIO],MATCH(BZ65,inventory[ARTICOLO],0)),""))),"")</f>
        <v/>
      </c>
      <c r="CR65" s="365" t="str">
        <f t="shared" si="3"/>
        <v/>
      </c>
      <c r="CS65" s="264" t="str">
        <f t="shared" si="4"/>
        <v/>
      </c>
      <c r="DA65" s="432" t="str">
        <f>IFERROR(VLOOKUP(BZ65,bhpc_data[],22,FALSE),"")</f>
        <v/>
      </c>
      <c r="EE65" s="202" t="str" cm="1">
        <f t="array" ref="EE65">IFERROR(IF($EC$9="",IF($EC$11="",IF($EC$13="",INDEX(bhpc_data[sku],SMALL(MATCH(ROW(bhpc_data[sku]),ROW(bhpc_data[sku])),ROWS($A$15:A70)+$B$3)),INDEX(bhpc_data[sku],SMALL(IF(ISNUMBER(MATCH(bhpc_data[size1],$EC$13,0)),MATCH(ROW(bhpc_data[sku]),ROW(bhpc_data[sku])),""),ROWS($A$15:A70)+$B$3))),IF($EC$13="",INDEX(bhpc_data[sku],SMALL(IF(ISNUMBER(MATCH(bhpc_data[sex],$EC$11,0)),MATCH(ROW(bhpc_data[sku]),ROW(bhpc_data[sku])),""),ROWS($A$15:A70)+$B$3)),INDEX(bhpc_data[sku],SMALL(IF(ISNUMBER(MATCH(bhpc_data[sex],$EC$11,0)*MATCH(bhpc_data[size1],$EC$13,0)),MATCH(ROW(bhpc_data[sku]),ROW(bhpc_data[sku])),""),ROWS($A$15:A70)+$B$3)))),IF($EC$11="",IF($EC$13="",INDEX(bhpc_data[sku],SMALL(IF(ISNUMBER(MATCH(bhpc_data[category],$EC$9,0)),MATCH(ROW(bhpc_data[sku]),ROW(bhpc_data[sku])),""),ROWS($A$15:A70)+$B$3)),INDEX(bhpc_data[sku],SMALL(IF(ISNUMBER(MATCH(bhpc_data[category],$EC$9,0)*MATCH(bhpc_data[size1],$EC$13,0)),MATCH(ROW(bhpc_data[sku]),ROW(bhpc_data[sku])),""),ROWS($A$15:A70)+$B$3))),IF($EC$13="",INDEX(bhpc_data[sku],SMALL(IF(ISNUMBER(MATCH(bhpc_data[category],$EC$9,0)*MATCH(bhpc_data[sex],$EC$11,0)),MATCH(ROW(bhpc_data[sku]),ROW(bhpc_data[sku])),""),ROWS($A$15:A70)+$B$3)),INDEX(bhpc_data[sku],SMALL(IF(ISNUMBER(MATCH(bhpc_data[category],$EC$9,0)*MATCH(bhpc_data[sex],$EC$11,0)*MATCH(bhpc_data[size1],$EC$13,0)),MATCH(ROW(bhpc_data[sku]),ROW(bhpc_data[sku])),""),ROWS($A$15:A70)+$B$3))))),"")</f>
        <v>P05051</v>
      </c>
      <c r="EF65" s="198" t="str" cm="1">
        <f t="array" ref="EF65">IFERROR(IF($EC$9="",IF($EC$11="",IF($EC$13="",INDEX(bhpc_data[description],SMALL(MATCH(ROW(bhpc_data[sku]),ROW(bhpc_data[sku])),ROWS($A$15:A70)+$B$3)),INDEX(bhpc_data[description],SMALL(IF(ISNUMBER(MATCH(bhpc_data[size1],$EC$13,0)),MATCH(ROW(bhpc_data[sku]),ROW(bhpc_data[sku])),""),ROWS($A$15:A70)+$B$3))),IF($EC$13="",INDEX(bhpc_data[description],SMALL(IF(ISNUMBER(MATCH(bhpc_data[sex],$EC$11,0)),MATCH(ROW(bhpc_data[sku]),ROW(bhpc_data[sku])),""),ROWS($A$15:A70)+$B$3)),INDEX(bhpc_data[description],SMALL(IF(ISNUMBER(MATCH(bhpc_data[sex],$EC$11,0)*MATCH(bhpc_data[size1],$EC$13,0)),MATCH(ROW(bhpc_data[sku]),ROW(bhpc_data[sku])),""),ROWS($A$15:A70)+$B$3)))),IF($EC$11="",IF($EC$13="",INDEX(bhpc_data[description],SMALL(IF(ISNUMBER(MATCH(bhpc_data[category],$EC$9,0)),MATCH(ROW(bhpc_data[sku]),ROW(bhpc_data[sku])),""),ROWS($A$15:A70)+$B$3)),INDEX(bhpc_data[description],SMALL(IF(ISNUMBER(MATCH(bhpc_data[category],$EC$9,0)*MATCH(bhpc_data[size1],$EC$13,0)),MATCH(ROW(bhpc_data[sku]),ROW(bhpc_data[sku])),""),ROWS($A$15:A70)+$B$3))),IF($EC$13="",INDEX(bhpc_data[description],SMALL(IF(ISNUMBER(MATCH(bhpc_data[category],$EC$9,0)*MATCH(bhpc_data[sex],$EC$11,0)),MATCH(ROW(bhpc_data[sku]),ROW(bhpc_data[sku])),""),ROWS($A$15:A70)+$B$3)),INDEX(bhpc_data[description],SMALL(IF(ISNUMBER(MATCH(bhpc_data[category],$EC$9,0)*MATCH(bhpc_data[sex],$EC$11,0)*MATCH(bhpc_data[size1],$EC$13,0)),MATCH(ROW(bhpc_data[sku]),ROW(bhpc_data[sku])),""),ROWS($A$15:A70)+$B$3))))),"")</f>
        <v>BHPC WOMEN 9 EDP 100ML</v>
      </c>
      <c r="EG65" s="263">
        <f>IFERROR(IF(warehouse[[#This Row],[SKU]]="","",INDEX(inventory[ESISTENZA],MATCH(warehouse[[#This Row],[SKU]],inventory[ARTICOLO],0))),"")</f>
        <v>8908</v>
      </c>
      <c r="EH65" s="328"/>
      <c r="EI65" s="328"/>
      <c r="EJ65" s="263"/>
      <c r="EK65" s="329"/>
    </row>
    <row r="66" spans="59:141" ht="15" customHeight="1" x14ac:dyDescent="0.35">
      <c r="BG66" s="296"/>
      <c r="BK66" s="450"/>
      <c r="BL66" s="451"/>
      <c r="BM66" s="452"/>
      <c r="BN66" s="451"/>
      <c r="BO66" s="452"/>
      <c r="BZ66" s="168"/>
      <c r="CA66" s="154" t="str">
        <f>IF(BZ66="","",INDEX(bhpc_data[description],MATCH(BZ66,bhpc_data[sku],0)))</f>
        <v/>
      </c>
      <c r="CB66" s="159"/>
      <c r="CC66" s="357"/>
      <c r="CD66" s="169"/>
      <c r="CE66" s="361"/>
      <c r="CF66" s="170"/>
      <c r="CG66" s="164" t="str">
        <f>IFERROR(ROUNDUP(CB66/INDEX(bhpc_data[units_per_carton],MATCH(BZ66,bhpc_data[sku],0)),0),"")</f>
        <v/>
      </c>
      <c r="CH66" s="165" t="str">
        <f>IFERROR(ROUNDUP(CD66/INDEX(bhpc_data[units_per_carton],MATCH(BZ66,bhpc_data[sku],0)),0),"")</f>
        <v/>
      </c>
      <c r="CI66" s="165" t="str">
        <f>IFERROR(ROUNDUP(CF66/INDEX(bhpc_data[units_per_carton],MATCH(BZ66,bhpc_data[sku])),0),"")</f>
        <v/>
      </c>
      <c r="CJ66" s="165" t="str">
        <f>IFERROR(((CB66+CD66+CF66)/INDEX(bhpc_data[units_per_carton],MATCH(BZ66,bhpc_data[sku],0)))*INDEX(bhpc_data[net_weight],MATCH(BZ66,bhpc_data[sku],0)),"")</f>
        <v/>
      </c>
      <c r="CK66" s="165" t="str">
        <f>IFERROR(((CB66+CD66+CF66)/INDEX(bhpc_data[units_per_carton],MATCH(BZ66,bhpc_data[sku],0)))*INDEX(bhpc_data[gross_weight],MATCH(BZ66,bhpc_data[sku],0)),"")</f>
        <v/>
      </c>
      <c r="CL66" s="180" t="str">
        <f>IFERROR((CB66+CD66+CF66)/INDEX(bhpc_data[units_per_carton],MATCH(BZ66,bhpc_data[sku],0))*INDEX(bhpc_data[lenght],MATCH(BZ66,bhpc_data[sku],0))*INDEX(bhpc_data[width],MATCH(BZ66,bhpc_data[sku],0))*INDEX(bhpc_data[height],MATCH(BZ66,bhpc_data[sku],0))/1000000000,"")</f>
        <v/>
      </c>
      <c r="CM66" s="189" t="str">
        <f>IFERROR(INDEX(bhpc_data[category],MATCH(BZ66,bhpc_data[sku],0)),"")</f>
        <v/>
      </c>
      <c r="CN66" s="189" t="str">
        <f>IFERROR(INDEX(bhpc_data[size1],MATCH(BZ66,bhpc_data[sku],0)),"")</f>
        <v/>
      </c>
      <c r="CO66" s="388" t="str">
        <f>IFERROR(INDEX(bhpc_data[hs_code],MATCH(BZ66,bhpc_data[sku],0)),"")</f>
        <v/>
      </c>
      <c r="CP66" s="377" t="str">
        <f>IFERROR(INDEX(inventory[ESISTENZA],MATCH(BZ66,inventory[ARTICOLO],0)),"")</f>
        <v/>
      </c>
      <c r="CQ66" s="364" t="str">
        <f>IFERROR(IF(BZ66="","",IF($BX$15="SALE",INDEX(inventory[COSTO UNITARIO],MATCH(BZ66,inventory[ARTICOLO],0)),IF($BX$15="SAMPLING",INDEX(inventory[COSTO UNITARIO],MATCH(BZ66,inventory[ARTICOLO],0)),""))),"")</f>
        <v/>
      </c>
      <c r="CR66" s="365" t="str">
        <f t="shared" si="3"/>
        <v/>
      </c>
      <c r="CS66" s="264" t="str">
        <f t="shared" si="4"/>
        <v/>
      </c>
      <c r="DA66" s="432" t="str">
        <f>IFERROR(VLOOKUP(BZ66,bhpc_data[],22,FALSE),"")</f>
        <v/>
      </c>
      <c r="EE66" s="202" t="str" cm="1">
        <f t="array" ref="EE66">IFERROR(IF($EC$9="",IF($EC$11="",IF($EC$13="",INDEX(bhpc_data[sku],SMALL(MATCH(ROW(bhpc_data[sku]),ROW(bhpc_data[sku])),ROWS($A$15:A71)+$B$3)),INDEX(bhpc_data[sku],SMALL(IF(ISNUMBER(MATCH(bhpc_data[size1],$EC$13,0)),MATCH(ROW(bhpc_data[sku]),ROW(bhpc_data[sku])),""),ROWS($A$15:A71)+$B$3))),IF($EC$13="",INDEX(bhpc_data[sku],SMALL(IF(ISNUMBER(MATCH(bhpc_data[sex],$EC$11,0)),MATCH(ROW(bhpc_data[sku]),ROW(bhpc_data[sku])),""),ROWS($A$15:A71)+$B$3)),INDEX(bhpc_data[sku],SMALL(IF(ISNUMBER(MATCH(bhpc_data[sex],$EC$11,0)*MATCH(bhpc_data[size1],$EC$13,0)),MATCH(ROW(bhpc_data[sku]),ROW(bhpc_data[sku])),""),ROWS($A$15:A71)+$B$3)))),IF($EC$11="",IF($EC$13="",INDEX(bhpc_data[sku],SMALL(IF(ISNUMBER(MATCH(bhpc_data[category],$EC$9,0)),MATCH(ROW(bhpc_data[sku]),ROW(bhpc_data[sku])),""),ROWS($A$15:A71)+$B$3)),INDEX(bhpc_data[sku],SMALL(IF(ISNUMBER(MATCH(bhpc_data[category],$EC$9,0)*MATCH(bhpc_data[size1],$EC$13,0)),MATCH(ROW(bhpc_data[sku]),ROW(bhpc_data[sku])),""),ROWS($A$15:A71)+$B$3))),IF($EC$13="",INDEX(bhpc_data[sku],SMALL(IF(ISNUMBER(MATCH(bhpc_data[category],$EC$9,0)*MATCH(bhpc_data[sex],$EC$11,0)),MATCH(ROW(bhpc_data[sku]),ROW(bhpc_data[sku])),""),ROWS($A$15:A71)+$B$3)),INDEX(bhpc_data[sku],SMALL(IF(ISNUMBER(MATCH(bhpc_data[category],$EC$9,0)*MATCH(bhpc_data[sex],$EC$11,0)*MATCH(bhpc_data[size1],$EC$13,0)),MATCH(ROW(bhpc_data[sku]),ROW(bhpc_data[sku])),""),ROWS($A$15:A71)+$B$3))))),"")</f>
        <v>P05052</v>
      </c>
      <c r="EF66" s="198" t="str" cm="1">
        <f t="array" ref="EF66">IFERROR(IF($EC$9="",IF($EC$11="",IF($EC$13="",INDEX(bhpc_data[description],SMALL(MATCH(ROW(bhpc_data[sku]),ROW(bhpc_data[sku])),ROWS($A$15:A71)+$B$3)),INDEX(bhpc_data[description],SMALL(IF(ISNUMBER(MATCH(bhpc_data[size1],$EC$13,0)),MATCH(ROW(bhpc_data[sku]),ROW(bhpc_data[sku])),""),ROWS($A$15:A71)+$B$3))),IF($EC$13="",INDEX(bhpc_data[description],SMALL(IF(ISNUMBER(MATCH(bhpc_data[sex],$EC$11,0)),MATCH(ROW(bhpc_data[sku]),ROW(bhpc_data[sku])),""),ROWS($A$15:A71)+$B$3)),INDEX(bhpc_data[description],SMALL(IF(ISNUMBER(MATCH(bhpc_data[sex],$EC$11,0)*MATCH(bhpc_data[size1],$EC$13,0)),MATCH(ROW(bhpc_data[sku]),ROW(bhpc_data[sku])),""),ROWS($A$15:A71)+$B$3)))),IF($EC$11="",IF($EC$13="",INDEX(bhpc_data[description],SMALL(IF(ISNUMBER(MATCH(bhpc_data[category],$EC$9,0)),MATCH(ROW(bhpc_data[sku]),ROW(bhpc_data[sku])),""),ROWS($A$15:A71)+$B$3)),INDEX(bhpc_data[description],SMALL(IF(ISNUMBER(MATCH(bhpc_data[category],$EC$9,0)*MATCH(bhpc_data[size1],$EC$13,0)),MATCH(ROW(bhpc_data[sku]),ROW(bhpc_data[sku])),""),ROWS($A$15:A71)+$B$3))),IF($EC$13="",INDEX(bhpc_data[description],SMALL(IF(ISNUMBER(MATCH(bhpc_data[category],$EC$9,0)*MATCH(bhpc_data[sex],$EC$11,0)),MATCH(ROW(bhpc_data[sku]),ROW(bhpc_data[sku])),""),ROWS($A$15:A71)+$B$3)),INDEX(bhpc_data[description],SMALL(IF(ISNUMBER(MATCH(bhpc_data[category],$EC$9,0)*MATCH(bhpc_data[sex],$EC$11,0)*MATCH(bhpc_data[size1],$EC$13,0)),MATCH(ROW(bhpc_data[sku]),ROW(bhpc_data[sku])),""),ROWS($A$15:A71)+$B$3))))),"")</f>
        <v>BHPC WOMEN 8 EDP 100ML</v>
      </c>
      <c r="EG66" s="263">
        <f>IFERROR(IF(warehouse[[#This Row],[SKU]]="","",INDEX(inventory[ESISTENZA],MATCH(warehouse[[#This Row],[SKU]],inventory[ARTICOLO],0))),"")</f>
        <v>6410</v>
      </c>
      <c r="EH66" s="328"/>
      <c r="EI66" s="328"/>
      <c r="EJ66" s="263"/>
      <c r="EK66" s="329"/>
    </row>
    <row r="67" spans="59:141" ht="15" customHeight="1" x14ac:dyDescent="0.35">
      <c r="BG67" s="296"/>
      <c r="BK67" s="450"/>
      <c r="BL67" s="451"/>
      <c r="BM67" s="452"/>
      <c r="BN67" s="451"/>
      <c r="BO67" s="452"/>
      <c r="BZ67" s="168"/>
      <c r="CA67" s="154" t="str">
        <f>IF(BZ67="","",INDEX(bhpc_data[description],MATCH(BZ67,bhpc_data[sku],0)))</f>
        <v/>
      </c>
      <c r="CB67" s="159"/>
      <c r="CC67" s="357"/>
      <c r="CD67" s="169"/>
      <c r="CE67" s="361"/>
      <c r="CF67" s="170"/>
      <c r="CG67" s="164" t="str">
        <f>IFERROR(ROUNDUP(CB67/INDEX(bhpc_data[units_per_carton],MATCH(BZ67,bhpc_data[sku],0)),0),"")</f>
        <v/>
      </c>
      <c r="CH67" s="165" t="str">
        <f>IFERROR(ROUNDUP(CD67/INDEX(bhpc_data[units_per_carton],MATCH(BZ67,bhpc_data[sku],0)),0),"")</f>
        <v/>
      </c>
      <c r="CI67" s="165" t="str">
        <f>IFERROR(ROUNDUP(CF67/INDEX(bhpc_data[units_per_carton],MATCH(BZ67,bhpc_data[sku])),0),"")</f>
        <v/>
      </c>
      <c r="CJ67" s="165" t="str">
        <f>IFERROR(((CB67+CD67+CF67)/INDEX(bhpc_data[units_per_carton],MATCH(BZ67,bhpc_data[sku],0)))*INDEX(bhpc_data[net_weight],MATCH(BZ67,bhpc_data[sku],0)),"")</f>
        <v/>
      </c>
      <c r="CK67" s="165" t="str">
        <f>IFERROR(((CB67+CD67+CF67)/INDEX(bhpc_data[units_per_carton],MATCH(BZ67,bhpc_data[sku],0)))*INDEX(bhpc_data[gross_weight],MATCH(BZ67,bhpc_data[sku],0)),"")</f>
        <v/>
      </c>
      <c r="CL67" s="180" t="str">
        <f>IFERROR((CB67+CD67+CF67)/INDEX(bhpc_data[units_per_carton],MATCH(BZ67,bhpc_data[sku],0))*INDEX(bhpc_data[lenght],MATCH(BZ67,bhpc_data[sku],0))*INDEX(bhpc_data[width],MATCH(BZ67,bhpc_data[sku],0))*INDEX(bhpc_data[height],MATCH(BZ67,bhpc_data[sku],0))/1000000000,"")</f>
        <v/>
      </c>
      <c r="CM67" s="189" t="str">
        <f>IFERROR(INDEX(bhpc_data[category],MATCH(BZ67,bhpc_data[sku],0)),"")</f>
        <v/>
      </c>
      <c r="CN67" s="189" t="str">
        <f>IFERROR(INDEX(bhpc_data[size1],MATCH(BZ67,bhpc_data[sku],0)),"")</f>
        <v/>
      </c>
      <c r="CO67" s="388" t="str">
        <f>IFERROR(INDEX(bhpc_data[hs_code],MATCH(BZ67,bhpc_data[sku],0)),"")</f>
        <v/>
      </c>
      <c r="CP67" s="377" t="str">
        <f>IFERROR(INDEX(inventory[ESISTENZA],MATCH(BZ67,inventory[ARTICOLO],0)),"")</f>
        <v/>
      </c>
      <c r="CQ67" s="364" t="str">
        <f>IFERROR(IF(BZ67="","",IF($BX$15="SALE",INDEX(inventory[COSTO UNITARIO],MATCH(BZ67,inventory[ARTICOLO],0)),IF($BX$15="SAMPLING",INDEX(inventory[COSTO UNITARIO],MATCH(BZ67,inventory[ARTICOLO],0)),""))),"")</f>
        <v/>
      </c>
      <c r="CR67" s="365" t="str">
        <f t="shared" si="3"/>
        <v/>
      </c>
      <c r="CS67" s="264" t="str">
        <f t="shared" si="4"/>
        <v/>
      </c>
      <c r="DA67" s="432" t="str">
        <f>IFERROR(VLOOKUP(BZ67,bhpc_data[],22,FALSE),"")</f>
        <v/>
      </c>
      <c r="EE67" s="202" t="str" cm="1">
        <f t="array" ref="EE67">IFERROR(IF($EC$9="",IF($EC$11="",IF($EC$13="",INDEX(bhpc_data[sku],SMALL(MATCH(ROW(bhpc_data[sku]),ROW(bhpc_data[sku])),ROWS($A$15:A72)+$B$3)),INDEX(bhpc_data[sku],SMALL(IF(ISNUMBER(MATCH(bhpc_data[size1],$EC$13,0)),MATCH(ROW(bhpc_data[sku]),ROW(bhpc_data[sku])),""),ROWS($A$15:A72)+$B$3))),IF($EC$13="",INDEX(bhpc_data[sku],SMALL(IF(ISNUMBER(MATCH(bhpc_data[sex],$EC$11,0)),MATCH(ROW(bhpc_data[sku]),ROW(bhpc_data[sku])),""),ROWS($A$15:A72)+$B$3)),INDEX(bhpc_data[sku],SMALL(IF(ISNUMBER(MATCH(bhpc_data[sex],$EC$11,0)*MATCH(bhpc_data[size1],$EC$13,0)),MATCH(ROW(bhpc_data[sku]),ROW(bhpc_data[sku])),""),ROWS($A$15:A72)+$B$3)))),IF($EC$11="",IF($EC$13="",INDEX(bhpc_data[sku],SMALL(IF(ISNUMBER(MATCH(bhpc_data[category],$EC$9,0)),MATCH(ROW(bhpc_data[sku]),ROW(bhpc_data[sku])),""),ROWS($A$15:A72)+$B$3)),INDEX(bhpc_data[sku],SMALL(IF(ISNUMBER(MATCH(bhpc_data[category],$EC$9,0)*MATCH(bhpc_data[size1],$EC$13,0)),MATCH(ROW(bhpc_data[sku]),ROW(bhpc_data[sku])),""),ROWS($A$15:A72)+$B$3))),IF($EC$13="",INDEX(bhpc_data[sku],SMALL(IF(ISNUMBER(MATCH(bhpc_data[category],$EC$9,0)*MATCH(bhpc_data[sex],$EC$11,0)),MATCH(ROW(bhpc_data[sku]),ROW(bhpc_data[sku])),""),ROWS($A$15:A72)+$B$3)),INDEX(bhpc_data[sku],SMALL(IF(ISNUMBER(MATCH(bhpc_data[category],$EC$9,0)*MATCH(bhpc_data[sex],$EC$11,0)*MATCH(bhpc_data[size1],$EC$13,0)),MATCH(ROW(bhpc_data[sku]),ROW(bhpc_data[sku])),""),ROWS($A$15:A72)+$B$3))))),"")</f>
        <v>P05053</v>
      </c>
      <c r="EF67" s="198" t="str" cm="1">
        <f t="array" ref="EF67">IFERROR(IF($EC$9="",IF($EC$11="",IF($EC$13="",INDEX(bhpc_data[description],SMALL(MATCH(ROW(bhpc_data[sku]),ROW(bhpc_data[sku])),ROWS($A$15:A72)+$B$3)),INDEX(bhpc_data[description],SMALL(IF(ISNUMBER(MATCH(bhpc_data[size1],$EC$13,0)),MATCH(ROW(bhpc_data[sku]),ROW(bhpc_data[sku])),""),ROWS($A$15:A72)+$B$3))),IF($EC$13="",INDEX(bhpc_data[description],SMALL(IF(ISNUMBER(MATCH(bhpc_data[sex],$EC$11,0)),MATCH(ROW(bhpc_data[sku]),ROW(bhpc_data[sku])),""),ROWS($A$15:A72)+$B$3)),INDEX(bhpc_data[description],SMALL(IF(ISNUMBER(MATCH(bhpc_data[sex],$EC$11,0)*MATCH(bhpc_data[size1],$EC$13,0)),MATCH(ROW(bhpc_data[sku]),ROW(bhpc_data[sku])),""),ROWS($A$15:A72)+$B$3)))),IF($EC$11="",IF($EC$13="",INDEX(bhpc_data[description],SMALL(IF(ISNUMBER(MATCH(bhpc_data[category],$EC$9,0)),MATCH(ROW(bhpc_data[sku]),ROW(bhpc_data[sku])),""),ROWS($A$15:A72)+$B$3)),INDEX(bhpc_data[description],SMALL(IF(ISNUMBER(MATCH(bhpc_data[category],$EC$9,0)*MATCH(bhpc_data[size1],$EC$13,0)),MATCH(ROW(bhpc_data[sku]),ROW(bhpc_data[sku])),""),ROWS($A$15:A72)+$B$3))),IF($EC$13="",INDEX(bhpc_data[description],SMALL(IF(ISNUMBER(MATCH(bhpc_data[category],$EC$9,0)*MATCH(bhpc_data[sex],$EC$11,0)),MATCH(ROW(bhpc_data[sku]),ROW(bhpc_data[sku])),""),ROWS($A$15:A72)+$B$3)),INDEX(bhpc_data[description],SMALL(IF(ISNUMBER(MATCH(bhpc_data[category],$EC$9,0)*MATCH(bhpc_data[sex],$EC$11,0)*MATCH(bhpc_data[size1],$EC$13,0)),MATCH(ROW(bhpc_data[sku]),ROW(bhpc_data[sku])),""),ROWS($A$15:A72)+$B$3))))),"")</f>
        <v>BHPC WOMEN 2 EDP 100ML</v>
      </c>
      <c r="EG67" s="263">
        <f>IFERROR(IF(warehouse[[#This Row],[SKU]]="","",INDEX(inventory[ESISTENZA],MATCH(warehouse[[#This Row],[SKU]],inventory[ARTICOLO],0))),"")</f>
        <v>6478</v>
      </c>
      <c r="EH67" s="328"/>
      <c r="EI67" s="328"/>
      <c r="EJ67" s="263"/>
      <c r="EK67" s="329"/>
    </row>
    <row r="68" spans="59:141" ht="15" customHeight="1" x14ac:dyDescent="0.35">
      <c r="BG68" s="296"/>
      <c r="BK68" s="450"/>
      <c r="BL68" s="451"/>
      <c r="BM68" s="452"/>
      <c r="BN68" s="451"/>
      <c r="BO68" s="452"/>
      <c r="BZ68" s="168"/>
      <c r="CA68" s="154" t="str">
        <f>IF(BZ68="","",INDEX(bhpc_data[description],MATCH(BZ68,bhpc_data[sku],0)))</f>
        <v/>
      </c>
      <c r="CB68" s="159"/>
      <c r="CC68" s="357"/>
      <c r="CD68" s="169"/>
      <c r="CE68" s="361"/>
      <c r="CF68" s="170"/>
      <c r="CG68" s="164" t="str">
        <f>IFERROR(ROUNDUP(CB68/INDEX(bhpc_data[units_per_carton],MATCH(BZ68,bhpc_data[sku],0)),0),"")</f>
        <v/>
      </c>
      <c r="CH68" s="165" t="str">
        <f>IFERROR(ROUNDUP(CD68/INDEX(bhpc_data[units_per_carton],MATCH(BZ68,bhpc_data[sku],0)),0),"")</f>
        <v/>
      </c>
      <c r="CI68" s="165" t="str">
        <f>IFERROR(ROUNDUP(CF68/INDEX(bhpc_data[units_per_carton],MATCH(BZ68,bhpc_data[sku])),0),"")</f>
        <v/>
      </c>
      <c r="CJ68" s="165" t="str">
        <f>IFERROR(((CB68+CD68+CF68)/INDEX(bhpc_data[units_per_carton],MATCH(BZ68,bhpc_data[sku],0)))*INDEX(bhpc_data[net_weight],MATCH(BZ68,bhpc_data[sku],0)),"")</f>
        <v/>
      </c>
      <c r="CK68" s="165" t="str">
        <f>IFERROR(((CB68+CD68+CF68)/INDEX(bhpc_data[units_per_carton],MATCH(BZ68,bhpc_data[sku],0)))*INDEX(bhpc_data[gross_weight],MATCH(BZ68,bhpc_data[sku],0)),"")</f>
        <v/>
      </c>
      <c r="CL68" s="180" t="str">
        <f>IFERROR((CB68+CD68+CF68)/INDEX(bhpc_data[units_per_carton],MATCH(BZ68,bhpc_data[sku],0))*INDEX(bhpc_data[lenght],MATCH(BZ68,bhpc_data[sku],0))*INDEX(bhpc_data[width],MATCH(BZ68,bhpc_data[sku],0))*INDEX(bhpc_data[height],MATCH(BZ68,bhpc_data[sku],0))/1000000000,"")</f>
        <v/>
      </c>
      <c r="CM68" s="189" t="str">
        <f>IFERROR(INDEX(bhpc_data[category],MATCH(BZ68,bhpc_data[sku],0)),"")</f>
        <v/>
      </c>
      <c r="CN68" s="189" t="str">
        <f>IFERROR(INDEX(bhpc_data[size1],MATCH(BZ68,bhpc_data[sku],0)),"")</f>
        <v/>
      </c>
      <c r="CO68" s="388" t="str">
        <f>IFERROR(INDEX(bhpc_data[hs_code],MATCH(BZ68,bhpc_data[sku],0)),"")</f>
        <v/>
      </c>
      <c r="CP68" s="377" t="str">
        <f>IFERROR(INDEX(inventory[ESISTENZA],MATCH(BZ68,inventory[ARTICOLO],0)),"")</f>
        <v/>
      </c>
      <c r="CQ68" s="364" t="str">
        <f>IFERROR(IF(BZ68="","",IF($BX$15="SALE",INDEX(inventory[COSTO UNITARIO],MATCH(BZ68,inventory[ARTICOLO],0)),IF($BX$15="SAMPLING",INDEX(inventory[COSTO UNITARIO],MATCH(BZ68,inventory[ARTICOLO],0)),""))),"")</f>
        <v/>
      </c>
      <c r="CR68" s="365" t="str">
        <f t="shared" si="3"/>
        <v/>
      </c>
      <c r="CS68" s="264" t="str">
        <f t="shared" si="4"/>
        <v/>
      </c>
      <c r="DA68" s="432" t="str">
        <f>IFERROR(VLOOKUP(BZ68,bhpc_data[],22,FALSE),"")</f>
        <v/>
      </c>
      <c r="EE68" s="202" t="str" cm="1">
        <f t="array" ref="EE68">IFERROR(IF($EC$9="",IF($EC$11="",IF($EC$13="",INDEX(bhpc_data[sku],SMALL(MATCH(ROW(bhpc_data[sku]),ROW(bhpc_data[sku])),ROWS($A$15:A73)+$B$3)),INDEX(bhpc_data[sku],SMALL(IF(ISNUMBER(MATCH(bhpc_data[size1],$EC$13,0)),MATCH(ROW(bhpc_data[sku]),ROW(bhpc_data[sku])),""),ROWS($A$15:A73)+$B$3))),IF($EC$13="",INDEX(bhpc_data[sku],SMALL(IF(ISNUMBER(MATCH(bhpc_data[sex],$EC$11,0)),MATCH(ROW(bhpc_data[sku]),ROW(bhpc_data[sku])),""),ROWS($A$15:A73)+$B$3)),INDEX(bhpc_data[sku],SMALL(IF(ISNUMBER(MATCH(bhpc_data[sex],$EC$11,0)*MATCH(bhpc_data[size1],$EC$13,0)),MATCH(ROW(bhpc_data[sku]),ROW(bhpc_data[sku])),""),ROWS($A$15:A73)+$B$3)))),IF($EC$11="",IF($EC$13="",INDEX(bhpc_data[sku],SMALL(IF(ISNUMBER(MATCH(bhpc_data[category],$EC$9,0)),MATCH(ROW(bhpc_data[sku]),ROW(bhpc_data[sku])),""),ROWS($A$15:A73)+$B$3)),INDEX(bhpc_data[sku],SMALL(IF(ISNUMBER(MATCH(bhpc_data[category],$EC$9,0)*MATCH(bhpc_data[size1],$EC$13,0)),MATCH(ROW(bhpc_data[sku]),ROW(bhpc_data[sku])),""),ROWS($A$15:A73)+$B$3))),IF($EC$13="",INDEX(bhpc_data[sku],SMALL(IF(ISNUMBER(MATCH(bhpc_data[category],$EC$9,0)*MATCH(bhpc_data[sex],$EC$11,0)),MATCH(ROW(bhpc_data[sku]),ROW(bhpc_data[sku])),""),ROWS($A$15:A73)+$B$3)),INDEX(bhpc_data[sku],SMALL(IF(ISNUMBER(MATCH(bhpc_data[category],$EC$9,0)*MATCH(bhpc_data[sex],$EC$11,0)*MATCH(bhpc_data[size1],$EC$13,0)),MATCH(ROW(bhpc_data[sku]),ROW(bhpc_data[sku])),""),ROWS($A$15:A73)+$B$3))))),"")</f>
        <v>P06000</v>
      </c>
      <c r="EF68" s="198" t="str" cm="1">
        <f t="array" ref="EF68">IFERROR(IF($EC$9="",IF($EC$11="",IF($EC$13="",INDEX(bhpc_data[description],SMALL(MATCH(ROW(bhpc_data[sku]),ROW(bhpc_data[sku])),ROWS($A$15:A73)+$B$3)),INDEX(bhpc_data[description],SMALL(IF(ISNUMBER(MATCH(bhpc_data[size1],$EC$13,0)),MATCH(ROW(bhpc_data[sku]),ROW(bhpc_data[sku])),""),ROWS($A$15:A73)+$B$3))),IF($EC$13="",INDEX(bhpc_data[description],SMALL(IF(ISNUMBER(MATCH(bhpc_data[sex],$EC$11,0)),MATCH(ROW(bhpc_data[sku]),ROW(bhpc_data[sku])),""),ROWS($A$15:A73)+$B$3)),INDEX(bhpc_data[description],SMALL(IF(ISNUMBER(MATCH(bhpc_data[sex],$EC$11,0)*MATCH(bhpc_data[size1],$EC$13,0)),MATCH(ROW(bhpc_data[sku]),ROW(bhpc_data[sku])),""),ROWS($A$15:A73)+$B$3)))),IF($EC$11="",IF($EC$13="",INDEX(bhpc_data[description],SMALL(IF(ISNUMBER(MATCH(bhpc_data[category],$EC$9,0)),MATCH(ROW(bhpc_data[sku]),ROW(bhpc_data[sku])),""),ROWS($A$15:A73)+$B$3)),INDEX(bhpc_data[description],SMALL(IF(ISNUMBER(MATCH(bhpc_data[category],$EC$9,0)*MATCH(bhpc_data[size1],$EC$13,0)),MATCH(ROW(bhpc_data[sku]),ROW(bhpc_data[sku])),""),ROWS($A$15:A73)+$B$3))),IF($EC$13="",INDEX(bhpc_data[description],SMALL(IF(ISNUMBER(MATCH(bhpc_data[category],$EC$9,0)*MATCH(bhpc_data[sex],$EC$11,0)),MATCH(ROW(bhpc_data[sku]),ROW(bhpc_data[sku])),""),ROWS($A$15:A73)+$B$3)),INDEX(bhpc_data[description],SMALL(IF(ISNUMBER(MATCH(bhpc_data[category],$EC$9,0)*MATCH(bhpc_data[sex],$EC$11,0)*MATCH(bhpc_data[size1],$EC$13,0)),MATCH(ROW(bhpc_data[sku]),ROW(bhpc_data[sku])),""),ROWS($A$15:A73)+$B$3))))),"")</f>
        <v>BHPC PRESTIGE TROPHY 100ML EDP MEN</v>
      </c>
      <c r="EG68" s="263">
        <f>IFERROR(IF(warehouse[[#This Row],[SKU]]="","",INDEX(inventory[ESISTENZA],MATCH(warehouse[[#This Row],[SKU]],inventory[ARTICOLO],0))),"")</f>
        <v>5041</v>
      </c>
      <c r="EH68" s="328"/>
      <c r="EI68" s="328"/>
      <c r="EJ68" s="263"/>
      <c r="EK68" s="329"/>
    </row>
    <row r="69" spans="59:141" ht="15" customHeight="1" x14ac:dyDescent="0.35">
      <c r="BG69" s="296"/>
      <c r="BK69" s="450"/>
      <c r="BL69" s="451"/>
      <c r="BM69" s="452"/>
      <c r="BN69" s="451"/>
      <c r="BO69" s="452"/>
      <c r="BZ69" s="168"/>
      <c r="CA69" s="154" t="str">
        <f>IF(BZ69="","",INDEX(bhpc_data[description],MATCH(BZ69,bhpc_data[sku],0)))</f>
        <v/>
      </c>
      <c r="CB69" s="159"/>
      <c r="CC69" s="357"/>
      <c r="CD69" s="169"/>
      <c r="CE69" s="361"/>
      <c r="CF69" s="170"/>
      <c r="CG69" s="164" t="str">
        <f>IFERROR(ROUNDUP(CB69/INDEX(bhpc_data[units_per_carton],MATCH(BZ69,bhpc_data[sku],0)),0),"")</f>
        <v/>
      </c>
      <c r="CH69" s="165" t="str">
        <f>IFERROR(ROUNDUP(CD69/INDEX(bhpc_data[units_per_carton],MATCH(BZ69,bhpc_data[sku],0)),0),"")</f>
        <v/>
      </c>
      <c r="CI69" s="165" t="str">
        <f>IFERROR(ROUNDUP(CF69/INDEX(bhpc_data[units_per_carton],MATCH(BZ69,bhpc_data[sku])),0),"")</f>
        <v/>
      </c>
      <c r="CJ69" s="165" t="str">
        <f>IFERROR(((CB69+CD69+CF69)/INDEX(bhpc_data[units_per_carton],MATCH(BZ69,bhpc_data[sku],0)))*INDEX(bhpc_data[net_weight],MATCH(BZ69,bhpc_data[sku],0)),"")</f>
        <v/>
      </c>
      <c r="CK69" s="165" t="str">
        <f>IFERROR(((CB69+CD69+CF69)/INDEX(bhpc_data[units_per_carton],MATCH(BZ69,bhpc_data[sku],0)))*INDEX(bhpc_data[gross_weight],MATCH(BZ69,bhpc_data[sku],0)),"")</f>
        <v/>
      </c>
      <c r="CL69" s="180" t="str">
        <f>IFERROR((CB69+CD69+CF69)/INDEX(bhpc_data[units_per_carton],MATCH(BZ69,bhpc_data[sku],0))*INDEX(bhpc_data[lenght],MATCH(BZ69,bhpc_data[sku],0))*INDEX(bhpc_data[width],MATCH(BZ69,bhpc_data[sku],0))*INDEX(bhpc_data[height],MATCH(BZ69,bhpc_data[sku],0))/1000000000,"")</f>
        <v/>
      </c>
      <c r="CM69" s="189" t="str">
        <f>IFERROR(INDEX(bhpc_data[category],MATCH(BZ69,bhpc_data[sku],0)),"")</f>
        <v/>
      </c>
      <c r="CN69" s="189" t="str">
        <f>IFERROR(INDEX(bhpc_data[size1],MATCH(BZ69,bhpc_data[sku],0)),"")</f>
        <v/>
      </c>
      <c r="CO69" s="388" t="str">
        <f>IFERROR(INDEX(bhpc_data[hs_code],MATCH(BZ69,bhpc_data[sku],0)),"")</f>
        <v/>
      </c>
      <c r="CP69" s="377" t="str">
        <f>IFERROR(INDEX(inventory[ESISTENZA],MATCH(BZ69,inventory[ARTICOLO],0)),"")</f>
        <v/>
      </c>
      <c r="CQ69" s="364" t="str">
        <f>IFERROR(IF(BZ69="","",IF($BX$15="SALE",INDEX(inventory[COSTO UNITARIO],MATCH(BZ69,inventory[ARTICOLO],0)),IF($BX$15="SAMPLING",INDEX(inventory[COSTO UNITARIO],MATCH(BZ69,inventory[ARTICOLO],0)),""))),"")</f>
        <v/>
      </c>
      <c r="CR69" s="365" t="str">
        <f t="shared" si="3"/>
        <v/>
      </c>
      <c r="CS69" s="264" t="str">
        <f t="shared" si="4"/>
        <v/>
      </c>
      <c r="DA69" s="432" t="str">
        <f>IFERROR(VLOOKUP(BZ69,bhpc_data[],22,FALSE),"")</f>
        <v/>
      </c>
      <c r="EE69" s="202" t="str" cm="1">
        <f t="array" ref="EE69">IFERROR(IF($EC$9="",IF($EC$11="",IF($EC$13="",INDEX(bhpc_data[sku],SMALL(MATCH(ROW(bhpc_data[sku]),ROW(bhpc_data[sku])),ROWS($A$15:A74)+$B$3)),INDEX(bhpc_data[sku],SMALL(IF(ISNUMBER(MATCH(bhpc_data[size1],$EC$13,0)),MATCH(ROW(bhpc_data[sku]),ROW(bhpc_data[sku])),""),ROWS($A$15:A74)+$B$3))),IF($EC$13="",INDEX(bhpc_data[sku],SMALL(IF(ISNUMBER(MATCH(bhpc_data[sex],$EC$11,0)),MATCH(ROW(bhpc_data[sku]),ROW(bhpc_data[sku])),""),ROWS($A$15:A74)+$B$3)),INDEX(bhpc_data[sku],SMALL(IF(ISNUMBER(MATCH(bhpc_data[sex],$EC$11,0)*MATCH(bhpc_data[size1],$EC$13,0)),MATCH(ROW(bhpc_data[sku]),ROW(bhpc_data[sku])),""),ROWS($A$15:A74)+$B$3)))),IF($EC$11="",IF($EC$13="",INDEX(bhpc_data[sku],SMALL(IF(ISNUMBER(MATCH(bhpc_data[category],$EC$9,0)),MATCH(ROW(bhpc_data[sku]),ROW(bhpc_data[sku])),""),ROWS($A$15:A74)+$B$3)),INDEX(bhpc_data[sku],SMALL(IF(ISNUMBER(MATCH(bhpc_data[category],$EC$9,0)*MATCH(bhpc_data[size1],$EC$13,0)),MATCH(ROW(bhpc_data[sku]),ROW(bhpc_data[sku])),""),ROWS($A$15:A74)+$B$3))),IF($EC$13="",INDEX(bhpc_data[sku],SMALL(IF(ISNUMBER(MATCH(bhpc_data[category],$EC$9,0)*MATCH(bhpc_data[sex],$EC$11,0)),MATCH(ROW(bhpc_data[sku]),ROW(bhpc_data[sku])),""),ROWS($A$15:A74)+$B$3)),INDEX(bhpc_data[sku],SMALL(IF(ISNUMBER(MATCH(bhpc_data[category],$EC$9,0)*MATCH(bhpc_data[sex],$EC$11,0)*MATCH(bhpc_data[size1],$EC$13,0)),MATCH(ROW(bhpc_data[sku]),ROW(bhpc_data[sku])),""),ROWS($A$15:A74)+$B$3))))),"")</f>
        <v>P06001</v>
      </c>
      <c r="EF69" s="198" t="str" cm="1">
        <f t="array" ref="EF69">IFERROR(IF($EC$9="",IF($EC$11="",IF($EC$13="",INDEX(bhpc_data[description],SMALL(MATCH(ROW(bhpc_data[sku]),ROW(bhpc_data[sku])),ROWS($A$15:A74)+$B$3)),INDEX(bhpc_data[description],SMALL(IF(ISNUMBER(MATCH(bhpc_data[size1],$EC$13,0)),MATCH(ROW(bhpc_data[sku]),ROW(bhpc_data[sku])),""),ROWS($A$15:A74)+$B$3))),IF($EC$13="",INDEX(bhpc_data[description],SMALL(IF(ISNUMBER(MATCH(bhpc_data[sex],$EC$11,0)),MATCH(ROW(bhpc_data[sku]),ROW(bhpc_data[sku])),""),ROWS($A$15:A74)+$B$3)),INDEX(bhpc_data[description],SMALL(IF(ISNUMBER(MATCH(bhpc_data[sex],$EC$11,0)*MATCH(bhpc_data[size1],$EC$13,0)),MATCH(ROW(bhpc_data[sku]),ROW(bhpc_data[sku])),""),ROWS($A$15:A74)+$B$3)))),IF($EC$11="",IF($EC$13="",INDEX(bhpc_data[description],SMALL(IF(ISNUMBER(MATCH(bhpc_data[category],$EC$9,0)),MATCH(ROW(bhpc_data[sku]),ROW(bhpc_data[sku])),""),ROWS($A$15:A74)+$B$3)),INDEX(bhpc_data[description],SMALL(IF(ISNUMBER(MATCH(bhpc_data[category],$EC$9,0)*MATCH(bhpc_data[size1],$EC$13,0)),MATCH(ROW(bhpc_data[sku]),ROW(bhpc_data[sku])),""),ROWS($A$15:A74)+$B$3))),IF($EC$13="",INDEX(bhpc_data[description],SMALL(IF(ISNUMBER(MATCH(bhpc_data[category],$EC$9,0)*MATCH(bhpc_data[sex],$EC$11,0)),MATCH(ROW(bhpc_data[sku]),ROW(bhpc_data[sku])),""),ROWS($A$15:A74)+$B$3)),INDEX(bhpc_data[description],SMALL(IF(ISNUMBER(MATCH(bhpc_data[category],$EC$9,0)*MATCH(bhpc_data[sex],$EC$11,0)*MATCH(bhpc_data[size1],$EC$13,0)),MATCH(ROW(bhpc_data[sku]),ROW(bhpc_data[sku])),""),ROWS($A$15:A74)+$B$3))))),"")</f>
        <v>BHPC PRESTIGE HERITAGE OUD 100ML EDP MEN</v>
      </c>
      <c r="EG69" s="263">
        <f>IFERROR(IF(warehouse[[#This Row],[SKU]]="","",INDEX(inventory[ESISTENZA],MATCH(warehouse[[#This Row],[SKU]],inventory[ARTICOLO],0))),"")</f>
        <v>1535</v>
      </c>
      <c r="EH69" s="328"/>
      <c r="EI69" s="328"/>
      <c r="EJ69" s="263"/>
      <c r="EK69" s="329"/>
    </row>
    <row r="70" spans="59:141" ht="15" customHeight="1" x14ac:dyDescent="0.35">
      <c r="BG70" s="296"/>
      <c r="BK70" s="450"/>
      <c r="BL70" s="451"/>
      <c r="BM70" s="452"/>
      <c r="BN70" s="451"/>
      <c r="BO70" s="452"/>
      <c r="BZ70" s="168"/>
      <c r="CA70" s="154" t="str">
        <f>IF(BZ70="","",INDEX(bhpc_data[description],MATCH(BZ70,bhpc_data[sku],0)))</f>
        <v/>
      </c>
      <c r="CB70" s="159"/>
      <c r="CC70" s="357"/>
      <c r="CD70" s="169"/>
      <c r="CE70" s="361"/>
      <c r="CF70" s="170"/>
      <c r="CG70" s="164" t="str">
        <f>IFERROR(ROUNDUP(CB70/INDEX(bhpc_data[units_per_carton],MATCH(BZ70,bhpc_data[sku],0)),0),"")</f>
        <v/>
      </c>
      <c r="CH70" s="165" t="str">
        <f>IFERROR(ROUNDUP(CD70/INDEX(bhpc_data[units_per_carton],MATCH(BZ70,bhpc_data[sku],0)),0),"")</f>
        <v/>
      </c>
      <c r="CI70" s="165" t="str">
        <f>IFERROR(ROUNDUP(CF70/INDEX(bhpc_data[units_per_carton],MATCH(BZ70,bhpc_data[sku])),0),"")</f>
        <v/>
      </c>
      <c r="CJ70" s="165" t="str">
        <f>IFERROR(((CB70+CD70+CF70)/INDEX(bhpc_data[units_per_carton],MATCH(BZ70,bhpc_data[sku],0)))*INDEX(bhpc_data[net_weight],MATCH(BZ70,bhpc_data[sku],0)),"")</f>
        <v/>
      </c>
      <c r="CK70" s="165" t="str">
        <f>IFERROR(((CB70+CD70+CF70)/INDEX(bhpc_data[units_per_carton],MATCH(BZ70,bhpc_data[sku],0)))*INDEX(bhpc_data[gross_weight],MATCH(BZ70,bhpc_data[sku],0)),"")</f>
        <v/>
      </c>
      <c r="CL70" s="180" t="str">
        <f>IFERROR((CB70+CD70+CF70)/INDEX(bhpc_data[units_per_carton],MATCH(BZ70,bhpc_data[sku],0))*INDEX(bhpc_data[lenght],MATCH(BZ70,bhpc_data[sku],0))*INDEX(bhpc_data[width],MATCH(BZ70,bhpc_data[sku],0))*INDEX(bhpc_data[height],MATCH(BZ70,bhpc_data[sku],0))/1000000000,"")</f>
        <v/>
      </c>
      <c r="CM70" s="189" t="str">
        <f>IFERROR(INDEX(bhpc_data[category],MATCH(BZ70,bhpc_data[sku],0)),"")</f>
        <v/>
      </c>
      <c r="CN70" s="189" t="str">
        <f>IFERROR(INDEX(bhpc_data[size1],MATCH(BZ70,bhpc_data[sku],0)),"")</f>
        <v/>
      </c>
      <c r="CO70" s="388" t="str">
        <f>IFERROR(INDEX(bhpc_data[hs_code],MATCH(BZ70,bhpc_data[sku],0)),"")</f>
        <v/>
      </c>
      <c r="CP70" s="377" t="str">
        <f>IFERROR(INDEX(inventory[ESISTENZA],MATCH(BZ70,inventory[ARTICOLO],0)),"")</f>
        <v/>
      </c>
      <c r="CQ70" s="364" t="str">
        <f>IFERROR(IF(BZ70="","",IF($BX$15="SALE",INDEX(inventory[COSTO UNITARIO],MATCH(BZ70,inventory[ARTICOLO],0)),IF($BX$15="SAMPLING",INDEX(inventory[COSTO UNITARIO],MATCH(BZ70,inventory[ARTICOLO],0)),""))),"")</f>
        <v/>
      </c>
      <c r="CR70" s="365" t="str">
        <f t="shared" si="3"/>
        <v/>
      </c>
      <c r="CS70" s="264" t="str">
        <f t="shared" si="4"/>
        <v/>
      </c>
      <c r="DA70" s="432" t="str">
        <f>IFERROR(VLOOKUP(BZ70,bhpc_data[],22,FALSE),"")</f>
        <v/>
      </c>
      <c r="EE70" s="202" t="str" cm="1">
        <f t="array" ref="EE70">IFERROR(IF($EC$9="",IF($EC$11="",IF($EC$13="",INDEX(bhpc_data[sku],SMALL(MATCH(ROW(bhpc_data[sku]),ROW(bhpc_data[sku])),ROWS($A$15:A75)+$B$3)),INDEX(bhpc_data[sku],SMALL(IF(ISNUMBER(MATCH(bhpc_data[size1],$EC$13,0)),MATCH(ROW(bhpc_data[sku]),ROW(bhpc_data[sku])),""),ROWS($A$15:A75)+$B$3))),IF($EC$13="",INDEX(bhpc_data[sku],SMALL(IF(ISNUMBER(MATCH(bhpc_data[sex],$EC$11,0)),MATCH(ROW(bhpc_data[sku]),ROW(bhpc_data[sku])),""),ROWS($A$15:A75)+$B$3)),INDEX(bhpc_data[sku],SMALL(IF(ISNUMBER(MATCH(bhpc_data[sex],$EC$11,0)*MATCH(bhpc_data[size1],$EC$13,0)),MATCH(ROW(bhpc_data[sku]),ROW(bhpc_data[sku])),""),ROWS($A$15:A75)+$B$3)))),IF($EC$11="",IF($EC$13="",INDEX(bhpc_data[sku],SMALL(IF(ISNUMBER(MATCH(bhpc_data[category],$EC$9,0)),MATCH(ROW(bhpc_data[sku]),ROW(bhpc_data[sku])),""),ROWS($A$15:A75)+$B$3)),INDEX(bhpc_data[sku],SMALL(IF(ISNUMBER(MATCH(bhpc_data[category],$EC$9,0)*MATCH(bhpc_data[size1],$EC$13,0)),MATCH(ROW(bhpc_data[sku]),ROW(bhpc_data[sku])),""),ROWS($A$15:A75)+$B$3))),IF($EC$13="",INDEX(bhpc_data[sku],SMALL(IF(ISNUMBER(MATCH(bhpc_data[category],$EC$9,0)*MATCH(bhpc_data[sex],$EC$11,0)),MATCH(ROW(bhpc_data[sku]),ROW(bhpc_data[sku])),""),ROWS($A$15:A75)+$B$3)),INDEX(bhpc_data[sku],SMALL(IF(ISNUMBER(MATCH(bhpc_data[category],$EC$9,0)*MATCH(bhpc_data[sex],$EC$11,0)*MATCH(bhpc_data[size1],$EC$13,0)),MATCH(ROW(bhpc_data[sku]),ROW(bhpc_data[sku])),""),ROWS($A$15:A75)+$B$3))))),"")</f>
        <v>P06002</v>
      </c>
      <c r="EF70" s="198" t="str" cm="1">
        <f t="array" ref="EF70">IFERROR(IF($EC$9="",IF($EC$11="",IF($EC$13="",INDEX(bhpc_data[description],SMALL(MATCH(ROW(bhpc_data[sku]),ROW(bhpc_data[sku])),ROWS($A$15:A75)+$B$3)),INDEX(bhpc_data[description],SMALL(IF(ISNUMBER(MATCH(bhpc_data[size1],$EC$13,0)),MATCH(ROW(bhpc_data[sku]),ROW(bhpc_data[sku])),""),ROWS($A$15:A75)+$B$3))),IF($EC$13="",INDEX(bhpc_data[description],SMALL(IF(ISNUMBER(MATCH(bhpc_data[sex],$EC$11,0)),MATCH(ROW(bhpc_data[sku]),ROW(bhpc_data[sku])),""),ROWS($A$15:A75)+$B$3)),INDEX(bhpc_data[description],SMALL(IF(ISNUMBER(MATCH(bhpc_data[sex],$EC$11,0)*MATCH(bhpc_data[size1],$EC$13,0)),MATCH(ROW(bhpc_data[sku]),ROW(bhpc_data[sku])),""),ROWS($A$15:A75)+$B$3)))),IF($EC$11="",IF($EC$13="",INDEX(bhpc_data[description],SMALL(IF(ISNUMBER(MATCH(bhpc_data[category],$EC$9,0)),MATCH(ROW(bhpc_data[sku]),ROW(bhpc_data[sku])),""),ROWS($A$15:A75)+$B$3)),INDEX(bhpc_data[description],SMALL(IF(ISNUMBER(MATCH(bhpc_data[category],$EC$9,0)*MATCH(bhpc_data[size1],$EC$13,0)),MATCH(ROW(bhpc_data[sku]),ROW(bhpc_data[sku])),""),ROWS($A$15:A75)+$B$3))),IF($EC$13="",INDEX(bhpc_data[description],SMALL(IF(ISNUMBER(MATCH(bhpc_data[category],$EC$9,0)*MATCH(bhpc_data[sex],$EC$11,0)),MATCH(ROW(bhpc_data[sku]),ROW(bhpc_data[sku])),""),ROWS($A$15:A75)+$B$3)),INDEX(bhpc_data[description],SMALL(IF(ISNUMBER(MATCH(bhpc_data[category],$EC$9,0)*MATCH(bhpc_data[sex],$EC$11,0)*MATCH(bhpc_data[size1],$EC$13,0)),MATCH(ROW(bhpc_data[sku]),ROW(bhpc_data[sku])),""),ROWS($A$15:A75)+$B$3))))),"")</f>
        <v>BHPC PRESTIGE TOUR INTENSE 100ML EDP MEN</v>
      </c>
      <c r="EG70" s="263">
        <f>IFERROR(IF(warehouse[[#This Row],[SKU]]="","",INDEX(inventory[ESISTENZA],MATCH(warehouse[[#This Row],[SKU]],inventory[ARTICOLO],0))),"")</f>
        <v>1665</v>
      </c>
      <c r="EH70" s="328"/>
      <c r="EI70" s="328"/>
      <c r="EJ70" s="263"/>
      <c r="EK70" s="329"/>
    </row>
    <row r="71" spans="59:141" ht="15" customHeight="1" x14ac:dyDescent="0.35">
      <c r="BG71" s="296"/>
      <c r="BK71" s="450"/>
      <c r="BL71" s="451"/>
      <c r="BM71" s="452"/>
      <c r="BN71" s="451"/>
      <c r="BO71" s="452"/>
      <c r="BZ71" s="168"/>
      <c r="CA71" s="154" t="str">
        <f>IF(BZ71="","",INDEX(bhpc_data[description],MATCH(BZ71,bhpc_data[sku],0)))</f>
        <v/>
      </c>
      <c r="CB71" s="159"/>
      <c r="CC71" s="357"/>
      <c r="CD71" s="169"/>
      <c r="CE71" s="361"/>
      <c r="CF71" s="170"/>
      <c r="CG71" s="164" t="str">
        <f>IFERROR(ROUNDUP(CB71/INDEX(bhpc_data[units_per_carton],MATCH(BZ71,bhpc_data[sku],0)),0),"")</f>
        <v/>
      </c>
      <c r="CH71" s="165" t="str">
        <f>IFERROR(ROUNDUP(CD71/INDEX(bhpc_data[units_per_carton],MATCH(BZ71,bhpc_data[sku],0)),0),"")</f>
        <v/>
      </c>
      <c r="CI71" s="165" t="str">
        <f>IFERROR(ROUNDUP(CF71/INDEX(bhpc_data[units_per_carton],MATCH(BZ71,bhpc_data[sku])),0),"")</f>
        <v/>
      </c>
      <c r="CJ71" s="165" t="str">
        <f>IFERROR(((CB71+CD71+CF71)/INDEX(bhpc_data[units_per_carton],MATCH(BZ71,bhpc_data[sku],0)))*INDEX(bhpc_data[net_weight],MATCH(BZ71,bhpc_data[sku],0)),"")</f>
        <v/>
      </c>
      <c r="CK71" s="165" t="str">
        <f>IFERROR(((CB71+CD71+CF71)/INDEX(bhpc_data[units_per_carton],MATCH(BZ71,bhpc_data[sku],0)))*INDEX(bhpc_data[gross_weight],MATCH(BZ71,bhpc_data[sku],0)),"")</f>
        <v/>
      </c>
      <c r="CL71" s="180" t="str">
        <f>IFERROR((CB71+CD71+CF71)/INDEX(bhpc_data[units_per_carton],MATCH(BZ71,bhpc_data[sku],0))*INDEX(bhpc_data[lenght],MATCH(BZ71,bhpc_data[sku],0))*INDEX(bhpc_data[width],MATCH(BZ71,bhpc_data[sku],0))*INDEX(bhpc_data[height],MATCH(BZ71,bhpc_data[sku],0))/1000000000,"")</f>
        <v/>
      </c>
      <c r="CM71" s="189" t="str">
        <f>IFERROR(INDEX(bhpc_data[category],MATCH(BZ71,bhpc_data[sku],0)),"")</f>
        <v/>
      </c>
      <c r="CN71" s="189" t="str">
        <f>IFERROR(INDEX(bhpc_data[size1],MATCH(BZ71,bhpc_data[sku],0)),"")</f>
        <v/>
      </c>
      <c r="CO71" s="388" t="str">
        <f>IFERROR(INDEX(bhpc_data[hs_code],MATCH(BZ71,bhpc_data[sku],0)),"")</f>
        <v/>
      </c>
      <c r="CP71" s="377" t="str">
        <f>IFERROR(INDEX(inventory[ESISTENZA],MATCH(BZ71,inventory[ARTICOLO],0)),"")</f>
        <v/>
      </c>
      <c r="CQ71" s="364" t="str">
        <f>IFERROR(IF(BZ71="","",IF($BX$15="SALE",INDEX(inventory[COSTO UNITARIO],MATCH(BZ71,inventory[ARTICOLO],0)),IF($BX$15="SAMPLING",INDEX(inventory[COSTO UNITARIO],MATCH(BZ71,inventory[ARTICOLO],0)),""))),"")</f>
        <v/>
      </c>
      <c r="CR71" s="365" t="str">
        <f t="shared" si="3"/>
        <v/>
      </c>
      <c r="CS71" s="264" t="str">
        <f t="shared" si="4"/>
        <v/>
      </c>
      <c r="DA71" s="432" t="str">
        <f>IFERROR(VLOOKUP(BZ71,bhpc_data[],22,FALSE),"")</f>
        <v/>
      </c>
      <c r="EE71" s="202" t="str" cm="1">
        <f t="array" ref="EE71">IFERROR(IF($EC$9="",IF($EC$11="",IF($EC$13="",INDEX(bhpc_data[sku],SMALL(MATCH(ROW(bhpc_data[sku]),ROW(bhpc_data[sku])),ROWS($A$15:A76)+$B$3)),INDEX(bhpc_data[sku],SMALL(IF(ISNUMBER(MATCH(bhpc_data[size1],$EC$13,0)),MATCH(ROW(bhpc_data[sku]),ROW(bhpc_data[sku])),""),ROWS($A$15:A76)+$B$3))),IF($EC$13="",INDEX(bhpc_data[sku],SMALL(IF(ISNUMBER(MATCH(bhpc_data[sex],$EC$11,0)),MATCH(ROW(bhpc_data[sku]),ROW(bhpc_data[sku])),""),ROWS($A$15:A76)+$B$3)),INDEX(bhpc_data[sku],SMALL(IF(ISNUMBER(MATCH(bhpc_data[sex],$EC$11,0)*MATCH(bhpc_data[size1],$EC$13,0)),MATCH(ROW(bhpc_data[sku]),ROW(bhpc_data[sku])),""),ROWS($A$15:A76)+$B$3)))),IF($EC$11="",IF($EC$13="",INDEX(bhpc_data[sku],SMALL(IF(ISNUMBER(MATCH(bhpc_data[category],$EC$9,0)),MATCH(ROW(bhpc_data[sku]),ROW(bhpc_data[sku])),""),ROWS($A$15:A76)+$B$3)),INDEX(bhpc_data[sku],SMALL(IF(ISNUMBER(MATCH(bhpc_data[category],$EC$9,0)*MATCH(bhpc_data[size1],$EC$13,0)),MATCH(ROW(bhpc_data[sku]),ROW(bhpc_data[sku])),""),ROWS($A$15:A76)+$B$3))),IF($EC$13="",INDEX(bhpc_data[sku],SMALL(IF(ISNUMBER(MATCH(bhpc_data[category],$EC$9,0)*MATCH(bhpc_data[sex],$EC$11,0)),MATCH(ROW(bhpc_data[sku]),ROW(bhpc_data[sku])),""),ROWS($A$15:A76)+$B$3)),INDEX(bhpc_data[sku],SMALL(IF(ISNUMBER(MATCH(bhpc_data[category],$EC$9,0)*MATCH(bhpc_data[sex],$EC$11,0)*MATCH(bhpc_data[size1],$EC$13,0)),MATCH(ROW(bhpc_data[sku]),ROW(bhpc_data[sku])),""),ROWS($A$15:A76)+$B$3))))),"")</f>
        <v>P06003</v>
      </c>
      <c r="EF71" s="198" t="str" cm="1">
        <f t="array" ref="EF71">IFERROR(IF($EC$9="",IF($EC$11="",IF($EC$13="",INDEX(bhpc_data[description],SMALL(MATCH(ROW(bhpc_data[sku]),ROW(bhpc_data[sku])),ROWS($A$15:A76)+$B$3)),INDEX(bhpc_data[description],SMALL(IF(ISNUMBER(MATCH(bhpc_data[size1],$EC$13,0)),MATCH(ROW(bhpc_data[sku]),ROW(bhpc_data[sku])),""),ROWS($A$15:A76)+$B$3))),IF($EC$13="",INDEX(bhpc_data[description],SMALL(IF(ISNUMBER(MATCH(bhpc_data[sex],$EC$11,0)),MATCH(ROW(bhpc_data[sku]),ROW(bhpc_data[sku])),""),ROWS($A$15:A76)+$B$3)),INDEX(bhpc_data[description],SMALL(IF(ISNUMBER(MATCH(bhpc_data[sex],$EC$11,0)*MATCH(bhpc_data[size1],$EC$13,0)),MATCH(ROW(bhpc_data[sku]),ROW(bhpc_data[sku])),""),ROWS($A$15:A76)+$B$3)))),IF($EC$11="",IF($EC$13="",INDEX(bhpc_data[description],SMALL(IF(ISNUMBER(MATCH(bhpc_data[category],$EC$9,0)),MATCH(ROW(bhpc_data[sku]),ROW(bhpc_data[sku])),""),ROWS($A$15:A76)+$B$3)),INDEX(bhpc_data[description],SMALL(IF(ISNUMBER(MATCH(bhpc_data[category],$EC$9,0)*MATCH(bhpc_data[size1],$EC$13,0)),MATCH(ROW(bhpc_data[sku]),ROW(bhpc_data[sku])),""),ROWS($A$15:A76)+$B$3))),IF($EC$13="",INDEX(bhpc_data[description],SMALL(IF(ISNUMBER(MATCH(bhpc_data[category],$EC$9,0)*MATCH(bhpc_data[sex],$EC$11,0)),MATCH(ROW(bhpc_data[sku]),ROW(bhpc_data[sku])),""),ROWS($A$15:A76)+$B$3)),INDEX(bhpc_data[description],SMALL(IF(ISNUMBER(MATCH(bhpc_data[category],$EC$9,0)*MATCH(bhpc_data[sex],$EC$11,0)*MATCH(bhpc_data[size1],$EC$13,0)),MATCH(ROW(bhpc_data[sku]),ROW(bhpc_data[sku])),""),ROWS($A$15:A76)+$B$3))))),"")</f>
        <v>BHPC PRESTIGE TITAN 100ML EDP MEN</v>
      </c>
      <c r="EG71" s="263">
        <f>IFERROR(IF(warehouse[[#This Row],[SKU]]="","",INDEX(inventory[ESISTENZA],MATCH(warehouse[[#This Row],[SKU]],inventory[ARTICOLO],0))),"")</f>
        <v>5724</v>
      </c>
      <c r="EH71" s="328"/>
      <c r="EI71" s="328"/>
      <c r="EJ71" s="263"/>
      <c r="EK71" s="329"/>
    </row>
    <row r="72" spans="59:141" ht="15" customHeight="1" x14ac:dyDescent="0.35">
      <c r="BG72" s="296"/>
      <c r="BK72" s="450"/>
      <c r="BL72" s="451"/>
      <c r="BM72" s="452"/>
      <c r="BN72" s="451"/>
      <c r="BO72" s="452"/>
      <c r="BZ72" s="168"/>
      <c r="CA72" s="154" t="str">
        <f>IF(BZ72="","",INDEX(bhpc_data[description],MATCH(BZ72,bhpc_data[sku],0)))</f>
        <v/>
      </c>
      <c r="CB72" s="159"/>
      <c r="CC72" s="357"/>
      <c r="CD72" s="169"/>
      <c r="CE72" s="361"/>
      <c r="CF72" s="170"/>
      <c r="CG72" s="164" t="str">
        <f>IFERROR(ROUNDUP(CB72/INDEX(bhpc_data[units_per_carton],MATCH(BZ72,bhpc_data[sku],0)),0),"")</f>
        <v/>
      </c>
      <c r="CH72" s="165" t="str">
        <f>IFERROR(ROUNDUP(CD72/INDEX(bhpc_data[units_per_carton],MATCH(BZ72,bhpc_data[sku],0)),0),"")</f>
        <v/>
      </c>
      <c r="CI72" s="165" t="str">
        <f>IFERROR(ROUNDUP(CF72/INDEX(bhpc_data[units_per_carton],MATCH(BZ72,bhpc_data[sku])),0),"")</f>
        <v/>
      </c>
      <c r="CJ72" s="165" t="str">
        <f>IFERROR(((CB72+CD72+CF72)/INDEX(bhpc_data[units_per_carton],MATCH(BZ72,bhpc_data[sku],0)))*INDEX(bhpc_data[net_weight],MATCH(BZ72,bhpc_data[sku],0)),"")</f>
        <v/>
      </c>
      <c r="CK72" s="165" t="str">
        <f>IFERROR(((CB72+CD72+CF72)/INDEX(bhpc_data[units_per_carton],MATCH(BZ72,bhpc_data[sku],0)))*INDEX(bhpc_data[gross_weight],MATCH(BZ72,bhpc_data[sku],0)),"")</f>
        <v/>
      </c>
      <c r="CL72" s="180" t="str">
        <f>IFERROR((CB72+CD72+CF72)/INDEX(bhpc_data[units_per_carton],MATCH(BZ72,bhpc_data[sku],0))*INDEX(bhpc_data[lenght],MATCH(BZ72,bhpc_data[sku],0))*INDEX(bhpc_data[width],MATCH(BZ72,bhpc_data[sku],0))*INDEX(bhpc_data[height],MATCH(BZ72,bhpc_data[sku],0))/1000000000,"")</f>
        <v/>
      </c>
      <c r="CM72" s="189" t="str">
        <f>IFERROR(INDEX(bhpc_data[category],MATCH(BZ72,bhpc_data[sku],0)),"")</f>
        <v/>
      </c>
      <c r="CN72" s="189" t="str">
        <f>IFERROR(INDEX(bhpc_data[size1],MATCH(BZ72,bhpc_data[sku],0)),"")</f>
        <v/>
      </c>
      <c r="CO72" s="388" t="str">
        <f>IFERROR(INDEX(bhpc_data[hs_code],MATCH(BZ72,bhpc_data[sku],0)),"")</f>
        <v/>
      </c>
      <c r="CP72" s="377" t="str">
        <f>IFERROR(INDEX(inventory[ESISTENZA],MATCH(BZ72,inventory[ARTICOLO],0)),"")</f>
        <v/>
      </c>
      <c r="CQ72" s="364" t="str">
        <f>IFERROR(IF(BZ72="","",IF($BX$15="SALE",INDEX(inventory[COSTO UNITARIO],MATCH(BZ72,inventory[ARTICOLO],0)),IF($BX$15="SAMPLING",INDEX(inventory[COSTO UNITARIO],MATCH(BZ72,inventory[ARTICOLO],0)),""))),"")</f>
        <v/>
      </c>
      <c r="CR72" s="365" t="str">
        <f t="shared" si="3"/>
        <v/>
      </c>
      <c r="CS72" s="264" t="str">
        <f t="shared" si="4"/>
        <v/>
      </c>
      <c r="DA72" s="432" t="str">
        <f>IFERROR(VLOOKUP(BZ72,bhpc_data[],22,FALSE),"")</f>
        <v/>
      </c>
      <c r="EE72" s="202" t="str" cm="1">
        <f t="array" ref="EE72">IFERROR(IF($EC$9="",IF($EC$11="",IF($EC$13="",INDEX(bhpc_data[sku],SMALL(MATCH(ROW(bhpc_data[sku]),ROW(bhpc_data[sku])),ROWS($A$15:A77)+$B$3)),INDEX(bhpc_data[sku],SMALL(IF(ISNUMBER(MATCH(bhpc_data[size1],$EC$13,0)),MATCH(ROW(bhpc_data[sku]),ROW(bhpc_data[sku])),""),ROWS($A$15:A77)+$B$3))),IF($EC$13="",INDEX(bhpc_data[sku],SMALL(IF(ISNUMBER(MATCH(bhpc_data[sex],$EC$11,0)),MATCH(ROW(bhpc_data[sku]),ROW(bhpc_data[sku])),""),ROWS($A$15:A77)+$B$3)),INDEX(bhpc_data[sku],SMALL(IF(ISNUMBER(MATCH(bhpc_data[sex],$EC$11,0)*MATCH(bhpc_data[size1],$EC$13,0)),MATCH(ROW(bhpc_data[sku]),ROW(bhpc_data[sku])),""),ROWS($A$15:A77)+$B$3)))),IF($EC$11="",IF($EC$13="",INDEX(bhpc_data[sku],SMALL(IF(ISNUMBER(MATCH(bhpc_data[category],$EC$9,0)),MATCH(ROW(bhpc_data[sku]),ROW(bhpc_data[sku])),""),ROWS($A$15:A77)+$B$3)),INDEX(bhpc_data[sku],SMALL(IF(ISNUMBER(MATCH(bhpc_data[category],$EC$9,0)*MATCH(bhpc_data[size1],$EC$13,0)),MATCH(ROW(bhpc_data[sku]),ROW(bhpc_data[sku])),""),ROWS($A$15:A77)+$B$3))),IF($EC$13="",INDEX(bhpc_data[sku],SMALL(IF(ISNUMBER(MATCH(bhpc_data[category],$EC$9,0)*MATCH(bhpc_data[sex],$EC$11,0)),MATCH(ROW(bhpc_data[sku]),ROW(bhpc_data[sku])),""),ROWS($A$15:A77)+$B$3)),INDEX(bhpc_data[sku],SMALL(IF(ISNUMBER(MATCH(bhpc_data[category],$EC$9,0)*MATCH(bhpc_data[sex],$EC$11,0)*MATCH(bhpc_data[size1],$EC$13,0)),MATCH(ROW(bhpc_data[sku]),ROW(bhpc_data[sku])),""),ROWS($A$15:A77)+$B$3))))),"")</f>
        <v>P06004</v>
      </c>
      <c r="EF72" s="198" t="str" cm="1">
        <f t="array" ref="EF72">IFERROR(IF($EC$9="",IF($EC$11="",IF($EC$13="",INDEX(bhpc_data[description],SMALL(MATCH(ROW(bhpc_data[sku]),ROW(bhpc_data[sku])),ROWS($A$15:A77)+$B$3)),INDEX(bhpc_data[description],SMALL(IF(ISNUMBER(MATCH(bhpc_data[size1],$EC$13,0)),MATCH(ROW(bhpc_data[sku]),ROW(bhpc_data[sku])),""),ROWS($A$15:A77)+$B$3))),IF($EC$13="",INDEX(bhpc_data[description],SMALL(IF(ISNUMBER(MATCH(bhpc_data[sex],$EC$11,0)),MATCH(ROW(bhpc_data[sku]),ROW(bhpc_data[sku])),""),ROWS($A$15:A77)+$B$3)),INDEX(bhpc_data[description],SMALL(IF(ISNUMBER(MATCH(bhpc_data[sex],$EC$11,0)*MATCH(bhpc_data[size1],$EC$13,0)),MATCH(ROW(bhpc_data[sku]),ROW(bhpc_data[sku])),""),ROWS($A$15:A77)+$B$3)))),IF($EC$11="",IF($EC$13="",INDEX(bhpc_data[description],SMALL(IF(ISNUMBER(MATCH(bhpc_data[category],$EC$9,0)),MATCH(ROW(bhpc_data[sku]),ROW(bhpc_data[sku])),""),ROWS($A$15:A77)+$B$3)),INDEX(bhpc_data[description],SMALL(IF(ISNUMBER(MATCH(bhpc_data[category],$EC$9,0)*MATCH(bhpc_data[size1],$EC$13,0)),MATCH(ROW(bhpc_data[sku]),ROW(bhpc_data[sku])),""),ROWS($A$15:A77)+$B$3))),IF($EC$13="",INDEX(bhpc_data[description],SMALL(IF(ISNUMBER(MATCH(bhpc_data[category],$EC$9,0)*MATCH(bhpc_data[sex],$EC$11,0)),MATCH(ROW(bhpc_data[sku]),ROW(bhpc_data[sku])),""),ROWS($A$15:A77)+$B$3)),INDEX(bhpc_data[description],SMALL(IF(ISNUMBER(MATCH(bhpc_data[category],$EC$9,0)*MATCH(bhpc_data[sex],$EC$11,0)*MATCH(bhpc_data[size1],$EC$13,0)),MATCH(ROW(bhpc_data[sku]),ROW(bhpc_data[sku])),""),ROWS($A$15:A77)+$B$3))))),"")</f>
        <v>BHPC PRESTIGE ELEGANCE 100ML EDP WOMEN</v>
      </c>
      <c r="EG72" s="263">
        <f>IFERROR(IF(warehouse[[#This Row],[SKU]]="","",INDEX(inventory[ESISTENZA],MATCH(warehouse[[#This Row],[SKU]],inventory[ARTICOLO],0))),"")</f>
        <v>865</v>
      </c>
      <c r="EH72" s="328"/>
      <c r="EI72" s="328"/>
      <c r="EJ72" s="263"/>
      <c r="EK72" s="329"/>
    </row>
    <row r="73" spans="59:141" ht="15" customHeight="1" x14ac:dyDescent="0.35">
      <c r="BG73" s="296"/>
      <c r="BK73" s="450"/>
      <c r="BL73" s="451"/>
      <c r="BM73" s="452"/>
      <c r="BN73" s="451"/>
      <c r="BO73" s="452"/>
      <c r="BZ73" s="168"/>
      <c r="CA73" s="154" t="str">
        <f>IF(BZ73="","",INDEX(bhpc_data[description],MATCH(BZ73,bhpc_data[sku],0)))</f>
        <v/>
      </c>
      <c r="CB73" s="159"/>
      <c r="CC73" s="357"/>
      <c r="CD73" s="169"/>
      <c r="CE73" s="361"/>
      <c r="CF73" s="170"/>
      <c r="CG73" s="164" t="str">
        <f>IFERROR(ROUNDUP(CB73/INDEX(bhpc_data[units_per_carton],MATCH(BZ73,bhpc_data[sku],0)),0),"")</f>
        <v/>
      </c>
      <c r="CH73" s="165" t="str">
        <f>IFERROR(ROUNDUP(CD73/INDEX(bhpc_data[units_per_carton],MATCH(BZ73,bhpc_data[sku],0)),0),"")</f>
        <v/>
      </c>
      <c r="CI73" s="165" t="str">
        <f>IFERROR(ROUNDUP(CF73/INDEX(bhpc_data[units_per_carton],MATCH(BZ73,bhpc_data[sku])),0),"")</f>
        <v/>
      </c>
      <c r="CJ73" s="165" t="str">
        <f>IFERROR(((CB73+CD73+CF73)/INDEX(bhpc_data[units_per_carton],MATCH(BZ73,bhpc_data[sku],0)))*INDEX(bhpc_data[net_weight],MATCH(BZ73,bhpc_data[sku],0)),"")</f>
        <v/>
      </c>
      <c r="CK73" s="165" t="str">
        <f>IFERROR(((CB73+CD73+CF73)/INDEX(bhpc_data[units_per_carton],MATCH(BZ73,bhpc_data[sku],0)))*INDEX(bhpc_data[gross_weight],MATCH(BZ73,bhpc_data[sku],0)),"")</f>
        <v/>
      </c>
      <c r="CL73" s="180" t="str">
        <f>IFERROR((CB73+CD73+CF73)/INDEX(bhpc_data[units_per_carton],MATCH(BZ73,bhpc_data[sku],0))*INDEX(bhpc_data[lenght],MATCH(BZ73,bhpc_data[sku],0))*INDEX(bhpc_data[width],MATCH(BZ73,bhpc_data[sku],0))*INDEX(bhpc_data[height],MATCH(BZ73,bhpc_data[sku],0))/1000000000,"")</f>
        <v/>
      </c>
      <c r="CM73" s="189" t="str">
        <f>IFERROR(INDEX(bhpc_data[category],MATCH(BZ73,bhpc_data[sku],0)),"")</f>
        <v/>
      </c>
      <c r="CN73" s="189" t="str">
        <f>IFERROR(INDEX(bhpc_data[size1],MATCH(BZ73,bhpc_data[sku],0)),"")</f>
        <v/>
      </c>
      <c r="CO73" s="388" t="str">
        <f>IFERROR(INDEX(bhpc_data[hs_code],MATCH(BZ73,bhpc_data[sku],0)),"")</f>
        <v/>
      </c>
      <c r="CP73" s="377" t="str">
        <f>IFERROR(INDEX(inventory[ESISTENZA],MATCH(BZ73,inventory[ARTICOLO],0)),"")</f>
        <v/>
      </c>
      <c r="CQ73" s="364" t="str">
        <f>IFERROR(IF(BZ73="","",IF($BX$15="SALE",INDEX(inventory[COSTO UNITARIO],MATCH(BZ73,inventory[ARTICOLO],0)),IF($BX$15="SAMPLING",INDEX(inventory[COSTO UNITARIO],MATCH(BZ73,inventory[ARTICOLO],0)),""))),"")</f>
        <v/>
      </c>
      <c r="CR73" s="365" t="str">
        <f t="shared" si="3"/>
        <v/>
      </c>
      <c r="CS73" s="264" t="str">
        <f t="shared" si="4"/>
        <v/>
      </c>
      <c r="DA73" s="432" t="str">
        <f>IFERROR(VLOOKUP(BZ73,bhpc_data[],22,FALSE),"")</f>
        <v/>
      </c>
      <c r="EE73" s="202" t="str" cm="1">
        <f t="array" ref="EE73">IFERROR(IF($EC$9="",IF($EC$11="",IF($EC$13="",INDEX(bhpc_data[sku],SMALL(MATCH(ROW(bhpc_data[sku]),ROW(bhpc_data[sku])),ROWS($A$15:A78)+$B$3)),INDEX(bhpc_data[sku],SMALL(IF(ISNUMBER(MATCH(bhpc_data[size1],$EC$13,0)),MATCH(ROW(bhpc_data[sku]),ROW(bhpc_data[sku])),""),ROWS($A$15:A78)+$B$3))),IF($EC$13="",INDEX(bhpc_data[sku],SMALL(IF(ISNUMBER(MATCH(bhpc_data[sex],$EC$11,0)),MATCH(ROW(bhpc_data[sku]),ROW(bhpc_data[sku])),""),ROWS($A$15:A78)+$B$3)),INDEX(bhpc_data[sku],SMALL(IF(ISNUMBER(MATCH(bhpc_data[sex],$EC$11,0)*MATCH(bhpc_data[size1],$EC$13,0)),MATCH(ROW(bhpc_data[sku]),ROW(bhpc_data[sku])),""),ROWS($A$15:A78)+$B$3)))),IF($EC$11="",IF($EC$13="",INDEX(bhpc_data[sku],SMALL(IF(ISNUMBER(MATCH(bhpc_data[category],$EC$9,0)),MATCH(ROW(bhpc_data[sku]),ROW(bhpc_data[sku])),""),ROWS($A$15:A78)+$B$3)),INDEX(bhpc_data[sku],SMALL(IF(ISNUMBER(MATCH(bhpc_data[category],$EC$9,0)*MATCH(bhpc_data[size1],$EC$13,0)),MATCH(ROW(bhpc_data[sku]),ROW(bhpc_data[sku])),""),ROWS($A$15:A78)+$B$3))),IF($EC$13="",INDEX(bhpc_data[sku],SMALL(IF(ISNUMBER(MATCH(bhpc_data[category],$EC$9,0)*MATCH(bhpc_data[sex],$EC$11,0)),MATCH(ROW(bhpc_data[sku]),ROW(bhpc_data[sku])),""),ROWS($A$15:A78)+$B$3)),INDEX(bhpc_data[sku],SMALL(IF(ISNUMBER(MATCH(bhpc_data[category],$EC$9,0)*MATCH(bhpc_data[sex],$EC$11,0)*MATCH(bhpc_data[size1],$EC$13,0)),MATCH(ROW(bhpc_data[sku]),ROW(bhpc_data[sku])),""),ROWS($A$15:A78)+$B$3))))),"")</f>
        <v>P06005</v>
      </c>
      <c r="EF73" s="198" t="str" cm="1">
        <f t="array" ref="EF73">IFERROR(IF($EC$9="",IF($EC$11="",IF($EC$13="",INDEX(bhpc_data[description],SMALL(MATCH(ROW(bhpc_data[sku]),ROW(bhpc_data[sku])),ROWS($A$15:A78)+$B$3)),INDEX(bhpc_data[description],SMALL(IF(ISNUMBER(MATCH(bhpc_data[size1],$EC$13,0)),MATCH(ROW(bhpc_data[sku]),ROW(bhpc_data[sku])),""),ROWS($A$15:A78)+$B$3))),IF($EC$13="",INDEX(bhpc_data[description],SMALL(IF(ISNUMBER(MATCH(bhpc_data[sex],$EC$11,0)),MATCH(ROW(bhpc_data[sku]),ROW(bhpc_data[sku])),""),ROWS($A$15:A78)+$B$3)),INDEX(bhpc_data[description],SMALL(IF(ISNUMBER(MATCH(bhpc_data[sex],$EC$11,0)*MATCH(bhpc_data[size1],$EC$13,0)),MATCH(ROW(bhpc_data[sku]),ROW(bhpc_data[sku])),""),ROWS($A$15:A78)+$B$3)))),IF($EC$11="",IF($EC$13="",INDEX(bhpc_data[description],SMALL(IF(ISNUMBER(MATCH(bhpc_data[category],$EC$9,0)),MATCH(ROW(bhpc_data[sku]),ROW(bhpc_data[sku])),""),ROWS($A$15:A78)+$B$3)),INDEX(bhpc_data[description],SMALL(IF(ISNUMBER(MATCH(bhpc_data[category],$EC$9,0)*MATCH(bhpc_data[size1],$EC$13,0)),MATCH(ROW(bhpc_data[sku]),ROW(bhpc_data[sku])),""),ROWS($A$15:A78)+$B$3))),IF($EC$13="",INDEX(bhpc_data[description],SMALL(IF(ISNUMBER(MATCH(bhpc_data[category],$EC$9,0)*MATCH(bhpc_data[sex],$EC$11,0)),MATCH(ROW(bhpc_data[sku]),ROW(bhpc_data[sku])),""),ROWS($A$15:A78)+$B$3)),INDEX(bhpc_data[description],SMALL(IF(ISNUMBER(MATCH(bhpc_data[category],$EC$9,0)*MATCH(bhpc_data[sex],$EC$11,0)*MATCH(bhpc_data[size1],$EC$13,0)),MATCH(ROW(bhpc_data[sku]),ROW(bhpc_data[sku])),""),ROWS($A$15:A78)+$B$3))))),"")</f>
        <v>BHPC PRESTIGE CHALLENGE 100ML EDP WOMEN</v>
      </c>
      <c r="EG73" s="263">
        <f>IFERROR(IF(warehouse[[#This Row],[SKU]]="","",INDEX(inventory[ESISTENZA],MATCH(warehouse[[#This Row],[SKU]],inventory[ARTICOLO],0))),"")</f>
        <v>576</v>
      </c>
      <c r="EH73" s="328"/>
      <c r="EI73" s="328"/>
      <c r="EJ73" s="263"/>
      <c r="EK73" s="329"/>
    </row>
    <row r="74" spans="59:141" ht="15" customHeight="1" x14ac:dyDescent="0.35">
      <c r="BG74" s="296"/>
      <c r="BK74" s="450"/>
      <c r="BL74" s="451"/>
      <c r="BM74" s="452"/>
      <c r="BN74" s="451"/>
      <c r="BO74" s="452"/>
      <c r="BZ74" s="168"/>
      <c r="CA74" s="154" t="str">
        <f>IF(BZ74="","",INDEX(bhpc_data[description],MATCH(BZ74,bhpc_data[sku],0)))</f>
        <v/>
      </c>
      <c r="CB74" s="159"/>
      <c r="CC74" s="357"/>
      <c r="CD74" s="169"/>
      <c r="CE74" s="361"/>
      <c r="CF74" s="170"/>
      <c r="CG74" s="164" t="str">
        <f>IFERROR(ROUNDUP(CB74/INDEX(bhpc_data[units_per_carton],MATCH(BZ74,bhpc_data[sku],0)),0),"")</f>
        <v/>
      </c>
      <c r="CH74" s="165" t="str">
        <f>IFERROR(ROUNDUP(CD74/INDEX(bhpc_data[units_per_carton],MATCH(BZ74,bhpc_data[sku],0)),0),"")</f>
        <v/>
      </c>
      <c r="CI74" s="165" t="str">
        <f>IFERROR(ROUNDUP(CF74/INDEX(bhpc_data[units_per_carton],MATCH(BZ74,bhpc_data[sku])),0),"")</f>
        <v/>
      </c>
      <c r="CJ74" s="165" t="str">
        <f>IFERROR(((CB74+CD74+CF74)/INDEX(bhpc_data[units_per_carton],MATCH(BZ74,bhpc_data[sku],0)))*INDEX(bhpc_data[net_weight],MATCH(BZ74,bhpc_data[sku],0)),"")</f>
        <v/>
      </c>
      <c r="CK74" s="165" t="str">
        <f>IFERROR(((CB74+CD74+CF74)/INDEX(bhpc_data[units_per_carton],MATCH(BZ74,bhpc_data[sku],0)))*INDEX(bhpc_data[gross_weight],MATCH(BZ74,bhpc_data[sku],0)),"")</f>
        <v/>
      </c>
      <c r="CL74" s="180" t="str">
        <f>IFERROR((CB74+CD74+CF74)/INDEX(bhpc_data[units_per_carton],MATCH(BZ74,bhpc_data[sku],0))*INDEX(bhpc_data[lenght],MATCH(BZ74,bhpc_data[sku],0))*INDEX(bhpc_data[width],MATCH(BZ74,bhpc_data[sku],0))*INDEX(bhpc_data[height],MATCH(BZ74,bhpc_data[sku],0))/1000000000,"")</f>
        <v/>
      </c>
      <c r="CM74" s="189" t="str">
        <f>IFERROR(INDEX(bhpc_data[category],MATCH(BZ74,bhpc_data[sku],0)),"")</f>
        <v/>
      </c>
      <c r="CN74" s="189" t="str">
        <f>IFERROR(INDEX(bhpc_data[size1],MATCH(BZ74,bhpc_data[sku],0)),"")</f>
        <v/>
      </c>
      <c r="CO74" s="388" t="str">
        <f>IFERROR(INDEX(bhpc_data[hs_code],MATCH(BZ74,bhpc_data[sku],0)),"")</f>
        <v/>
      </c>
      <c r="CP74" s="377" t="str">
        <f>IFERROR(INDEX(inventory[ESISTENZA],MATCH(BZ74,inventory[ARTICOLO],0)),"")</f>
        <v/>
      </c>
      <c r="CQ74" s="364" t="str">
        <f>IFERROR(IF(BZ74="","",IF($BX$15="SALE",INDEX(inventory[COSTO UNITARIO],MATCH(BZ74,inventory[ARTICOLO],0)),IF($BX$15="SAMPLING",INDEX(inventory[COSTO UNITARIO],MATCH(BZ74,inventory[ARTICOLO],0)),""))),"")</f>
        <v/>
      </c>
      <c r="CR74" s="365" t="str">
        <f t="shared" ref="CR74:CR105" si="5">IFERROR(IF(BZ74="","",(CB74+CD74+CF74)*CQ74),"")</f>
        <v/>
      </c>
      <c r="CS74" s="264" t="str">
        <f t="shared" ref="CS74:CS110" si="6">IF(BZ74="","",CB74*CC74+CD74*CE74)</f>
        <v/>
      </c>
      <c r="DA74" s="432" t="str">
        <f>IFERROR(VLOOKUP(BZ74,bhpc_data[],22,FALSE),"")</f>
        <v/>
      </c>
      <c r="EE74" s="202" t="str" cm="1">
        <f t="array" ref="EE74">IFERROR(IF($EC$9="",IF($EC$11="",IF($EC$13="",INDEX(bhpc_data[sku],SMALL(MATCH(ROW(bhpc_data[sku]),ROW(bhpc_data[sku])),ROWS($A$15:A79)+$B$3)),INDEX(bhpc_data[sku],SMALL(IF(ISNUMBER(MATCH(bhpc_data[size1],$EC$13,0)),MATCH(ROW(bhpc_data[sku]),ROW(bhpc_data[sku])),""),ROWS($A$15:A79)+$B$3))),IF($EC$13="",INDEX(bhpc_data[sku],SMALL(IF(ISNUMBER(MATCH(bhpc_data[sex],$EC$11,0)),MATCH(ROW(bhpc_data[sku]),ROW(bhpc_data[sku])),""),ROWS($A$15:A79)+$B$3)),INDEX(bhpc_data[sku],SMALL(IF(ISNUMBER(MATCH(bhpc_data[sex],$EC$11,0)*MATCH(bhpc_data[size1],$EC$13,0)),MATCH(ROW(bhpc_data[sku]),ROW(bhpc_data[sku])),""),ROWS($A$15:A79)+$B$3)))),IF($EC$11="",IF($EC$13="",INDEX(bhpc_data[sku],SMALL(IF(ISNUMBER(MATCH(bhpc_data[category],$EC$9,0)),MATCH(ROW(bhpc_data[sku]),ROW(bhpc_data[sku])),""),ROWS($A$15:A79)+$B$3)),INDEX(bhpc_data[sku],SMALL(IF(ISNUMBER(MATCH(bhpc_data[category],$EC$9,0)*MATCH(bhpc_data[size1],$EC$13,0)),MATCH(ROW(bhpc_data[sku]),ROW(bhpc_data[sku])),""),ROWS($A$15:A79)+$B$3))),IF($EC$13="",INDEX(bhpc_data[sku],SMALL(IF(ISNUMBER(MATCH(bhpc_data[category],$EC$9,0)*MATCH(bhpc_data[sex],$EC$11,0)),MATCH(ROW(bhpc_data[sku]),ROW(bhpc_data[sku])),""),ROWS($A$15:A79)+$B$3)),INDEX(bhpc_data[sku],SMALL(IF(ISNUMBER(MATCH(bhpc_data[category],$EC$9,0)*MATCH(bhpc_data[sex],$EC$11,0)*MATCH(bhpc_data[size1],$EC$13,0)),MATCH(ROW(bhpc_data[sku]),ROW(bhpc_data[sku])),""),ROWS($A$15:A79)+$B$3))))),"")</f>
        <v>P06006</v>
      </c>
      <c r="EF74" s="198" t="str" cm="1">
        <f t="array" ref="EF74">IFERROR(IF($EC$9="",IF($EC$11="",IF($EC$13="",INDEX(bhpc_data[description],SMALL(MATCH(ROW(bhpc_data[sku]),ROW(bhpc_data[sku])),ROWS($A$15:A79)+$B$3)),INDEX(bhpc_data[description],SMALL(IF(ISNUMBER(MATCH(bhpc_data[size1],$EC$13,0)),MATCH(ROW(bhpc_data[sku]),ROW(bhpc_data[sku])),""),ROWS($A$15:A79)+$B$3))),IF($EC$13="",INDEX(bhpc_data[description],SMALL(IF(ISNUMBER(MATCH(bhpc_data[sex],$EC$11,0)),MATCH(ROW(bhpc_data[sku]),ROW(bhpc_data[sku])),""),ROWS($A$15:A79)+$B$3)),INDEX(bhpc_data[description],SMALL(IF(ISNUMBER(MATCH(bhpc_data[sex],$EC$11,0)*MATCH(bhpc_data[size1],$EC$13,0)),MATCH(ROW(bhpc_data[sku]),ROW(bhpc_data[sku])),""),ROWS($A$15:A79)+$B$3)))),IF($EC$11="",IF($EC$13="",INDEX(bhpc_data[description],SMALL(IF(ISNUMBER(MATCH(bhpc_data[category],$EC$9,0)),MATCH(ROW(bhpc_data[sku]),ROW(bhpc_data[sku])),""),ROWS($A$15:A79)+$B$3)),INDEX(bhpc_data[description],SMALL(IF(ISNUMBER(MATCH(bhpc_data[category],$EC$9,0)*MATCH(bhpc_data[size1],$EC$13,0)),MATCH(ROW(bhpc_data[sku]),ROW(bhpc_data[sku])),""),ROWS($A$15:A79)+$B$3))),IF($EC$13="",INDEX(bhpc_data[description],SMALL(IF(ISNUMBER(MATCH(bhpc_data[category],$EC$9,0)*MATCH(bhpc_data[sex],$EC$11,0)),MATCH(ROW(bhpc_data[sku]),ROW(bhpc_data[sku])),""),ROWS($A$15:A79)+$B$3)),INDEX(bhpc_data[description],SMALL(IF(ISNUMBER(MATCH(bhpc_data[category],$EC$9,0)*MATCH(bhpc_data[sex],$EC$11,0)*MATCH(bhpc_data[size1],$EC$13,0)),MATCH(ROW(bhpc_data[sku]),ROW(bhpc_data[sku])),""),ROWS($A$15:A79)+$B$3))))),"")</f>
        <v>BHPC PRESTIGE MYSTIQUE 100ML EDP WOMEN</v>
      </c>
      <c r="EG74" s="263">
        <f>IFERROR(IF(warehouse[[#This Row],[SKU]]="","",INDEX(inventory[ESISTENZA],MATCH(warehouse[[#This Row],[SKU]],inventory[ARTICOLO],0))),"")</f>
        <v>1979</v>
      </c>
      <c r="EH74" s="328"/>
      <c r="EI74" s="328"/>
      <c r="EJ74" s="263"/>
      <c r="EK74" s="329"/>
    </row>
    <row r="75" spans="59:141" ht="15" customHeight="1" x14ac:dyDescent="0.35">
      <c r="BG75" s="296"/>
      <c r="BK75" s="450"/>
      <c r="BL75" s="451"/>
      <c r="BM75" s="452"/>
      <c r="BN75" s="451"/>
      <c r="BO75" s="452"/>
      <c r="BZ75" s="168"/>
      <c r="CA75" s="154" t="str">
        <f>IF(BZ75="","",INDEX(bhpc_data[description],MATCH(BZ75,bhpc_data[sku],0)))</f>
        <v/>
      </c>
      <c r="CB75" s="159"/>
      <c r="CC75" s="357"/>
      <c r="CD75" s="169"/>
      <c r="CE75" s="361"/>
      <c r="CF75" s="170"/>
      <c r="CG75" s="164" t="str">
        <f>IFERROR(ROUNDUP(CB75/INDEX(bhpc_data[units_per_carton],MATCH(BZ75,bhpc_data[sku],0)),0),"")</f>
        <v/>
      </c>
      <c r="CH75" s="165" t="str">
        <f>IFERROR(ROUNDUP(CD75/INDEX(bhpc_data[units_per_carton],MATCH(BZ75,bhpc_data[sku],0)),0),"")</f>
        <v/>
      </c>
      <c r="CI75" s="165" t="str">
        <f>IFERROR(ROUNDUP(CF75/INDEX(bhpc_data[units_per_carton],MATCH(BZ75,bhpc_data[sku])),0),"")</f>
        <v/>
      </c>
      <c r="CJ75" s="165" t="str">
        <f>IFERROR(((CB75+CD75+CF75)/INDEX(bhpc_data[units_per_carton],MATCH(BZ75,bhpc_data[sku],0)))*INDEX(bhpc_data[net_weight],MATCH(BZ75,bhpc_data[sku],0)),"")</f>
        <v/>
      </c>
      <c r="CK75" s="165" t="str">
        <f>IFERROR(((CB75+CD75+CF75)/INDEX(bhpc_data[units_per_carton],MATCH(BZ75,bhpc_data[sku],0)))*INDEX(bhpc_data[gross_weight],MATCH(BZ75,bhpc_data[sku],0)),"")</f>
        <v/>
      </c>
      <c r="CL75" s="180" t="str">
        <f>IFERROR((CB75+CD75+CF75)/INDEX(bhpc_data[units_per_carton],MATCH(BZ75,bhpc_data[sku],0))*INDEX(bhpc_data[lenght],MATCH(BZ75,bhpc_data[sku],0))*INDEX(bhpc_data[width],MATCH(BZ75,bhpc_data[sku],0))*INDEX(bhpc_data[height],MATCH(BZ75,bhpc_data[sku],0))/1000000000,"")</f>
        <v/>
      </c>
      <c r="CM75" s="189" t="str">
        <f>IFERROR(INDEX(bhpc_data[category],MATCH(BZ75,bhpc_data[sku],0)),"")</f>
        <v/>
      </c>
      <c r="CN75" s="189" t="str">
        <f>IFERROR(INDEX(bhpc_data[size1],MATCH(BZ75,bhpc_data[sku],0)),"")</f>
        <v/>
      </c>
      <c r="CO75" s="388" t="str">
        <f>IFERROR(INDEX(bhpc_data[hs_code],MATCH(BZ75,bhpc_data[sku],0)),"")</f>
        <v/>
      </c>
      <c r="CP75" s="377" t="str">
        <f>IFERROR(INDEX(inventory[ESISTENZA],MATCH(BZ75,inventory[ARTICOLO],0)),"")</f>
        <v/>
      </c>
      <c r="CQ75" s="364" t="str">
        <f>IFERROR(IF(BZ75="","",IF($BX$15="SALE",INDEX(inventory[COSTO UNITARIO],MATCH(BZ75,inventory[ARTICOLO],0)),IF($BX$15="SAMPLING",INDEX(inventory[COSTO UNITARIO],MATCH(BZ75,inventory[ARTICOLO],0)),""))),"")</f>
        <v/>
      </c>
      <c r="CR75" s="365" t="str">
        <f t="shared" si="5"/>
        <v/>
      </c>
      <c r="CS75" s="264" t="str">
        <f t="shared" si="6"/>
        <v/>
      </c>
      <c r="DA75" s="432" t="str">
        <f>IFERROR(VLOOKUP(BZ75,bhpc_data[],22,FALSE),"")</f>
        <v/>
      </c>
      <c r="EE75" s="202" t="str" cm="1">
        <f t="array" ref="EE75">IFERROR(IF($EC$9="",IF($EC$11="",IF($EC$13="",INDEX(bhpc_data[sku],SMALL(MATCH(ROW(bhpc_data[sku]),ROW(bhpc_data[sku])),ROWS($A$15:A80)+$B$3)),INDEX(bhpc_data[sku],SMALL(IF(ISNUMBER(MATCH(bhpc_data[size1],$EC$13,0)),MATCH(ROW(bhpc_data[sku]),ROW(bhpc_data[sku])),""),ROWS($A$15:A80)+$B$3))),IF($EC$13="",INDEX(bhpc_data[sku],SMALL(IF(ISNUMBER(MATCH(bhpc_data[sex],$EC$11,0)),MATCH(ROW(bhpc_data[sku]),ROW(bhpc_data[sku])),""),ROWS($A$15:A80)+$B$3)),INDEX(bhpc_data[sku],SMALL(IF(ISNUMBER(MATCH(bhpc_data[sex],$EC$11,0)*MATCH(bhpc_data[size1],$EC$13,0)),MATCH(ROW(bhpc_data[sku]),ROW(bhpc_data[sku])),""),ROWS($A$15:A80)+$B$3)))),IF($EC$11="",IF($EC$13="",INDEX(bhpc_data[sku],SMALL(IF(ISNUMBER(MATCH(bhpc_data[category],$EC$9,0)),MATCH(ROW(bhpc_data[sku]),ROW(bhpc_data[sku])),""),ROWS($A$15:A80)+$B$3)),INDEX(bhpc_data[sku],SMALL(IF(ISNUMBER(MATCH(bhpc_data[category],$EC$9,0)*MATCH(bhpc_data[size1],$EC$13,0)),MATCH(ROW(bhpc_data[sku]),ROW(bhpc_data[sku])),""),ROWS($A$15:A80)+$B$3))),IF($EC$13="",INDEX(bhpc_data[sku],SMALL(IF(ISNUMBER(MATCH(bhpc_data[category],$EC$9,0)*MATCH(bhpc_data[sex],$EC$11,0)),MATCH(ROW(bhpc_data[sku]),ROW(bhpc_data[sku])),""),ROWS($A$15:A80)+$B$3)),INDEX(bhpc_data[sku],SMALL(IF(ISNUMBER(MATCH(bhpc_data[category],$EC$9,0)*MATCH(bhpc_data[sex],$EC$11,0)*MATCH(bhpc_data[size1],$EC$13,0)),MATCH(ROW(bhpc_data[sku]),ROW(bhpc_data[sku])),""),ROWS($A$15:A80)+$B$3))))),"")</f>
        <v>P06007</v>
      </c>
      <c r="EF75" s="198" t="str" cm="1">
        <f t="array" ref="EF75">IFERROR(IF($EC$9="",IF($EC$11="",IF($EC$13="",INDEX(bhpc_data[description],SMALL(MATCH(ROW(bhpc_data[sku]),ROW(bhpc_data[sku])),ROWS($A$15:A80)+$B$3)),INDEX(bhpc_data[description],SMALL(IF(ISNUMBER(MATCH(bhpc_data[size1],$EC$13,0)),MATCH(ROW(bhpc_data[sku]),ROW(bhpc_data[sku])),""),ROWS($A$15:A80)+$B$3))),IF($EC$13="",INDEX(bhpc_data[description],SMALL(IF(ISNUMBER(MATCH(bhpc_data[sex],$EC$11,0)),MATCH(ROW(bhpc_data[sku]),ROW(bhpc_data[sku])),""),ROWS($A$15:A80)+$B$3)),INDEX(bhpc_data[description],SMALL(IF(ISNUMBER(MATCH(bhpc_data[sex],$EC$11,0)*MATCH(bhpc_data[size1],$EC$13,0)),MATCH(ROW(bhpc_data[sku]),ROW(bhpc_data[sku])),""),ROWS($A$15:A80)+$B$3)))),IF($EC$11="",IF($EC$13="",INDEX(bhpc_data[description],SMALL(IF(ISNUMBER(MATCH(bhpc_data[category],$EC$9,0)),MATCH(ROW(bhpc_data[sku]),ROW(bhpc_data[sku])),""),ROWS($A$15:A80)+$B$3)),INDEX(bhpc_data[description],SMALL(IF(ISNUMBER(MATCH(bhpc_data[category],$EC$9,0)*MATCH(bhpc_data[size1],$EC$13,0)),MATCH(ROW(bhpc_data[sku]),ROW(bhpc_data[sku])),""),ROWS($A$15:A80)+$B$3))),IF($EC$13="",INDEX(bhpc_data[description],SMALL(IF(ISNUMBER(MATCH(bhpc_data[category],$EC$9,0)*MATCH(bhpc_data[sex],$EC$11,0)),MATCH(ROW(bhpc_data[sku]),ROW(bhpc_data[sku])),""),ROWS($A$15:A80)+$B$3)),INDEX(bhpc_data[description],SMALL(IF(ISNUMBER(MATCH(bhpc_data[category],$EC$9,0)*MATCH(bhpc_data[sex],$EC$11,0)*MATCH(bhpc_data[size1],$EC$13,0)),MATCH(ROW(bhpc_data[sku]),ROW(bhpc_data[sku])),""),ROWS($A$15:A80)+$B$3))))),"")</f>
        <v>BHPC PRESTIGE PASSION 100ML EDP WOMEN</v>
      </c>
      <c r="EG75" s="263">
        <f>IFERROR(IF(warehouse[[#This Row],[SKU]]="","",INDEX(inventory[ESISTENZA],MATCH(warehouse[[#This Row],[SKU]],inventory[ARTICOLO],0))),"")</f>
        <v>2589</v>
      </c>
      <c r="EH75" s="328"/>
      <c r="EI75" s="328"/>
      <c r="EJ75" s="263"/>
      <c r="EK75" s="329"/>
    </row>
    <row r="76" spans="59:141" ht="15" customHeight="1" x14ac:dyDescent="0.35">
      <c r="BG76" s="296"/>
      <c r="BK76" s="450"/>
      <c r="BL76" s="451"/>
      <c r="BM76" s="452"/>
      <c r="BN76" s="451"/>
      <c r="BO76" s="452"/>
      <c r="BZ76" s="168"/>
      <c r="CA76" s="154" t="str">
        <f>IF(BZ76="","",INDEX(bhpc_data[description],MATCH(BZ76,bhpc_data[sku],0)))</f>
        <v/>
      </c>
      <c r="CB76" s="159"/>
      <c r="CC76" s="357"/>
      <c r="CD76" s="169"/>
      <c r="CE76" s="361"/>
      <c r="CF76" s="170"/>
      <c r="CG76" s="164" t="str">
        <f>IFERROR(ROUNDUP(CB76/INDEX(bhpc_data[units_per_carton],MATCH(BZ76,bhpc_data[sku],0)),0),"")</f>
        <v/>
      </c>
      <c r="CH76" s="165" t="str">
        <f>IFERROR(ROUNDUP(CD76/INDEX(bhpc_data[units_per_carton],MATCH(BZ76,bhpc_data[sku],0)),0),"")</f>
        <v/>
      </c>
      <c r="CI76" s="165" t="str">
        <f>IFERROR(ROUNDUP(CF76/INDEX(bhpc_data[units_per_carton],MATCH(BZ76,bhpc_data[sku])),0),"")</f>
        <v/>
      </c>
      <c r="CJ76" s="165" t="str">
        <f>IFERROR(((CB76+CD76+CF76)/INDEX(bhpc_data[units_per_carton],MATCH(BZ76,bhpc_data[sku],0)))*INDEX(bhpc_data[net_weight],MATCH(BZ76,bhpc_data[sku],0)),"")</f>
        <v/>
      </c>
      <c r="CK76" s="165" t="str">
        <f>IFERROR(((CB76+CD76+CF76)/INDEX(bhpc_data[units_per_carton],MATCH(BZ76,bhpc_data[sku],0)))*INDEX(bhpc_data[gross_weight],MATCH(BZ76,bhpc_data[sku],0)),"")</f>
        <v/>
      </c>
      <c r="CL76" s="180" t="str">
        <f>IFERROR((CB76+CD76+CF76)/INDEX(bhpc_data[units_per_carton],MATCH(BZ76,bhpc_data[sku],0))*INDEX(bhpc_data[lenght],MATCH(BZ76,bhpc_data[sku],0))*INDEX(bhpc_data[width],MATCH(BZ76,bhpc_data[sku],0))*INDEX(bhpc_data[height],MATCH(BZ76,bhpc_data[sku],0))/1000000000,"")</f>
        <v/>
      </c>
      <c r="CM76" s="189" t="str">
        <f>IFERROR(INDEX(bhpc_data[category],MATCH(BZ76,bhpc_data[sku],0)),"")</f>
        <v/>
      </c>
      <c r="CN76" s="189" t="str">
        <f>IFERROR(INDEX(bhpc_data[size1],MATCH(BZ76,bhpc_data[sku],0)),"")</f>
        <v/>
      </c>
      <c r="CO76" s="388" t="str">
        <f>IFERROR(INDEX(bhpc_data[hs_code],MATCH(BZ76,bhpc_data[sku],0)),"")</f>
        <v/>
      </c>
      <c r="CP76" s="377" t="str">
        <f>IFERROR(INDEX(inventory[ESISTENZA],MATCH(BZ76,inventory[ARTICOLO],0)),"")</f>
        <v/>
      </c>
      <c r="CQ76" s="364" t="str">
        <f>IFERROR(IF(BZ76="","",IF($BX$15="SALE",INDEX(inventory[COSTO UNITARIO],MATCH(BZ76,inventory[ARTICOLO],0)),IF($BX$15="SAMPLING",INDEX(inventory[COSTO UNITARIO],MATCH(BZ76,inventory[ARTICOLO],0)),""))),"")</f>
        <v/>
      </c>
      <c r="CR76" s="365" t="str">
        <f t="shared" si="5"/>
        <v/>
      </c>
      <c r="CS76" s="264" t="str">
        <f t="shared" si="6"/>
        <v/>
      </c>
      <c r="DA76" s="432" t="str">
        <f>IFERROR(VLOOKUP(BZ76,bhpc_data[],22,FALSE),"")</f>
        <v/>
      </c>
      <c r="EE76" s="202" t="str" cm="1">
        <f t="array" ref="EE76">IFERROR(IF($EC$9="",IF($EC$11="",IF($EC$13="",INDEX(bhpc_data[sku],SMALL(MATCH(ROW(bhpc_data[sku]),ROW(bhpc_data[sku])),ROWS($A$15:A81)+$B$3)),INDEX(bhpc_data[sku],SMALL(IF(ISNUMBER(MATCH(bhpc_data[size1],$EC$13,0)),MATCH(ROW(bhpc_data[sku]),ROW(bhpc_data[sku])),""),ROWS($A$15:A81)+$B$3))),IF($EC$13="",INDEX(bhpc_data[sku],SMALL(IF(ISNUMBER(MATCH(bhpc_data[sex],$EC$11,0)),MATCH(ROW(bhpc_data[sku]),ROW(bhpc_data[sku])),""),ROWS($A$15:A81)+$B$3)),INDEX(bhpc_data[sku],SMALL(IF(ISNUMBER(MATCH(bhpc_data[sex],$EC$11,0)*MATCH(bhpc_data[size1],$EC$13,0)),MATCH(ROW(bhpc_data[sku]),ROW(bhpc_data[sku])),""),ROWS($A$15:A81)+$B$3)))),IF($EC$11="",IF($EC$13="",INDEX(bhpc_data[sku],SMALL(IF(ISNUMBER(MATCH(bhpc_data[category],$EC$9,0)),MATCH(ROW(bhpc_data[sku]),ROW(bhpc_data[sku])),""),ROWS($A$15:A81)+$B$3)),INDEX(bhpc_data[sku],SMALL(IF(ISNUMBER(MATCH(bhpc_data[category],$EC$9,0)*MATCH(bhpc_data[size1],$EC$13,0)),MATCH(ROW(bhpc_data[sku]),ROW(bhpc_data[sku])),""),ROWS($A$15:A81)+$B$3))),IF($EC$13="",INDEX(bhpc_data[sku],SMALL(IF(ISNUMBER(MATCH(bhpc_data[category],$EC$9,0)*MATCH(bhpc_data[sex],$EC$11,0)),MATCH(ROW(bhpc_data[sku]),ROW(bhpc_data[sku])),""),ROWS($A$15:A81)+$B$3)),INDEX(bhpc_data[sku],SMALL(IF(ISNUMBER(MATCH(bhpc_data[category],$EC$9,0)*MATCH(bhpc_data[sex],$EC$11,0)*MATCH(bhpc_data[size1],$EC$13,0)),MATCH(ROW(bhpc_data[sku]),ROW(bhpc_data[sku])),""),ROWS($A$15:A81)+$B$3))))),"")</f>
        <v>P06008</v>
      </c>
      <c r="EF76" s="198" t="str" cm="1">
        <f t="array" ref="EF76">IFERROR(IF($EC$9="",IF($EC$11="",IF($EC$13="",INDEX(bhpc_data[description],SMALL(MATCH(ROW(bhpc_data[sku]),ROW(bhpc_data[sku])),ROWS($A$15:A81)+$B$3)),INDEX(bhpc_data[description],SMALL(IF(ISNUMBER(MATCH(bhpc_data[size1],$EC$13,0)),MATCH(ROW(bhpc_data[sku]),ROW(bhpc_data[sku])),""),ROWS($A$15:A81)+$B$3))),IF($EC$13="",INDEX(bhpc_data[description],SMALL(IF(ISNUMBER(MATCH(bhpc_data[sex],$EC$11,0)),MATCH(ROW(bhpc_data[sku]),ROW(bhpc_data[sku])),""),ROWS($A$15:A81)+$B$3)),INDEX(bhpc_data[description],SMALL(IF(ISNUMBER(MATCH(bhpc_data[sex],$EC$11,0)*MATCH(bhpc_data[size1],$EC$13,0)),MATCH(ROW(bhpc_data[sku]),ROW(bhpc_data[sku])),""),ROWS($A$15:A81)+$B$3)))),IF($EC$11="",IF($EC$13="",INDEX(bhpc_data[description],SMALL(IF(ISNUMBER(MATCH(bhpc_data[category],$EC$9,0)),MATCH(ROW(bhpc_data[sku]),ROW(bhpc_data[sku])),""),ROWS($A$15:A81)+$B$3)),INDEX(bhpc_data[description],SMALL(IF(ISNUMBER(MATCH(bhpc_data[category],$EC$9,0)*MATCH(bhpc_data[size1],$EC$13,0)),MATCH(ROW(bhpc_data[sku]),ROW(bhpc_data[sku])),""),ROWS($A$15:A81)+$B$3))),IF($EC$13="",INDEX(bhpc_data[description],SMALL(IF(ISNUMBER(MATCH(bhpc_data[category],$EC$9,0)*MATCH(bhpc_data[sex],$EC$11,0)),MATCH(ROW(bhpc_data[sku]),ROW(bhpc_data[sku])),""),ROWS($A$15:A81)+$B$3)),INDEX(bhpc_data[description],SMALL(IF(ISNUMBER(MATCH(bhpc_data[category],$EC$9,0)*MATCH(bhpc_data[sex],$EC$11,0)*MATCH(bhpc_data[size1],$EC$13,0)),MATCH(ROW(bhpc_data[sku]),ROW(bhpc_data[sku])),""),ROWS($A$15:A81)+$B$3))))),"")</f>
        <v>BHPC ELEGANCE HAIR MIST 250ML</v>
      </c>
      <c r="EG76" s="263">
        <f>IFERROR(IF(warehouse[[#This Row],[SKU]]="","",INDEX(inventory[ESISTENZA],MATCH(warehouse[[#This Row],[SKU]],inventory[ARTICOLO],0))),"")</f>
        <v>0</v>
      </c>
      <c r="EH76" s="328"/>
      <c r="EI76" s="328"/>
      <c r="EJ76" s="263"/>
      <c r="EK76" s="329"/>
    </row>
    <row r="77" spans="59:141" ht="15" customHeight="1" x14ac:dyDescent="0.35">
      <c r="BG77" s="296"/>
      <c r="BK77" s="450"/>
      <c r="BL77" s="451"/>
      <c r="BM77" s="452"/>
      <c r="BN77" s="451"/>
      <c r="BO77" s="452"/>
      <c r="BZ77" s="168"/>
      <c r="CA77" s="154" t="str">
        <f>IF(BZ77="","",INDEX(bhpc_data[description],MATCH(BZ77,bhpc_data[sku],0)))</f>
        <v/>
      </c>
      <c r="CB77" s="159"/>
      <c r="CC77" s="357"/>
      <c r="CD77" s="169"/>
      <c r="CE77" s="361"/>
      <c r="CF77" s="170"/>
      <c r="CG77" s="164" t="str">
        <f>IFERROR(ROUNDUP(CB77/INDEX(bhpc_data[units_per_carton],MATCH(BZ77,bhpc_data[sku],0)),0),"")</f>
        <v/>
      </c>
      <c r="CH77" s="165" t="str">
        <f>IFERROR(ROUNDUP(CD77/INDEX(bhpc_data[units_per_carton],MATCH(BZ77,bhpc_data[sku],0)),0),"")</f>
        <v/>
      </c>
      <c r="CI77" s="165" t="str">
        <f>IFERROR(ROUNDUP(CF77/INDEX(bhpc_data[units_per_carton],MATCH(BZ77,bhpc_data[sku])),0),"")</f>
        <v/>
      </c>
      <c r="CJ77" s="165" t="str">
        <f>IFERROR(((CB77+CD77+CF77)/INDEX(bhpc_data[units_per_carton],MATCH(BZ77,bhpc_data[sku],0)))*INDEX(bhpc_data[net_weight],MATCH(BZ77,bhpc_data[sku],0)),"")</f>
        <v/>
      </c>
      <c r="CK77" s="165" t="str">
        <f>IFERROR(((CB77+CD77+CF77)/INDEX(bhpc_data[units_per_carton],MATCH(BZ77,bhpc_data[sku],0)))*INDEX(bhpc_data[gross_weight],MATCH(BZ77,bhpc_data[sku],0)),"")</f>
        <v/>
      </c>
      <c r="CL77" s="180" t="str">
        <f>IFERROR((CB77+CD77+CF77)/INDEX(bhpc_data[units_per_carton],MATCH(BZ77,bhpc_data[sku],0))*INDEX(bhpc_data[lenght],MATCH(BZ77,bhpc_data[sku],0))*INDEX(bhpc_data[width],MATCH(BZ77,bhpc_data[sku],0))*INDEX(bhpc_data[height],MATCH(BZ77,bhpc_data[sku],0))/1000000000,"")</f>
        <v/>
      </c>
      <c r="CM77" s="189" t="str">
        <f>IFERROR(INDEX(bhpc_data[category],MATCH(BZ77,bhpc_data[sku],0)),"")</f>
        <v/>
      </c>
      <c r="CN77" s="189" t="str">
        <f>IFERROR(INDEX(bhpc_data[size1],MATCH(BZ77,bhpc_data[sku],0)),"")</f>
        <v/>
      </c>
      <c r="CO77" s="388" t="str">
        <f>IFERROR(INDEX(bhpc_data[hs_code],MATCH(BZ77,bhpc_data[sku],0)),"")</f>
        <v/>
      </c>
      <c r="CP77" s="377" t="str">
        <f>IFERROR(INDEX(inventory[ESISTENZA],MATCH(BZ77,inventory[ARTICOLO],0)),"")</f>
        <v/>
      </c>
      <c r="CQ77" s="364" t="str">
        <f>IFERROR(IF(BZ77="","",IF($BX$15="SALE",INDEX(inventory[COSTO UNITARIO],MATCH(BZ77,inventory[ARTICOLO],0)),IF($BX$15="SAMPLING",INDEX(inventory[COSTO UNITARIO],MATCH(BZ77,inventory[ARTICOLO],0)),""))),"")</f>
        <v/>
      </c>
      <c r="CR77" s="365" t="str">
        <f t="shared" si="5"/>
        <v/>
      </c>
      <c r="CS77" s="264" t="str">
        <f t="shared" si="6"/>
        <v/>
      </c>
      <c r="DA77" s="432" t="str">
        <f>IFERROR(VLOOKUP(BZ77,bhpc_data[],22,FALSE),"")</f>
        <v/>
      </c>
      <c r="EE77" s="202" t="str" cm="1">
        <f t="array" ref="EE77">IFERROR(IF($EC$9="",IF($EC$11="",IF($EC$13="",INDEX(bhpc_data[sku],SMALL(MATCH(ROW(bhpc_data[sku]),ROW(bhpc_data[sku])),ROWS($A$15:A82)+$B$3)),INDEX(bhpc_data[sku],SMALL(IF(ISNUMBER(MATCH(bhpc_data[size1],$EC$13,0)),MATCH(ROW(bhpc_data[sku]),ROW(bhpc_data[sku])),""),ROWS($A$15:A82)+$B$3))),IF($EC$13="",INDEX(bhpc_data[sku],SMALL(IF(ISNUMBER(MATCH(bhpc_data[sex],$EC$11,0)),MATCH(ROW(bhpc_data[sku]),ROW(bhpc_data[sku])),""),ROWS($A$15:A82)+$B$3)),INDEX(bhpc_data[sku],SMALL(IF(ISNUMBER(MATCH(bhpc_data[sex],$EC$11,0)*MATCH(bhpc_data[size1],$EC$13,0)),MATCH(ROW(bhpc_data[sku]),ROW(bhpc_data[sku])),""),ROWS($A$15:A82)+$B$3)))),IF($EC$11="",IF($EC$13="",INDEX(bhpc_data[sku],SMALL(IF(ISNUMBER(MATCH(bhpc_data[category],$EC$9,0)),MATCH(ROW(bhpc_data[sku]),ROW(bhpc_data[sku])),""),ROWS($A$15:A82)+$B$3)),INDEX(bhpc_data[sku],SMALL(IF(ISNUMBER(MATCH(bhpc_data[category],$EC$9,0)*MATCH(bhpc_data[size1],$EC$13,0)),MATCH(ROW(bhpc_data[sku]),ROW(bhpc_data[sku])),""),ROWS($A$15:A82)+$B$3))),IF($EC$13="",INDEX(bhpc_data[sku],SMALL(IF(ISNUMBER(MATCH(bhpc_data[category],$EC$9,0)*MATCH(bhpc_data[sex],$EC$11,0)),MATCH(ROW(bhpc_data[sku]),ROW(bhpc_data[sku])),""),ROWS($A$15:A82)+$B$3)),INDEX(bhpc_data[sku],SMALL(IF(ISNUMBER(MATCH(bhpc_data[category],$EC$9,0)*MATCH(bhpc_data[sex],$EC$11,0)*MATCH(bhpc_data[size1],$EC$13,0)),MATCH(ROW(bhpc_data[sku]),ROW(bhpc_data[sku])),""),ROWS($A$15:A82)+$B$3))))),"")</f>
        <v>P06009</v>
      </c>
      <c r="EF77" s="198" t="str" cm="1">
        <f t="array" ref="EF77">IFERROR(IF($EC$9="",IF($EC$11="",IF($EC$13="",INDEX(bhpc_data[description],SMALL(MATCH(ROW(bhpc_data[sku]),ROW(bhpc_data[sku])),ROWS($A$15:A82)+$B$3)),INDEX(bhpc_data[description],SMALL(IF(ISNUMBER(MATCH(bhpc_data[size1],$EC$13,0)),MATCH(ROW(bhpc_data[sku]),ROW(bhpc_data[sku])),""),ROWS($A$15:A82)+$B$3))),IF($EC$13="",INDEX(bhpc_data[description],SMALL(IF(ISNUMBER(MATCH(bhpc_data[sex],$EC$11,0)),MATCH(ROW(bhpc_data[sku]),ROW(bhpc_data[sku])),""),ROWS($A$15:A82)+$B$3)),INDEX(bhpc_data[description],SMALL(IF(ISNUMBER(MATCH(bhpc_data[sex],$EC$11,0)*MATCH(bhpc_data[size1],$EC$13,0)),MATCH(ROW(bhpc_data[sku]),ROW(bhpc_data[sku])),""),ROWS($A$15:A82)+$B$3)))),IF($EC$11="",IF($EC$13="",INDEX(bhpc_data[description],SMALL(IF(ISNUMBER(MATCH(bhpc_data[category],$EC$9,0)),MATCH(ROW(bhpc_data[sku]),ROW(bhpc_data[sku])),""),ROWS($A$15:A82)+$B$3)),INDEX(bhpc_data[description],SMALL(IF(ISNUMBER(MATCH(bhpc_data[category],$EC$9,0)*MATCH(bhpc_data[size1],$EC$13,0)),MATCH(ROW(bhpc_data[sku]),ROW(bhpc_data[sku])),""),ROWS($A$15:A82)+$B$3))),IF($EC$13="",INDEX(bhpc_data[description],SMALL(IF(ISNUMBER(MATCH(bhpc_data[category],$EC$9,0)*MATCH(bhpc_data[sex],$EC$11,0)),MATCH(ROW(bhpc_data[sku]),ROW(bhpc_data[sku])),""),ROWS($A$15:A82)+$B$3)),INDEX(bhpc_data[description],SMALL(IF(ISNUMBER(MATCH(bhpc_data[category],$EC$9,0)*MATCH(bhpc_data[sex],$EC$11,0)*MATCH(bhpc_data[size1],$EC$13,0)),MATCH(ROW(bhpc_data[sku]),ROW(bhpc_data[sku])),""),ROWS($A$15:A82)+$B$3))))),"")</f>
        <v>BHPC CHALLENGE BODY MIST 250ML</v>
      </c>
      <c r="EG77" s="263">
        <f>IFERROR(IF(warehouse[[#This Row],[SKU]]="","",INDEX(inventory[ESISTENZA],MATCH(warehouse[[#This Row],[SKU]],inventory[ARTICOLO],0))),"")</f>
        <v>0</v>
      </c>
      <c r="EH77" s="328"/>
      <c r="EI77" s="328"/>
      <c r="EJ77" s="263"/>
      <c r="EK77" s="329"/>
    </row>
    <row r="78" spans="59:141" ht="15" customHeight="1" x14ac:dyDescent="0.35">
      <c r="BG78" s="296"/>
      <c r="BK78" s="450"/>
      <c r="BL78" s="451"/>
      <c r="BM78" s="452"/>
      <c r="BN78" s="451"/>
      <c r="BO78" s="452"/>
      <c r="BZ78" s="168"/>
      <c r="CA78" s="154" t="str">
        <f>IF(BZ78="","",INDEX(bhpc_data[description],MATCH(BZ78,bhpc_data[sku],0)))</f>
        <v/>
      </c>
      <c r="CB78" s="159"/>
      <c r="CC78" s="357"/>
      <c r="CD78" s="169"/>
      <c r="CE78" s="361"/>
      <c r="CF78" s="170"/>
      <c r="CG78" s="164" t="str">
        <f>IFERROR(ROUNDUP(CB78/INDEX(bhpc_data[units_per_carton],MATCH(BZ78,bhpc_data[sku],0)),0),"")</f>
        <v/>
      </c>
      <c r="CH78" s="165" t="str">
        <f>IFERROR(ROUNDUP(CD78/INDEX(bhpc_data[units_per_carton],MATCH(BZ78,bhpc_data[sku],0)),0),"")</f>
        <v/>
      </c>
      <c r="CI78" s="165" t="str">
        <f>IFERROR(ROUNDUP(CF78/INDEX(bhpc_data[units_per_carton],MATCH(BZ78,bhpc_data[sku])),0),"")</f>
        <v/>
      </c>
      <c r="CJ78" s="165" t="str">
        <f>IFERROR(((CB78+CD78+CF78)/INDEX(bhpc_data[units_per_carton],MATCH(BZ78,bhpc_data[sku],0)))*INDEX(bhpc_data[net_weight],MATCH(BZ78,bhpc_data[sku],0)),"")</f>
        <v/>
      </c>
      <c r="CK78" s="165" t="str">
        <f>IFERROR(((CB78+CD78+CF78)/INDEX(bhpc_data[units_per_carton],MATCH(BZ78,bhpc_data[sku],0)))*INDEX(bhpc_data[gross_weight],MATCH(BZ78,bhpc_data[sku],0)),"")</f>
        <v/>
      </c>
      <c r="CL78" s="180" t="str">
        <f>IFERROR((CB78+CD78+CF78)/INDEX(bhpc_data[units_per_carton],MATCH(BZ78,bhpc_data[sku],0))*INDEX(bhpc_data[lenght],MATCH(BZ78,bhpc_data[sku],0))*INDEX(bhpc_data[width],MATCH(BZ78,bhpc_data[sku],0))*INDEX(bhpc_data[height],MATCH(BZ78,bhpc_data[sku],0))/1000000000,"")</f>
        <v/>
      </c>
      <c r="CM78" s="189" t="str">
        <f>IFERROR(INDEX(bhpc_data[category],MATCH(BZ78,bhpc_data[sku],0)),"")</f>
        <v/>
      </c>
      <c r="CN78" s="189" t="str">
        <f>IFERROR(INDEX(bhpc_data[size1],MATCH(BZ78,bhpc_data[sku],0)),"")</f>
        <v/>
      </c>
      <c r="CO78" s="388" t="str">
        <f>IFERROR(INDEX(bhpc_data[hs_code],MATCH(BZ78,bhpc_data[sku],0)),"")</f>
        <v/>
      </c>
      <c r="CP78" s="377" t="str">
        <f>IFERROR(INDEX(inventory[ESISTENZA],MATCH(BZ78,inventory[ARTICOLO],0)),"")</f>
        <v/>
      </c>
      <c r="CQ78" s="364" t="str">
        <f>IFERROR(IF(BZ78="","",IF($BX$15="SALE",INDEX(inventory[COSTO UNITARIO],MATCH(BZ78,inventory[ARTICOLO],0)),IF($BX$15="SAMPLING",INDEX(inventory[COSTO UNITARIO],MATCH(BZ78,inventory[ARTICOLO],0)),""))),"")</f>
        <v/>
      </c>
      <c r="CR78" s="365" t="str">
        <f t="shared" si="5"/>
        <v/>
      </c>
      <c r="CS78" s="264" t="str">
        <f t="shared" si="6"/>
        <v/>
      </c>
      <c r="DA78" s="432" t="str">
        <f>IFERROR(VLOOKUP(BZ78,bhpc_data[],22,FALSE),"")</f>
        <v/>
      </c>
      <c r="EE78" s="202" t="str" cm="1">
        <f t="array" ref="EE78">IFERROR(IF($EC$9="",IF($EC$11="",IF($EC$13="",INDEX(bhpc_data[sku],SMALL(MATCH(ROW(bhpc_data[sku]),ROW(bhpc_data[sku])),ROWS($A$15:A83)+$B$3)),INDEX(bhpc_data[sku],SMALL(IF(ISNUMBER(MATCH(bhpc_data[size1],$EC$13,0)),MATCH(ROW(bhpc_data[sku]),ROW(bhpc_data[sku])),""),ROWS($A$15:A83)+$B$3))),IF($EC$13="",INDEX(bhpc_data[sku],SMALL(IF(ISNUMBER(MATCH(bhpc_data[sex],$EC$11,0)),MATCH(ROW(bhpc_data[sku]),ROW(bhpc_data[sku])),""),ROWS($A$15:A83)+$B$3)),INDEX(bhpc_data[sku],SMALL(IF(ISNUMBER(MATCH(bhpc_data[sex],$EC$11,0)*MATCH(bhpc_data[size1],$EC$13,0)),MATCH(ROW(bhpc_data[sku]),ROW(bhpc_data[sku])),""),ROWS($A$15:A83)+$B$3)))),IF($EC$11="",IF($EC$13="",INDEX(bhpc_data[sku],SMALL(IF(ISNUMBER(MATCH(bhpc_data[category],$EC$9,0)),MATCH(ROW(bhpc_data[sku]),ROW(bhpc_data[sku])),""),ROWS($A$15:A83)+$B$3)),INDEX(bhpc_data[sku],SMALL(IF(ISNUMBER(MATCH(bhpc_data[category],$EC$9,0)*MATCH(bhpc_data[size1],$EC$13,0)),MATCH(ROW(bhpc_data[sku]),ROW(bhpc_data[sku])),""),ROWS($A$15:A83)+$B$3))),IF($EC$13="",INDEX(bhpc_data[sku],SMALL(IF(ISNUMBER(MATCH(bhpc_data[category],$EC$9,0)*MATCH(bhpc_data[sex],$EC$11,0)),MATCH(ROW(bhpc_data[sku]),ROW(bhpc_data[sku])),""),ROWS($A$15:A83)+$B$3)),INDEX(bhpc_data[sku],SMALL(IF(ISNUMBER(MATCH(bhpc_data[category],$EC$9,0)*MATCH(bhpc_data[sex],$EC$11,0)*MATCH(bhpc_data[size1],$EC$13,0)),MATCH(ROW(bhpc_data[sku]),ROW(bhpc_data[sku])),""),ROWS($A$15:A83)+$B$3))))),"")</f>
        <v>P06010</v>
      </c>
      <c r="EF78" s="198" t="str" cm="1">
        <f t="array" ref="EF78">IFERROR(IF($EC$9="",IF($EC$11="",IF($EC$13="",INDEX(bhpc_data[description],SMALL(MATCH(ROW(bhpc_data[sku]),ROW(bhpc_data[sku])),ROWS($A$15:A83)+$B$3)),INDEX(bhpc_data[description],SMALL(IF(ISNUMBER(MATCH(bhpc_data[size1],$EC$13,0)),MATCH(ROW(bhpc_data[sku]),ROW(bhpc_data[sku])),""),ROWS($A$15:A83)+$B$3))),IF($EC$13="",INDEX(bhpc_data[description],SMALL(IF(ISNUMBER(MATCH(bhpc_data[sex],$EC$11,0)),MATCH(ROW(bhpc_data[sku]),ROW(bhpc_data[sku])),""),ROWS($A$15:A83)+$B$3)),INDEX(bhpc_data[description],SMALL(IF(ISNUMBER(MATCH(bhpc_data[sex],$EC$11,0)*MATCH(bhpc_data[size1],$EC$13,0)),MATCH(ROW(bhpc_data[sku]),ROW(bhpc_data[sku])),""),ROWS($A$15:A83)+$B$3)))),IF($EC$11="",IF($EC$13="",INDEX(bhpc_data[description],SMALL(IF(ISNUMBER(MATCH(bhpc_data[category],$EC$9,0)),MATCH(ROW(bhpc_data[sku]),ROW(bhpc_data[sku])),""),ROWS($A$15:A83)+$B$3)),INDEX(bhpc_data[description],SMALL(IF(ISNUMBER(MATCH(bhpc_data[category],$EC$9,0)*MATCH(bhpc_data[size1],$EC$13,0)),MATCH(ROW(bhpc_data[sku]),ROW(bhpc_data[sku])),""),ROWS($A$15:A83)+$B$3))),IF($EC$13="",INDEX(bhpc_data[description],SMALL(IF(ISNUMBER(MATCH(bhpc_data[category],$EC$9,0)*MATCH(bhpc_data[sex],$EC$11,0)),MATCH(ROW(bhpc_data[sku]),ROW(bhpc_data[sku])),""),ROWS($A$15:A83)+$B$3)),INDEX(bhpc_data[description],SMALL(IF(ISNUMBER(MATCH(bhpc_data[category],$EC$9,0)*MATCH(bhpc_data[sex],$EC$11,0)*MATCH(bhpc_data[size1],$EC$13,0)),MATCH(ROW(bhpc_data[sku]),ROW(bhpc_data[sku])),""),ROWS($A$15:A83)+$B$3))))),"")</f>
        <v>BHPC MYSTIQUE BODY MIST 250ML</v>
      </c>
      <c r="EG78" s="263">
        <f>IFERROR(IF(warehouse[[#This Row],[SKU]]="","",INDEX(inventory[ESISTENZA],MATCH(warehouse[[#This Row],[SKU]],inventory[ARTICOLO],0))),"")</f>
        <v>0</v>
      </c>
      <c r="EH78" s="328"/>
      <c r="EI78" s="328"/>
      <c r="EJ78" s="263"/>
      <c r="EK78" s="329"/>
    </row>
    <row r="79" spans="59:141" ht="15" customHeight="1" x14ac:dyDescent="0.35">
      <c r="BG79" s="296"/>
      <c r="BK79" s="450"/>
      <c r="BL79" s="451"/>
      <c r="BM79" s="452"/>
      <c r="BN79" s="451"/>
      <c r="BO79" s="452"/>
      <c r="BZ79" s="168"/>
      <c r="CA79" s="154" t="str">
        <f>IF(BZ79="","",INDEX(bhpc_data[description],MATCH(BZ79,bhpc_data[sku],0)))</f>
        <v/>
      </c>
      <c r="CB79" s="159"/>
      <c r="CC79" s="357"/>
      <c r="CD79" s="169"/>
      <c r="CE79" s="361"/>
      <c r="CF79" s="170"/>
      <c r="CG79" s="164" t="str">
        <f>IFERROR(ROUNDUP(CB79/INDEX(bhpc_data[units_per_carton],MATCH(BZ79,bhpc_data[sku],0)),0),"")</f>
        <v/>
      </c>
      <c r="CH79" s="165" t="str">
        <f>IFERROR(ROUNDUP(CD79/INDEX(bhpc_data[units_per_carton],MATCH(BZ79,bhpc_data[sku],0)),0),"")</f>
        <v/>
      </c>
      <c r="CI79" s="165" t="str">
        <f>IFERROR(ROUNDUP(CF79/INDEX(bhpc_data[units_per_carton],MATCH(BZ79,bhpc_data[sku])),0),"")</f>
        <v/>
      </c>
      <c r="CJ79" s="165" t="str">
        <f>IFERROR(((CB79+CD79+CF79)/INDEX(bhpc_data[units_per_carton],MATCH(BZ79,bhpc_data[sku],0)))*INDEX(bhpc_data[net_weight],MATCH(BZ79,bhpc_data[sku],0)),"")</f>
        <v/>
      </c>
      <c r="CK79" s="165" t="str">
        <f>IFERROR(((CB79+CD79+CF79)/INDEX(bhpc_data[units_per_carton],MATCH(BZ79,bhpc_data[sku],0)))*INDEX(bhpc_data[gross_weight],MATCH(BZ79,bhpc_data[sku],0)),"")</f>
        <v/>
      </c>
      <c r="CL79" s="180" t="str">
        <f>IFERROR((CB79+CD79+CF79)/INDEX(bhpc_data[units_per_carton],MATCH(BZ79,bhpc_data[sku],0))*INDEX(bhpc_data[lenght],MATCH(BZ79,bhpc_data[sku],0))*INDEX(bhpc_data[width],MATCH(BZ79,bhpc_data[sku],0))*INDEX(bhpc_data[height],MATCH(BZ79,bhpc_data[sku],0))/1000000000,"")</f>
        <v/>
      </c>
      <c r="CM79" s="189" t="str">
        <f>IFERROR(INDEX(bhpc_data[category],MATCH(BZ79,bhpc_data[sku],0)),"")</f>
        <v/>
      </c>
      <c r="CN79" s="189" t="str">
        <f>IFERROR(INDEX(bhpc_data[size1],MATCH(BZ79,bhpc_data[sku],0)),"")</f>
        <v/>
      </c>
      <c r="CO79" s="388" t="str">
        <f>IFERROR(INDEX(bhpc_data[hs_code],MATCH(BZ79,bhpc_data[sku],0)),"")</f>
        <v/>
      </c>
      <c r="CP79" s="377" t="str">
        <f>IFERROR(INDEX(inventory[ESISTENZA],MATCH(BZ79,inventory[ARTICOLO],0)),"")</f>
        <v/>
      </c>
      <c r="CQ79" s="364" t="str">
        <f>IFERROR(IF(BZ79="","",IF($BX$15="SALE",INDEX(inventory[COSTO UNITARIO],MATCH(BZ79,inventory[ARTICOLO],0)),IF($BX$15="SAMPLING",INDEX(inventory[COSTO UNITARIO],MATCH(BZ79,inventory[ARTICOLO],0)),""))),"")</f>
        <v/>
      </c>
      <c r="CR79" s="365" t="str">
        <f t="shared" si="5"/>
        <v/>
      </c>
      <c r="CS79" s="264" t="str">
        <f t="shared" si="6"/>
        <v/>
      </c>
      <c r="DA79" s="432" t="str">
        <f>IFERROR(VLOOKUP(BZ79,bhpc_data[],22,FALSE),"")</f>
        <v/>
      </c>
      <c r="EE79" s="202" t="str" cm="1">
        <f t="array" ref="EE79">IFERROR(IF($EC$9="",IF($EC$11="",IF($EC$13="",INDEX(bhpc_data[sku],SMALL(MATCH(ROW(bhpc_data[sku]),ROW(bhpc_data[sku])),ROWS($A$15:A84)+$B$3)),INDEX(bhpc_data[sku],SMALL(IF(ISNUMBER(MATCH(bhpc_data[size1],$EC$13,0)),MATCH(ROW(bhpc_data[sku]),ROW(bhpc_data[sku])),""),ROWS($A$15:A84)+$B$3))),IF($EC$13="",INDEX(bhpc_data[sku],SMALL(IF(ISNUMBER(MATCH(bhpc_data[sex],$EC$11,0)),MATCH(ROW(bhpc_data[sku]),ROW(bhpc_data[sku])),""),ROWS($A$15:A84)+$B$3)),INDEX(bhpc_data[sku],SMALL(IF(ISNUMBER(MATCH(bhpc_data[sex],$EC$11,0)*MATCH(bhpc_data[size1],$EC$13,0)),MATCH(ROW(bhpc_data[sku]),ROW(bhpc_data[sku])),""),ROWS($A$15:A84)+$B$3)))),IF($EC$11="",IF($EC$13="",INDEX(bhpc_data[sku],SMALL(IF(ISNUMBER(MATCH(bhpc_data[category],$EC$9,0)),MATCH(ROW(bhpc_data[sku]),ROW(bhpc_data[sku])),""),ROWS($A$15:A84)+$B$3)),INDEX(bhpc_data[sku],SMALL(IF(ISNUMBER(MATCH(bhpc_data[category],$EC$9,0)*MATCH(bhpc_data[size1],$EC$13,0)),MATCH(ROW(bhpc_data[sku]),ROW(bhpc_data[sku])),""),ROWS($A$15:A84)+$B$3))),IF($EC$13="",INDEX(bhpc_data[sku],SMALL(IF(ISNUMBER(MATCH(bhpc_data[category],$EC$9,0)*MATCH(bhpc_data[sex],$EC$11,0)),MATCH(ROW(bhpc_data[sku]),ROW(bhpc_data[sku])),""),ROWS($A$15:A84)+$B$3)),INDEX(bhpc_data[sku],SMALL(IF(ISNUMBER(MATCH(bhpc_data[category],$EC$9,0)*MATCH(bhpc_data[sex],$EC$11,0)*MATCH(bhpc_data[size1],$EC$13,0)),MATCH(ROW(bhpc_data[sku]),ROW(bhpc_data[sku])),""),ROWS($A$15:A84)+$B$3))))),"")</f>
        <v>P06011</v>
      </c>
      <c r="EF79" s="198" t="str" cm="1">
        <f t="array" ref="EF79">IFERROR(IF($EC$9="",IF($EC$11="",IF($EC$13="",INDEX(bhpc_data[description],SMALL(MATCH(ROW(bhpc_data[sku]),ROW(bhpc_data[sku])),ROWS($A$15:A84)+$B$3)),INDEX(bhpc_data[description],SMALL(IF(ISNUMBER(MATCH(bhpc_data[size1],$EC$13,0)),MATCH(ROW(bhpc_data[sku]),ROW(bhpc_data[sku])),""),ROWS($A$15:A84)+$B$3))),IF($EC$13="",INDEX(bhpc_data[description],SMALL(IF(ISNUMBER(MATCH(bhpc_data[sex],$EC$11,0)),MATCH(ROW(bhpc_data[sku]),ROW(bhpc_data[sku])),""),ROWS($A$15:A84)+$B$3)),INDEX(bhpc_data[description],SMALL(IF(ISNUMBER(MATCH(bhpc_data[sex],$EC$11,0)*MATCH(bhpc_data[size1],$EC$13,0)),MATCH(ROW(bhpc_data[sku]),ROW(bhpc_data[sku])),""),ROWS($A$15:A84)+$B$3)))),IF($EC$11="",IF($EC$13="",INDEX(bhpc_data[description],SMALL(IF(ISNUMBER(MATCH(bhpc_data[category],$EC$9,0)),MATCH(ROW(bhpc_data[sku]),ROW(bhpc_data[sku])),""),ROWS($A$15:A84)+$B$3)),INDEX(bhpc_data[description],SMALL(IF(ISNUMBER(MATCH(bhpc_data[category],$EC$9,0)*MATCH(bhpc_data[size1],$EC$13,0)),MATCH(ROW(bhpc_data[sku]),ROW(bhpc_data[sku])),""),ROWS($A$15:A84)+$B$3))),IF($EC$13="",INDEX(bhpc_data[description],SMALL(IF(ISNUMBER(MATCH(bhpc_data[category],$EC$9,0)*MATCH(bhpc_data[sex],$EC$11,0)),MATCH(ROW(bhpc_data[sku]),ROW(bhpc_data[sku])),""),ROWS($A$15:A84)+$B$3)),INDEX(bhpc_data[description],SMALL(IF(ISNUMBER(MATCH(bhpc_data[category],$EC$9,0)*MATCH(bhpc_data[sex],$EC$11,0)*MATCH(bhpc_data[size1],$EC$13,0)),MATCH(ROW(bhpc_data[sku]),ROW(bhpc_data[sku])),""),ROWS($A$15:A84)+$B$3))))),"")</f>
        <v>BHPC PASSION BODY MIST 250ML</v>
      </c>
      <c r="EG79" s="263">
        <f>IFERROR(IF(warehouse[[#This Row],[SKU]]="","",INDEX(inventory[ESISTENZA],MATCH(warehouse[[#This Row],[SKU]],inventory[ARTICOLO],0))),"")</f>
        <v>0</v>
      </c>
      <c r="EH79" s="328"/>
      <c r="EI79" s="328"/>
      <c r="EJ79" s="263"/>
      <c r="EK79" s="329"/>
    </row>
    <row r="80" spans="59:141" ht="15" customHeight="1" x14ac:dyDescent="0.35">
      <c r="BG80" s="296"/>
      <c r="BK80" s="450"/>
      <c r="BL80" s="451"/>
      <c r="BM80" s="452"/>
      <c r="BN80" s="451"/>
      <c r="BO80" s="452"/>
      <c r="BZ80" s="168"/>
      <c r="CA80" s="154" t="str">
        <f>IF(BZ80="","",INDEX(bhpc_data[description],MATCH(BZ80,bhpc_data[sku],0)))</f>
        <v/>
      </c>
      <c r="CB80" s="159"/>
      <c r="CC80" s="357"/>
      <c r="CD80" s="169"/>
      <c r="CE80" s="361"/>
      <c r="CF80" s="170"/>
      <c r="CG80" s="164" t="str">
        <f>IFERROR(ROUNDUP(CB80/INDEX(bhpc_data[units_per_carton],MATCH(BZ80,bhpc_data[sku],0)),0),"")</f>
        <v/>
      </c>
      <c r="CH80" s="165" t="str">
        <f>IFERROR(ROUNDUP(CD80/INDEX(bhpc_data[units_per_carton],MATCH(BZ80,bhpc_data[sku],0)),0),"")</f>
        <v/>
      </c>
      <c r="CI80" s="165" t="str">
        <f>IFERROR(ROUNDUP(CF80/INDEX(bhpc_data[units_per_carton],MATCH(BZ80,bhpc_data[sku])),0),"")</f>
        <v/>
      </c>
      <c r="CJ80" s="165" t="str">
        <f>IFERROR(((CB80+CD80+CF80)/INDEX(bhpc_data[units_per_carton],MATCH(BZ80,bhpc_data[sku],0)))*INDEX(bhpc_data[net_weight],MATCH(BZ80,bhpc_data[sku],0)),"")</f>
        <v/>
      </c>
      <c r="CK80" s="165" t="str">
        <f>IFERROR(((CB80+CD80+CF80)/INDEX(bhpc_data[units_per_carton],MATCH(BZ80,bhpc_data[sku],0)))*INDEX(bhpc_data[gross_weight],MATCH(BZ80,bhpc_data[sku],0)),"")</f>
        <v/>
      </c>
      <c r="CL80" s="180" t="str">
        <f>IFERROR((CB80+CD80+CF80)/INDEX(bhpc_data[units_per_carton],MATCH(BZ80,bhpc_data[sku],0))*INDEX(bhpc_data[lenght],MATCH(BZ80,bhpc_data[sku],0))*INDEX(bhpc_data[width],MATCH(BZ80,bhpc_data[sku],0))*INDEX(bhpc_data[height],MATCH(BZ80,bhpc_data[sku],0))/1000000000,"")</f>
        <v/>
      </c>
      <c r="CM80" s="189" t="str">
        <f>IFERROR(INDEX(bhpc_data[category],MATCH(BZ80,bhpc_data[sku],0)),"")</f>
        <v/>
      </c>
      <c r="CN80" s="189" t="str">
        <f>IFERROR(INDEX(bhpc_data[size1],MATCH(BZ80,bhpc_data[sku],0)),"")</f>
        <v/>
      </c>
      <c r="CO80" s="388" t="str">
        <f>IFERROR(INDEX(bhpc_data[hs_code],MATCH(BZ80,bhpc_data[sku],0)),"")</f>
        <v/>
      </c>
      <c r="CP80" s="377" t="str">
        <f>IFERROR(INDEX(inventory[ESISTENZA],MATCH(BZ80,inventory[ARTICOLO],0)),"")</f>
        <v/>
      </c>
      <c r="CQ80" s="364" t="str">
        <f>IFERROR(IF(BZ80="","",IF($BX$15="SALE",INDEX(inventory[COSTO UNITARIO],MATCH(BZ80,inventory[ARTICOLO],0)),IF($BX$15="SAMPLING",INDEX(inventory[COSTO UNITARIO],MATCH(BZ80,inventory[ARTICOLO],0)),""))),"")</f>
        <v/>
      </c>
      <c r="CR80" s="365" t="str">
        <f t="shared" si="5"/>
        <v/>
      </c>
      <c r="CS80" s="264" t="str">
        <f t="shared" si="6"/>
        <v/>
      </c>
      <c r="DA80" s="432" t="str">
        <f>IFERROR(VLOOKUP(BZ80,bhpc_data[],22,FALSE),"")</f>
        <v/>
      </c>
      <c r="EE80" s="202" t="str" cm="1">
        <f t="array" ref="EE80">IFERROR(IF($EC$9="",IF($EC$11="",IF($EC$13="",INDEX(bhpc_data[sku],SMALL(MATCH(ROW(bhpc_data[sku]),ROW(bhpc_data[sku])),ROWS($A$15:A85)+$B$3)),INDEX(bhpc_data[sku],SMALL(IF(ISNUMBER(MATCH(bhpc_data[size1],$EC$13,0)),MATCH(ROW(bhpc_data[sku]),ROW(bhpc_data[sku])),""),ROWS($A$15:A85)+$B$3))),IF($EC$13="",INDEX(bhpc_data[sku],SMALL(IF(ISNUMBER(MATCH(bhpc_data[sex],$EC$11,0)),MATCH(ROW(bhpc_data[sku]),ROW(bhpc_data[sku])),""),ROWS($A$15:A85)+$B$3)),INDEX(bhpc_data[sku],SMALL(IF(ISNUMBER(MATCH(bhpc_data[sex],$EC$11,0)*MATCH(bhpc_data[size1],$EC$13,0)),MATCH(ROW(bhpc_data[sku]),ROW(bhpc_data[sku])),""),ROWS($A$15:A85)+$B$3)))),IF($EC$11="",IF($EC$13="",INDEX(bhpc_data[sku],SMALL(IF(ISNUMBER(MATCH(bhpc_data[category],$EC$9,0)),MATCH(ROW(bhpc_data[sku]),ROW(bhpc_data[sku])),""),ROWS($A$15:A85)+$B$3)),INDEX(bhpc_data[sku],SMALL(IF(ISNUMBER(MATCH(bhpc_data[category],$EC$9,0)*MATCH(bhpc_data[size1],$EC$13,0)),MATCH(ROW(bhpc_data[sku]),ROW(bhpc_data[sku])),""),ROWS($A$15:A85)+$B$3))),IF($EC$13="",INDEX(bhpc_data[sku],SMALL(IF(ISNUMBER(MATCH(bhpc_data[category],$EC$9,0)*MATCH(bhpc_data[sex],$EC$11,0)),MATCH(ROW(bhpc_data[sku]),ROW(bhpc_data[sku])),""),ROWS($A$15:A85)+$B$3)),INDEX(bhpc_data[sku],SMALL(IF(ISNUMBER(MATCH(bhpc_data[category],$EC$9,0)*MATCH(bhpc_data[sex],$EC$11,0)*MATCH(bhpc_data[size1],$EC$13,0)),MATCH(ROW(bhpc_data[sku]),ROW(bhpc_data[sku])),""),ROWS($A$15:A85)+$B$3))))),"")</f>
        <v>P06012</v>
      </c>
      <c r="EF80" s="198" t="str" cm="1">
        <f t="array" ref="EF80">IFERROR(IF($EC$9="",IF($EC$11="",IF($EC$13="",INDEX(bhpc_data[description],SMALL(MATCH(ROW(bhpc_data[sku]),ROW(bhpc_data[sku])),ROWS($A$15:A85)+$B$3)),INDEX(bhpc_data[description],SMALL(IF(ISNUMBER(MATCH(bhpc_data[size1],$EC$13,0)),MATCH(ROW(bhpc_data[sku]),ROW(bhpc_data[sku])),""),ROWS($A$15:A85)+$B$3))),IF($EC$13="",INDEX(bhpc_data[description],SMALL(IF(ISNUMBER(MATCH(bhpc_data[sex],$EC$11,0)),MATCH(ROW(bhpc_data[sku]),ROW(bhpc_data[sku])),""),ROWS($A$15:A85)+$B$3)),INDEX(bhpc_data[description],SMALL(IF(ISNUMBER(MATCH(bhpc_data[sex],$EC$11,0)*MATCH(bhpc_data[size1],$EC$13,0)),MATCH(ROW(bhpc_data[sku]),ROW(bhpc_data[sku])),""),ROWS($A$15:A85)+$B$3)))),IF($EC$11="",IF($EC$13="",INDEX(bhpc_data[description],SMALL(IF(ISNUMBER(MATCH(bhpc_data[category],$EC$9,0)),MATCH(ROW(bhpc_data[sku]),ROW(bhpc_data[sku])),""),ROWS($A$15:A85)+$B$3)),INDEX(bhpc_data[description],SMALL(IF(ISNUMBER(MATCH(bhpc_data[category],$EC$9,0)*MATCH(bhpc_data[size1],$EC$13,0)),MATCH(ROW(bhpc_data[sku]),ROW(bhpc_data[sku])),""),ROWS($A$15:A85)+$B$3))),IF($EC$13="",INDEX(bhpc_data[description],SMALL(IF(ISNUMBER(MATCH(bhpc_data[category],$EC$9,0)*MATCH(bhpc_data[sex],$EC$11,0)),MATCH(ROW(bhpc_data[sku]),ROW(bhpc_data[sku])),""),ROWS($A$15:A85)+$B$3)),INDEX(bhpc_data[description],SMALL(IF(ISNUMBER(MATCH(bhpc_data[category],$EC$9,0)*MATCH(bhpc_data[sex],$EC$11,0)*MATCH(bhpc_data[size1],$EC$13,0)),MATCH(ROW(bhpc_data[sku]),ROW(bhpc_data[sku])),""),ROWS($A$15:A85)+$B$3))))),"")</f>
        <v>BHPC TROPHY DEO 300ML</v>
      </c>
      <c r="EG80" s="263">
        <f>IFERROR(IF(warehouse[[#This Row],[SKU]]="","",INDEX(inventory[ESISTENZA],MATCH(warehouse[[#This Row],[SKU]],inventory[ARTICOLO],0))),"")</f>
        <v>0</v>
      </c>
      <c r="EH80" s="328"/>
      <c r="EI80" s="328"/>
      <c r="EJ80" s="263"/>
      <c r="EK80" s="329"/>
    </row>
    <row r="81" spans="59:141" ht="15" customHeight="1" x14ac:dyDescent="0.35">
      <c r="BG81" s="296"/>
      <c r="BK81" s="450"/>
      <c r="BL81" s="451"/>
      <c r="BM81" s="452"/>
      <c r="BN81" s="451"/>
      <c r="BO81" s="452"/>
      <c r="BZ81" s="168"/>
      <c r="CA81" s="154" t="str">
        <f>IF(BZ81="","",INDEX(bhpc_data[description],MATCH(BZ81,bhpc_data[sku],0)))</f>
        <v/>
      </c>
      <c r="CB81" s="159"/>
      <c r="CC81" s="357"/>
      <c r="CD81" s="169"/>
      <c r="CE81" s="361"/>
      <c r="CF81" s="170"/>
      <c r="CG81" s="164" t="str">
        <f>IFERROR(ROUNDUP(CB81/INDEX(bhpc_data[units_per_carton],MATCH(BZ81,bhpc_data[sku],0)),0),"")</f>
        <v/>
      </c>
      <c r="CH81" s="165" t="str">
        <f>IFERROR(ROUNDUP(CD81/INDEX(bhpc_data[units_per_carton],MATCH(BZ81,bhpc_data[sku],0)),0),"")</f>
        <v/>
      </c>
      <c r="CI81" s="165" t="str">
        <f>IFERROR(ROUNDUP(CF81/INDEX(bhpc_data[units_per_carton],MATCH(BZ81,bhpc_data[sku])),0),"")</f>
        <v/>
      </c>
      <c r="CJ81" s="165" t="str">
        <f>IFERROR(((CB81+CD81+CF81)/INDEX(bhpc_data[units_per_carton],MATCH(BZ81,bhpc_data[sku],0)))*INDEX(bhpc_data[net_weight],MATCH(BZ81,bhpc_data[sku],0)),"")</f>
        <v/>
      </c>
      <c r="CK81" s="165" t="str">
        <f>IFERROR(((CB81+CD81+CF81)/INDEX(bhpc_data[units_per_carton],MATCH(BZ81,bhpc_data[sku],0)))*INDEX(bhpc_data[gross_weight],MATCH(BZ81,bhpc_data[sku],0)),"")</f>
        <v/>
      </c>
      <c r="CL81" s="180" t="str">
        <f>IFERROR((CB81+CD81+CF81)/INDEX(bhpc_data[units_per_carton],MATCH(BZ81,bhpc_data[sku],0))*INDEX(bhpc_data[lenght],MATCH(BZ81,bhpc_data[sku],0))*INDEX(bhpc_data[width],MATCH(BZ81,bhpc_data[sku],0))*INDEX(bhpc_data[height],MATCH(BZ81,bhpc_data[sku],0))/1000000000,"")</f>
        <v/>
      </c>
      <c r="CM81" s="189" t="str">
        <f>IFERROR(INDEX(bhpc_data[category],MATCH(BZ81,bhpc_data[sku],0)),"")</f>
        <v/>
      </c>
      <c r="CN81" s="189" t="str">
        <f>IFERROR(INDEX(bhpc_data[size1],MATCH(BZ81,bhpc_data[sku],0)),"")</f>
        <v/>
      </c>
      <c r="CO81" s="388" t="str">
        <f>IFERROR(INDEX(bhpc_data[hs_code],MATCH(BZ81,bhpc_data[sku],0)),"")</f>
        <v/>
      </c>
      <c r="CP81" s="377" t="str">
        <f>IFERROR(INDEX(inventory[ESISTENZA],MATCH(BZ81,inventory[ARTICOLO],0)),"")</f>
        <v/>
      </c>
      <c r="CQ81" s="364" t="str">
        <f>IFERROR(IF(BZ81="","",IF($BX$15="SALE",INDEX(inventory[COSTO UNITARIO],MATCH(BZ81,inventory[ARTICOLO],0)),IF($BX$15="SAMPLING",INDEX(inventory[COSTO UNITARIO],MATCH(BZ81,inventory[ARTICOLO],0)),""))),"")</f>
        <v/>
      </c>
      <c r="CR81" s="365" t="str">
        <f t="shared" si="5"/>
        <v/>
      </c>
      <c r="CS81" s="264" t="str">
        <f t="shared" si="6"/>
        <v/>
      </c>
      <c r="DA81" s="432" t="str">
        <f>IFERROR(VLOOKUP(BZ81,bhpc_data[],22,FALSE),"")</f>
        <v/>
      </c>
      <c r="EE81" s="202" t="str" cm="1">
        <f t="array" ref="EE81">IFERROR(IF($EC$9="",IF($EC$11="",IF($EC$13="",INDEX(bhpc_data[sku],SMALL(MATCH(ROW(bhpc_data[sku]),ROW(bhpc_data[sku])),ROWS($A$15:A86)+$B$3)),INDEX(bhpc_data[sku],SMALL(IF(ISNUMBER(MATCH(bhpc_data[size1],$EC$13,0)),MATCH(ROW(bhpc_data[sku]),ROW(bhpc_data[sku])),""),ROWS($A$15:A86)+$B$3))),IF($EC$13="",INDEX(bhpc_data[sku],SMALL(IF(ISNUMBER(MATCH(bhpc_data[sex],$EC$11,0)),MATCH(ROW(bhpc_data[sku]),ROW(bhpc_data[sku])),""),ROWS($A$15:A86)+$B$3)),INDEX(bhpc_data[sku],SMALL(IF(ISNUMBER(MATCH(bhpc_data[sex],$EC$11,0)*MATCH(bhpc_data[size1],$EC$13,0)),MATCH(ROW(bhpc_data[sku]),ROW(bhpc_data[sku])),""),ROWS($A$15:A86)+$B$3)))),IF($EC$11="",IF($EC$13="",INDEX(bhpc_data[sku],SMALL(IF(ISNUMBER(MATCH(bhpc_data[category],$EC$9,0)),MATCH(ROW(bhpc_data[sku]),ROW(bhpc_data[sku])),""),ROWS($A$15:A86)+$B$3)),INDEX(bhpc_data[sku],SMALL(IF(ISNUMBER(MATCH(bhpc_data[category],$EC$9,0)*MATCH(bhpc_data[size1],$EC$13,0)),MATCH(ROW(bhpc_data[sku]),ROW(bhpc_data[sku])),""),ROWS($A$15:A86)+$B$3))),IF($EC$13="",INDEX(bhpc_data[sku],SMALL(IF(ISNUMBER(MATCH(bhpc_data[category],$EC$9,0)*MATCH(bhpc_data[sex],$EC$11,0)),MATCH(ROW(bhpc_data[sku]),ROW(bhpc_data[sku])),""),ROWS($A$15:A86)+$B$3)),INDEX(bhpc_data[sku],SMALL(IF(ISNUMBER(MATCH(bhpc_data[category],$EC$9,0)*MATCH(bhpc_data[sex],$EC$11,0)*MATCH(bhpc_data[size1],$EC$13,0)),MATCH(ROW(bhpc_data[sku]),ROW(bhpc_data[sku])),""),ROWS($A$15:A86)+$B$3))))),"")</f>
        <v>P06013</v>
      </c>
      <c r="EF81" s="198" t="str" cm="1">
        <f t="array" ref="EF81">IFERROR(IF($EC$9="",IF($EC$11="",IF($EC$13="",INDEX(bhpc_data[description],SMALL(MATCH(ROW(bhpc_data[sku]),ROW(bhpc_data[sku])),ROWS($A$15:A86)+$B$3)),INDEX(bhpc_data[description],SMALL(IF(ISNUMBER(MATCH(bhpc_data[size1],$EC$13,0)),MATCH(ROW(bhpc_data[sku]),ROW(bhpc_data[sku])),""),ROWS($A$15:A86)+$B$3))),IF($EC$13="",INDEX(bhpc_data[description],SMALL(IF(ISNUMBER(MATCH(bhpc_data[sex],$EC$11,0)),MATCH(ROW(bhpc_data[sku]),ROW(bhpc_data[sku])),""),ROWS($A$15:A86)+$B$3)),INDEX(bhpc_data[description],SMALL(IF(ISNUMBER(MATCH(bhpc_data[sex],$EC$11,0)*MATCH(bhpc_data[size1],$EC$13,0)),MATCH(ROW(bhpc_data[sku]),ROW(bhpc_data[sku])),""),ROWS($A$15:A86)+$B$3)))),IF($EC$11="",IF($EC$13="",INDEX(bhpc_data[description],SMALL(IF(ISNUMBER(MATCH(bhpc_data[category],$EC$9,0)),MATCH(ROW(bhpc_data[sku]),ROW(bhpc_data[sku])),""),ROWS($A$15:A86)+$B$3)),INDEX(bhpc_data[description],SMALL(IF(ISNUMBER(MATCH(bhpc_data[category],$EC$9,0)*MATCH(bhpc_data[size1],$EC$13,0)),MATCH(ROW(bhpc_data[sku]),ROW(bhpc_data[sku])),""),ROWS($A$15:A86)+$B$3))),IF($EC$13="",INDEX(bhpc_data[description],SMALL(IF(ISNUMBER(MATCH(bhpc_data[category],$EC$9,0)*MATCH(bhpc_data[sex],$EC$11,0)),MATCH(ROW(bhpc_data[sku]),ROW(bhpc_data[sku])),""),ROWS($A$15:A86)+$B$3)),INDEX(bhpc_data[description],SMALL(IF(ISNUMBER(MATCH(bhpc_data[category],$EC$9,0)*MATCH(bhpc_data[sex],$EC$11,0)*MATCH(bhpc_data[size1],$EC$13,0)),MATCH(ROW(bhpc_data[sku]),ROW(bhpc_data[sku])),""),ROWS($A$15:A86)+$B$3))))),"")</f>
        <v>BHPC HERITAGE OUD DEO 300ML</v>
      </c>
      <c r="EG81" s="263">
        <f>IFERROR(IF(warehouse[[#This Row],[SKU]]="","",INDEX(inventory[ESISTENZA],MATCH(warehouse[[#This Row],[SKU]],inventory[ARTICOLO],0))),"")</f>
        <v>0</v>
      </c>
      <c r="EH81" s="328"/>
      <c r="EI81" s="328"/>
      <c r="EJ81" s="263"/>
      <c r="EK81" s="329"/>
    </row>
    <row r="82" spans="59:141" ht="15" customHeight="1" x14ac:dyDescent="0.35">
      <c r="BG82" s="296"/>
      <c r="BK82" s="450"/>
      <c r="BL82" s="451"/>
      <c r="BM82" s="452"/>
      <c r="BN82" s="451"/>
      <c r="BO82" s="452"/>
      <c r="BZ82" s="168"/>
      <c r="CA82" s="154" t="str">
        <f>IF(BZ82="","",INDEX(bhpc_data[description],MATCH(BZ82,bhpc_data[sku],0)))</f>
        <v/>
      </c>
      <c r="CB82" s="159"/>
      <c r="CC82" s="357"/>
      <c r="CD82" s="169"/>
      <c r="CE82" s="361"/>
      <c r="CF82" s="170"/>
      <c r="CG82" s="164" t="str">
        <f>IFERROR(ROUNDUP(CB82/INDEX(bhpc_data[units_per_carton],MATCH(BZ82,bhpc_data[sku],0)),0),"")</f>
        <v/>
      </c>
      <c r="CH82" s="165" t="str">
        <f>IFERROR(ROUNDUP(CD82/INDEX(bhpc_data[units_per_carton],MATCH(BZ82,bhpc_data[sku],0)),0),"")</f>
        <v/>
      </c>
      <c r="CI82" s="165" t="str">
        <f>IFERROR(ROUNDUP(CF82/INDEX(bhpc_data[units_per_carton],MATCH(BZ82,bhpc_data[sku])),0),"")</f>
        <v/>
      </c>
      <c r="CJ82" s="165" t="str">
        <f>IFERROR(((CB82+CD82+CF82)/INDEX(bhpc_data[units_per_carton],MATCH(BZ82,bhpc_data[sku],0)))*INDEX(bhpc_data[net_weight],MATCH(BZ82,bhpc_data[sku],0)),"")</f>
        <v/>
      </c>
      <c r="CK82" s="165" t="str">
        <f>IFERROR(((CB82+CD82+CF82)/INDEX(bhpc_data[units_per_carton],MATCH(BZ82,bhpc_data[sku],0)))*INDEX(bhpc_data[gross_weight],MATCH(BZ82,bhpc_data[sku],0)),"")</f>
        <v/>
      </c>
      <c r="CL82" s="180" t="str">
        <f>IFERROR((CB82+CD82+CF82)/INDEX(bhpc_data[units_per_carton],MATCH(BZ82,bhpc_data[sku],0))*INDEX(bhpc_data[lenght],MATCH(BZ82,bhpc_data[sku],0))*INDEX(bhpc_data[width],MATCH(BZ82,bhpc_data[sku],0))*INDEX(bhpc_data[height],MATCH(BZ82,bhpc_data[sku],0))/1000000000,"")</f>
        <v/>
      </c>
      <c r="CM82" s="189" t="str">
        <f>IFERROR(INDEX(bhpc_data[category],MATCH(BZ82,bhpc_data[sku],0)),"")</f>
        <v/>
      </c>
      <c r="CN82" s="189" t="str">
        <f>IFERROR(INDEX(bhpc_data[size1],MATCH(BZ82,bhpc_data[sku],0)),"")</f>
        <v/>
      </c>
      <c r="CO82" s="388" t="str">
        <f>IFERROR(INDEX(bhpc_data[hs_code],MATCH(BZ82,bhpc_data[sku],0)),"")</f>
        <v/>
      </c>
      <c r="CP82" s="377" t="str">
        <f>IFERROR(INDEX(inventory[ESISTENZA],MATCH(BZ82,inventory[ARTICOLO],0)),"")</f>
        <v/>
      </c>
      <c r="CQ82" s="364" t="str">
        <f>IFERROR(IF(BZ82="","",IF($BX$15="SALE",INDEX(inventory[COSTO UNITARIO],MATCH(BZ82,inventory[ARTICOLO],0)),IF($BX$15="SAMPLING",INDEX(inventory[COSTO UNITARIO],MATCH(BZ82,inventory[ARTICOLO],0)),""))),"")</f>
        <v/>
      </c>
      <c r="CR82" s="365" t="str">
        <f t="shared" si="5"/>
        <v/>
      </c>
      <c r="CS82" s="264" t="str">
        <f t="shared" si="6"/>
        <v/>
      </c>
      <c r="DA82" s="432" t="str">
        <f>IFERROR(VLOOKUP(BZ82,bhpc_data[],22,FALSE),"")</f>
        <v/>
      </c>
      <c r="EE82" s="202" t="str" cm="1">
        <f t="array" ref="EE82">IFERROR(IF($EC$9="",IF($EC$11="",IF($EC$13="",INDEX(bhpc_data[sku],SMALL(MATCH(ROW(bhpc_data[sku]),ROW(bhpc_data[sku])),ROWS($A$15:A87)+$B$3)),INDEX(bhpc_data[sku],SMALL(IF(ISNUMBER(MATCH(bhpc_data[size1],$EC$13,0)),MATCH(ROW(bhpc_data[sku]),ROW(bhpc_data[sku])),""),ROWS($A$15:A87)+$B$3))),IF($EC$13="",INDEX(bhpc_data[sku],SMALL(IF(ISNUMBER(MATCH(bhpc_data[sex],$EC$11,0)),MATCH(ROW(bhpc_data[sku]),ROW(bhpc_data[sku])),""),ROWS($A$15:A87)+$B$3)),INDEX(bhpc_data[sku],SMALL(IF(ISNUMBER(MATCH(bhpc_data[sex],$EC$11,0)*MATCH(bhpc_data[size1],$EC$13,0)),MATCH(ROW(bhpc_data[sku]),ROW(bhpc_data[sku])),""),ROWS($A$15:A87)+$B$3)))),IF($EC$11="",IF($EC$13="",INDEX(bhpc_data[sku],SMALL(IF(ISNUMBER(MATCH(bhpc_data[category],$EC$9,0)),MATCH(ROW(bhpc_data[sku]),ROW(bhpc_data[sku])),""),ROWS($A$15:A87)+$B$3)),INDEX(bhpc_data[sku],SMALL(IF(ISNUMBER(MATCH(bhpc_data[category],$EC$9,0)*MATCH(bhpc_data[size1],$EC$13,0)),MATCH(ROW(bhpc_data[sku]),ROW(bhpc_data[sku])),""),ROWS($A$15:A87)+$B$3))),IF($EC$13="",INDEX(bhpc_data[sku],SMALL(IF(ISNUMBER(MATCH(bhpc_data[category],$EC$9,0)*MATCH(bhpc_data[sex],$EC$11,0)),MATCH(ROW(bhpc_data[sku]),ROW(bhpc_data[sku])),""),ROWS($A$15:A87)+$B$3)),INDEX(bhpc_data[sku],SMALL(IF(ISNUMBER(MATCH(bhpc_data[category],$EC$9,0)*MATCH(bhpc_data[sex],$EC$11,0)*MATCH(bhpc_data[size1],$EC$13,0)),MATCH(ROW(bhpc_data[sku]),ROW(bhpc_data[sku])),""),ROWS($A$15:A87)+$B$3))))),"")</f>
        <v>P06014</v>
      </c>
      <c r="EF82" s="198" t="str" cm="1">
        <f t="array" ref="EF82">IFERROR(IF($EC$9="",IF($EC$11="",IF($EC$13="",INDEX(bhpc_data[description],SMALL(MATCH(ROW(bhpc_data[sku]),ROW(bhpc_data[sku])),ROWS($A$15:A87)+$B$3)),INDEX(bhpc_data[description],SMALL(IF(ISNUMBER(MATCH(bhpc_data[size1],$EC$13,0)),MATCH(ROW(bhpc_data[sku]),ROW(bhpc_data[sku])),""),ROWS($A$15:A87)+$B$3))),IF($EC$13="",INDEX(bhpc_data[description],SMALL(IF(ISNUMBER(MATCH(bhpc_data[sex],$EC$11,0)),MATCH(ROW(bhpc_data[sku]),ROW(bhpc_data[sku])),""),ROWS($A$15:A87)+$B$3)),INDEX(bhpc_data[description],SMALL(IF(ISNUMBER(MATCH(bhpc_data[sex],$EC$11,0)*MATCH(bhpc_data[size1],$EC$13,0)),MATCH(ROW(bhpc_data[sku]),ROW(bhpc_data[sku])),""),ROWS($A$15:A87)+$B$3)))),IF($EC$11="",IF($EC$13="",INDEX(bhpc_data[description],SMALL(IF(ISNUMBER(MATCH(bhpc_data[category],$EC$9,0)),MATCH(ROW(bhpc_data[sku]),ROW(bhpc_data[sku])),""),ROWS($A$15:A87)+$B$3)),INDEX(bhpc_data[description],SMALL(IF(ISNUMBER(MATCH(bhpc_data[category],$EC$9,0)*MATCH(bhpc_data[size1],$EC$13,0)),MATCH(ROW(bhpc_data[sku]),ROW(bhpc_data[sku])),""),ROWS($A$15:A87)+$B$3))),IF($EC$13="",INDEX(bhpc_data[description],SMALL(IF(ISNUMBER(MATCH(bhpc_data[category],$EC$9,0)*MATCH(bhpc_data[sex],$EC$11,0)),MATCH(ROW(bhpc_data[sku]),ROW(bhpc_data[sku])),""),ROWS($A$15:A87)+$B$3)),INDEX(bhpc_data[description],SMALL(IF(ISNUMBER(MATCH(bhpc_data[category],$EC$9,0)*MATCH(bhpc_data[sex],$EC$11,0)*MATCH(bhpc_data[size1],$EC$13,0)),MATCH(ROW(bhpc_data[sku]),ROW(bhpc_data[sku])),""),ROWS($A$15:A87)+$B$3))))),"")</f>
        <v>BHPC TOUR DEO 300ML</v>
      </c>
      <c r="EG82" s="263">
        <f>IFERROR(IF(warehouse[[#This Row],[SKU]]="","",INDEX(inventory[ESISTENZA],MATCH(warehouse[[#This Row],[SKU]],inventory[ARTICOLO],0))),"")</f>
        <v>0</v>
      </c>
      <c r="EH82" s="328"/>
      <c r="EI82" s="328"/>
      <c r="EJ82" s="263"/>
      <c r="EK82" s="329"/>
    </row>
    <row r="83" spans="59:141" ht="15" customHeight="1" x14ac:dyDescent="0.35">
      <c r="BG83" s="296"/>
      <c r="BK83" s="450"/>
      <c r="BL83" s="451"/>
      <c r="BM83" s="452"/>
      <c r="BN83" s="451"/>
      <c r="BO83" s="452"/>
      <c r="BZ83" s="168"/>
      <c r="CA83" s="154" t="str">
        <f>IF(BZ83="","",INDEX(bhpc_data[description],MATCH(BZ83,bhpc_data[sku],0)))</f>
        <v/>
      </c>
      <c r="CB83" s="159"/>
      <c r="CC83" s="357"/>
      <c r="CD83" s="169"/>
      <c r="CE83" s="361"/>
      <c r="CF83" s="170"/>
      <c r="CG83" s="164" t="str">
        <f>IFERROR(ROUNDUP(CB83/INDEX(bhpc_data[units_per_carton],MATCH(BZ83,bhpc_data[sku],0)),0),"")</f>
        <v/>
      </c>
      <c r="CH83" s="165" t="str">
        <f>IFERROR(ROUNDUP(CD83/INDEX(bhpc_data[units_per_carton],MATCH(BZ83,bhpc_data[sku],0)),0),"")</f>
        <v/>
      </c>
      <c r="CI83" s="165" t="str">
        <f>IFERROR(ROUNDUP(CF83/INDEX(bhpc_data[units_per_carton],MATCH(BZ83,bhpc_data[sku])),0),"")</f>
        <v/>
      </c>
      <c r="CJ83" s="165" t="str">
        <f>IFERROR(((CB83+CD83+CF83)/INDEX(bhpc_data[units_per_carton],MATCH(BZ83,bhpc_data[sku],0)))*INDEX(bhpc_data[net_weight],MATCH(BZ83,bhpc_data[sku],0)),"")</f>
        <v/>
      </c>
      <c r="CK83" s="165" t="str">
        <f>IFERROR(((CB83+CD83+CF83)/INDEX(bhpc_data[units_per_carton],MATCH(BZ83,bhpc_data[sku],0)))*INDEX(bhpc_data[gross_weight],MATCH(BZ83,bhpc_data[sku],0)),"")</f>
        <v/>
      </c>
      <c r="CL83" s="180" t="str">
        <f>IFERROR((CB83+CD83+CF83)/INDEX(bhpc_data[units_per_carton],MATCH(BZ83,bhpc_data[sku],0))*INDEX(bhpc_data[lenght],MATCH(BZ83,bhpc_data[sku],0))*INDEX(bhpc_data[width],MATCH(BZ83,bhpc_data[sku],0))*INDEX(bhpc_data[height],MATCH(BZ83,bhpc_data[sku],0))/1000000000,"")</f>
        <v/>
      </c>
      <c r="CM83" s="189" t="str">
        <f>IFERROR(INDEX(bhpc_data[category],MATCH(BZ83,bhpc_data[sku],0)),"")</f>
        <v/>
      </c>
      <c r="CN83" s="189" t="str">
        <f>IFERROR(INDEX(bhpc_data[size1],MATCH(BZ83,bhpc_data[sku],0)),"")</f>
        <v/>
      </c>
      <c r="CO83" s="388" t="str">
        <f>IFERROR(INDEX(bhpc_data[hs_code],MATCH(BZ83,bhpc_data[sku],0)),"")</f>
        <v/>
      </c>
      <c r="CP83" s="377" t="str">
        <f>IFERROR(INDEX(inventory[ESISTENZA],MATCH(BZ83,inventory[ARTICOLO],0)),"")</f>
        <v/>
      </c>
      <c r="CQ83" s="364" t="str">
        <f>IFERROR(IF(BZ83="","",IF($BX$15="SALE",INDEX(inventory[COSTO UNITARIO],MATCH(BZ83,inventory[ARTICOLO],0)),IF($BX$15="SAMPLING",INDEX(inventory[COSTO UNITARIO],MATCH(BZ83,inventory[ARTICOLO],0)),""))),"")</f>
        <v/>
      </c>
      <c r="CR83" s="365" t="str">
        <f t="shared" si="5"/>
        <v/>
      </c>
      <c r="CS83" s="264" t="str">
        <f t="shared" si="6"/>
        <v/>
      </c>
      <c r="DA83" s="432" t="str">
        <f>IFERROR(VLOOKUP(BZ83,bhpc_data[],22,FALSE),"")</f>
        <v/>
      </c>
      <c r="EE83" s="202" t="str" cm="1">
        <f t="array" ref="EE83">IFERROR(IF($EC$9="",IF($EC$11="",IF($EC$13="",INDEX(bhpc_data[sku],SMALL(MATCH(ROW(bhpc_data[sku]),ROW(bhpc_data[sku])),ROWS($A$15:A88)+$B$3)),INDEX(bhpc_data[sku],SMALL(IF(ISNUMBER(MATCH(bhpc_data[size1],$EC$13,0)),MATCH(ROW(bhpc_data[sku]),ROW(bhpc_data[sku])),""),ROWS($A$15:A88)+$B$3))),IF($EC$13="",INDEX(bhpc_data[sku],SMALL(IF(ISNUMBER(MATCH(bhpc_data[sex],$EC$11,0)),MATCH(ROW(bhpc_data[sku]),ROW(bhpc_data[sku])),""),ROWS($A$15:A88)+$B$3)),INDEX(bhpc_data[sku],SMALL(IF(ISNUMBER(MATCH(bhpc_data[sex],$EC$11,0)*MATCH(bhpc_data[size1],$EC$13,0)),MATCH(ROW(bhpc_data[sku]),ROW(bhpc_data[sku])),""),ROWS($A$15:A88)+$B$3)))),IF($EC$11="",IF($EC$13="",INDEX(bhpc_data[sku],SMALL(IF(ISNUMBER(MATCH(bhpc_data[category],$EC$9,0)),MATCH(ROW(bhpc_data[sku]),ROW(bhpc_data[sku])),""),ROWS($A$15:A88)+$B$3)),INDEX(bhpc_data[sku],SMALL(IF(ISNUMBER(MATCH(bhpc_data[category],$EC$9,0)*MATCH(bhpc_data[size1],$EC$13,0)),MATCH(ROW(bhpc_data[sku]),ROW(bhpc_data[sku])),""),ROWS($A$15:A88)+$B$3))),IF($EC$13="",INDEX(bhpc_data[sku],SMALL(IF(ISNUMBER(MATCH(bhpc_data[category],$EC$9,0)*MATCH(bhpc_data[sex],$EC$11,0)),MATCH(ROW(bhpc_data[sku]),ROW(bhpc_data[sku])),""),ROWS($A$15:A88)+$B$3)),INDEX(bhpc_data[sku],SMALL(IF(ISNUMBER(MATCH(bhpc_data[category],$EC$9,0)*MATCH(bhpc_data[sex],$EC$11,0)*MATCH(bhpc_data[size1],$EC$13,0)),MATCH(ROW(bhpc_data[sku]),ROW(bhpc_data[sku])),""),ROWS($A$15:A88)+$B$3))))),"")</f>
        <v>P06015</v>
      </c>
      <c r="EF83" s="198" t="str" cm="1">
        <f t="array" ref="EF83">IFERROR(IF($EC$9="",IF($EC$11="",IF($EC$13="",INDEX(bhpc_data[description],SMALL(MATCH(ROW(bhpc_data[sku]),ROW(bhpc_data[sku])),ROWS($A$15:A88)+$B$3)),INDEX(bhpc_data[description],SMALL(IF(ISNUMBER(MATCH(bhpc_data[size1],$EC$13,0)),MATCH(ROW(bhpc_data[sku]),ROW(bhpc_data[sku])),""),ROWS($A$15:A88)+$B$3))),IF($EC$13="",INDEX(bhpc_data[description],SMALL(IF(ISNUMBER(MATCH(bhpc_data[sex],$EC$11,0)),MATCH(ROW(bhpc_data[sku]),ROW(bhpc_data[sku])),""),ROWS($A$15:A88)+$B$3)),INDEX(bhpc_data[description],SMALL(IF(ISNUMBER(MATCH(bhpc_data[sex],$EC$11,0)*MATCH(bhpc_data[size1],$EC$13,0)),MATCH(ROW(bhpc_data[sku]),ROW(bhpc_data[sku])),""),ROWS($A$15:A88)+$B$3)))),IF($EC$11="",IF($EC$13="",INDEX(bhpc_data[description],SMALL(IF(ISNUMBER(MATCH(bhpc_data[category],$EC$9,0)),MATCH(ROW(bhpc_data[sku]),ROW(bhpc_data[sku])),""),ROWS($A$15:A88)+$B$3)),INDEX(bhpc_data[description],SMALL(IF(ISNUMBER(MATCH(bhpc_data[category],$EC$9,0)*MATCH(bhpc_data[size1],$EC$13,0)),MATCH(ROW(bhpc_data[sku]),ROW(bhpc_data[sku])),""),ROWS($A$15:A88)+$B$3))),IF($EC$13="",INDEX(bhpc_data[description],SMALL(IF(ISNUMBER(MATCH(bhpc_data[category],$EC$9,0)*MATCH(bhpc_data[sex],$EC$11,0)),MATCH(ROW(bhpc_data[sku]),ROW(bhpc_data[sku])),""),ROWS($A$15:A88)+$B$3)),INDEX(bhpc_data[description],SMALL(IF(ISNUMBER(MATCH(bhpc_data[category],$EC$9,0)*MATCH(bhpc_data[sex],$EC$11,0)*MATCH(bhpc_data[size1],$EC$13,0)),MATCH(ROW(bhpc_data[sku]),ROW(bhpc_data[sku])),""),ROWS($A$15:A88)+$B$3))))),"")</f>
        <v>BHPC TITAN DEO 300ML</v>
      </c>
      <c r="EG83" s="263">
        <f>IFERROR(IF(warehouse[[#This Row],[SKU]]="","",INDEX(inventory[ESISTENZA],MATCH(warehouse[[#This Row],[SKU]],inventory[ARTICOLO],0))),"")</f>
        <v>0</v>
      </c>
      <c r="EH83" s="328"/>
      <c r="EI83" s="328"/>
      <c r="EJ83" s="263"/>
      <c r="EK83" s="329"/>
    </row>
    <row r="84" spans="59:141" ht="15" customHeight="1" x14ac:dyDescent="0.35">
      <c r="BK84" s="450"/>
      <c r="BL84" s="451"/>
      <c r="BM84" s="452"/>
      <c r="BN84" s="451"/>
      <c r="BO84" s="452"/>
      <c r="BZ84" s="168"/>
      <c r="CA84" s="154" t="str">
        <f>IF(BZ84="","",INDEX(bhpc_data[description],MATCH(BZ84,bhpc_data[sku],0)))</f>
        <v/>
      </c>
      <c r="CB84" s="159"/>
      <c r="CC84" s="357"/>
      <c r="CD84" s="169"/>
      <c r="CE84" s="361"/>
      <c r="CF84" s="170"/>
      <c r="CG84" s="164" t="str">
        <f>IFERROR(ROUNDUP(CB84/INDEX(bhpc_data[units_per_carton],MATCH(BZ84,bhpc_data[sku],0)),0),"")</f>
        <v/>
      </c>
      <c r="CH84" s="165" t="str">
        <f>IFERROR(ROUNDUP(CD84/INDEX(bhpc_data[units_per_carton],MATCH(BZ84,bhpc_data[sku],0)),0),"")</f>
        <v/>
      </c>
      <c r="CI84" s="165" t="str">
        <f>IFERROR(ROUNDUP(CF84/INDEX(bhpc_data[units_per_carton],MATCH(BZ84,bhpc_data[sku])),0),"")</f>
        <v/>
      </c>
      <c r="CJ84" s="165" t="str">
        <f>IFERROR(((CB84+CD84+CF84)/INDEX(bhpc_data[units_per_carton],MATCH(BZ84,bhpc_data[sku],0)))*INDEX(bhpc_data[net_weight],MATCH(BZ84,bhpc_data[sku],0)),"")</f>
        <v/>
      </c>
      <c r="CK84" s="165" t="str">
        <f>IFERROR(((CB84+CD84+CF84)/INDEX(bhpc_data[units_per_carton],MATCH(BZ84,bhpc_data[sku],0)))*INDEX(bhpc_data[gross_weight],MATCH(BZ84,bhpc_data[sku],0)),"")</f>
        <v/>
      </c>
      <c r="CL84" s="180" t="str">
        <f>IFERROR((CB84+CD84+CF84)/INDEX(bhpc_data[units_per_carton],MATCH(BZ84,bhpc_data[sku],0))*INDEX(bhpc_data[lenght],MATCH(BZ84,bhpc_data[sku],0))*INDEX(bhpc_data[width],MATCH(BZ84,bhpc_data[sku],0))*INDEX(bhpc_data[height],MATCH(BZ84,bhpc_data[sku],0))/1000000000,"")</f>
        <v/>
      </c>
      <c r="CM84" s="189" t="str">
        <f>IFERROR(INDEX(bhpc_data[category],MATCH(BZ84,bhpc_data[sku],0)),"")</f>
        <v/>
      </c>
      <c r="CN84" s="189" t="str">
        <f>IFERROR(INDEX(bhpc_data[size1],MATCH(BZ84,bhpc_data[sku],0)),"")</f>
        <v/>
      </c>
      <c r="CO84" s="388" t="str">
        <f>IFERROR(INDEX(bhpc_data[hs_code],MATCH(BZ84,bhpc_data[sku],0)),"")</f>
        <v/>
      </c>
      <c r="CP84" s="377" t="str">
        <f>IFERROR(INDEX(inventory[ESISTENZA],MATCH(BZ84,inventory[ARTICOLO],0)),"")</f>
        <v/>
      </c>
      <c r="CQ84" s="364" t="str">
        <f>IFERROR(IF(BZ84="","",IF($BX$15="SALE",INDEX(inventory[COSTO UNITARIO],MATCH(BZ84,inventory[ARTICOLO],0)),IF($BX$15="SAMPLING",INDEX(inventory[COSTO UNITARIO],MATCH(BZ84,inventory[ARTICOLO],0)),""))),"")</f>
        <v/>
      </c>
      <c r="CR84" s="365" t="str">
        <f t="shared" si="5"/>
        <v/>
      </c>
      <c r="CS84" s="264" t="str">
        <f t="shared" si="6"/>
        <v/>
      </c>
      <c r="DA84" s="432" t="str">
        <f>IFERROR(VLOOKUP(BZ84,bhpc_data[],22,FALSE),"")</f>
        <v/>
      </c>
      <c r="EE84" s="202" t="str" cm="1">
        <f t="array" ref="EE84">IFERROR(IF($EC$9="",IF($EC$11="",IF($EC$13="",INDEX(bhpc_data[sku],SMALL(MATCH(ROW(bhpc_data[sku]),ROW(bhpc_data[sku])),ROWS($A$15:A89)+$B$3)),INDEX(bhpc_data[sku],SMALL(IF(ISNUMBER(MATCH(bhpc_data[size1],$EC$13,0)),MATCH(ROW(bhpc_data[sku]),ROW(bhpc_data[sku])),""),ROWS($A$15:A89)+$B$3))),IF($EC$13="",INDEX(bhpc_data[sku],SMALL(IF(ISNUMBER(MATCH(bhpc_data[sex],$EC$11,0)),MATCH(ROW(bhpc_data[sku]),ROW(bhpc_data[sku])),""),ROWS($A$15:A89)+$B$3)),INDEX(bhpc_data[sku],SMALL(IF(ISNUMBER(MATCH(bhpc_data[sex],$EC$11,0)*MATCH(bhpc_data[size1],$EC$13,0)),MATCH(ROW(bhpc_data[sku]),ROW(bhpc_data[sku])),""),ROWS($A$15:A89)+$B$3)))),IF($EC$11="",IF($EC$13="",INDEX(bhpc_data[sku],SMALL(IF(ISNUMBER(MATCH(bhpc_data[category],$EC$9,0)),MATCH(ROW(bhpc_data[sku]),ROW(bhpc_data[sku])),""),ROWS($A$15:A89)+$B$3)),INDEX(bhpc_data[sku],SMALL(IF(ISNUMBER(MATCH(bhpc_data[category],$EC$9,0)*MATCH(bhpc_data[size1],$EC$13,0)),MATCH(ROW(bhpc_data[sku]),ROW(bhpc_data[sku])),""),ROWS($A$15:A89)+$B$3))),IF($EC$13="",INDEX(bhpc_data[sku],SMALL(IF(ISNUMBER(MATCH(bhpc_data[category],$EC$9,0)*MATCH(bhpc_data[sex],$EC$11,0)),MATCH(ROW(bhpc_data[sku]),ROW(bhpc_data[sku])),""),ROWS($A$15:A89)+$B$3)),INDEX(bhpc_data[sku],SMALL(IF(ISNUMBER(MATCH(bhpc_data[category],$EC$9,0)*MATCH(bhpc_data[sex],$EC$11,0)*MATCH(bhpc_data[size1],$EC$13,0)),MATCH(ROW(bhpc_data[sku]),ROW(bhpc_data[sku])),""),ROWS($A$15:A89)+$B$3))))),"")</f>
        <v>P06020</v>
      </c>
      <c r="EF84" s="198" t="str" cm="1">
        <f t="array" ref="EF84">IFERROR(IF($EC$9="",IF($EC$11="",IF($EC$13="",INDEX(bhpc_data[description],SMALL(MATCH(ROW(bhpc_data[sku]),ROW(bhpc_data[sku])),ROWS($A$15:A89)+$B$3)),INDEX(bhpc_data[description],SMALL(IF(ISNUMBER(MATCH(bhpc_data[size1],$EC$13,0)),MATCH(ROW(bhpc_data[sku]),ROW(bhpc_data[sku])),""),ROWS($A$15:A89)+$B$3))),IF($EC$13="",INDEX(bhpc_data[description],SMALL(IF(ISNUMBER(MATCH(bhpc_data[sex],$EC$11,0)),MATCH(ROW(bhpc_data[sku]),ROW(bhpc_data[sku])),""),ROWS($A$15:A89)+$B$3)),INDEX(bhpc_data[description],SMALL(IF(ISNUMBER(MATCH(bhpc_data[sex],$EC$11,0)*MATCH(bhpc_data[size1],$EC$13,0)),MATCH(ROW(bhpc_data[sku]),ROW(bhpc_data[sku])),""),ROWS($A$15:A89)+$B$3)))),IF($EC$11="",IF($EC$13="",INDEX(bhpc_data[description],SMALL(IF(ISNUMBER(MATCH(bhpc_data[category],$EC$9,0)),MATCH(ROW(bhpc_data[sku]),ROW(bhpc_data[sku])),""),ROWS($A$15:A89)+$B$3)),INDEX(bhpc_data[description],SMALL(IF(ISNUMBER(MATCH(bhpc_data[category],$EC$9,0)*MATCH(bhpc_data[size1],$EC$13,0)),MATCH(ROW(bhpc_data[sku]),ROW(bhpc_data[sku])),""),ROWS($A$15:A89)+$B$3))),IF($EC$13="",INDEX(bhpc_data[description],SMALL(IF(ISNUMBER(MATCH(bhpc_data[category],$EC$9,0)*MATCH(bhpc_data[sex],$EC$11,0)),MATCH(ROW(bhpc_data[sku]),ROW(bhpc_data[sku])),""),ROWS($A$15:A89)+$B$3)),INDEX(bhpc_data[description],SMALL(IF(ISNUMBER(MATCH(bhpc_data[category],$EC$9,0)*MATCH(bhpc_data[sex],$EC$11,0)*MATCH(bhpc_data[size1],$EC$13,0)),MATCH(ROW(bhpc_data[sku]),ROW(bhpc_data[sku])),""),ROWS($A$15:A89)+$B$3))))),"")</f>
        <v>BHPC PRESTIGE KNIGHT 100ML EDP MEN</v>
      </c>
      <c r="EG84" s="263">
        <f>IFERROR(IF(warehouse[[#This Row],[SKU]]="","",INDEX(inventory[ESISTENZA],MATCH(warehouse[[#This Row],[SKU]],inventory[ARTICOLO],0))),"")</f>
        <v>1767</v>
      </c>
      <c r="EH84" s="328"/>
      <c r="EI84" s="328"/>
      <c r="EJ84" s="263"/>
      <c r="EK84" s="329"/>
    </row>
    <row r="85" spans="59:141" ht="15" customHeight="1" x14ac:dyDescent="0.35">
      <c r="BK85" s="450"/>
      <c r="BL85" s="451"/>
      <c r="BM85" s="452"/>
      <c r="BN85" s="451"/>
      <c r="BO85" s="452"/>
      <c r="BZ85" s="168"/>
      <c r="CA85" s="154" t="str">
        <f>IF(BZ85="","",INDEX(bhpc_data[description],MATCH(BZ85,bhpc_data[sku],0)))</f>
        <v/>
      </c>
      <c r="CB85" s="159"/>
      <c r="CC85" s="357"/>
      <c r="CD85" s="169"/>
      <c r="CE85" s="361"/>
      <c r="CF85" s="170"/>
      <c r="CG85" s="164" t="str">
        <f>IFERROR(ROUNDUP(CB85/INDEX(bhpc_data[units_per_carton],MATCH(BZ85,bhpc_data[sku],0)),0),"")</f>
        <v/>
      </c>
      <c r="CH85" s="165" t="str">
        <f>IFERROR(ROUNDUP(CD85/INDEX(bhpc_data[units_per_carton],MATCH(BZ85,bhpc_data[sku],0)),0),"")</f>
        <v/>
      </c>
      <c r="CI85" s="165" t="str">
        <f>IFERROR(ROUNDUP(CF85/INDEX(bhpc_data[units_per_carton],MATCH(BZ85,bhpc_data[sku])),0),"")</f>
        <v/>
      </c>
      <c r="CJ85" s="165" t="str">
        <f>IFERROR(((CB85+CD85+CF85)/INDEX(bhpc_data[units_per_carton],MATCH(BZ85,bhpc_data[sku],0)))*INDEX(bhpc_data[net_weight],MATCH(BZ85,bhpc_data[sku],0)),"")</f>
        <v/>
      </c>
      <c r="CK85" s="165" t="str">
        <f>IFERROR(((CB85+CD85+CF85)/INDEX(bhpc_data[units_per_carton],MATCH(BZ85,bhpc_data[sku],0)))*INDEX(bhpc_data[gross_weight],MATCH(BZ85,bhpc_data[sku],0)),"")</f>
        <v/>
      </c>
      <c r="CL85" s="180" t="str">
        <f>IFERROR((CB85+CD85+CF85)/INDEX(bhpc_data[units_per_carton],MATCH(BZ85,bhpc_data[sku],0))*INDEX(bhpc_data[lenght],MATCH(BZ85,bhpc_data[sku],0))*INDEX(bhpc_data[width],MATCH(BZ85,bhpc_data[sku],0))*INDEX(bhpc_data[height],MATCH(BZ85,bhpc_data[sku],0))/1000000000,"")</f>
        <v/>
      </c>
      <c r="CM85" s="189" t="str">
        <f>IFERROR(INDEX(bhpc_data[category],MATCH(BZ85,bhpc_data[sku],0)),"")</f>
        <v/>
      </c>
      <c r="CN85" s="189" t="str">
        <f>IFERROR(INDEX(bhpc_data[size1],MATCH(BZ85,bhpc_data[sku],0)),"")</f>
        <v/>
      </c>
      <c r="CO85" s="388" t="str">
        <f>IFERROR(INDEX(bhpc_data[hs_code],MATCH(BZ85,bhpc_data[sku],0)),"")</f>
        <v/>
      </c>
      <c r="CP85" s="377" t="str">
        <f>IFERROR(INDEX(inventory[ESISTENZA],MATCH(BZ85,inventory[ARTICOLO],0)),"")</f>
        <v/>
      </c>
      <c r="CQ85" s="364" t="str">
        <f>IFERROR(IF(BZ85="","",IF($BX$15="SALE",INDEX(inventory[COSTO UNITARIO],MATCH(BZ85,inventory[ARTICOLO],0)),IF($BX$15="SAMPLING",INDEX(inventory[COSTO UNITARIO],MATCH(BZ85,inventory[ARTICOLO],0)),""))),"")</f>
        <v/>
      </c>
      <c r="CR85" s="365" t="str">
        <f t="shared" si="5"/>
        <v/>
      </c>
      <c r="CS85" s="264" t="str">
        <f t="shared" si="6"/>
        <v/>
      </c>
      <c r="DA85" s="432" t="str">
        <f>IFERROR(VLOOKUP(BZ85,bhpc_data[],22,FALSE),"")</f>
        <v/>
      </c>
      <c r="EE85" s="202" t="str" cm="1">
        <f t="array" ref="EE85">IFERROR(IF($EC$9="",IF($EC$11="",IF($EC$13="",INDEX(bhpc_data[sku],SMALL(MATCH(ROW(bhpc_data[sku]),ROW(bhpc_data[sku])),ROWS($A$15:A90)+$B$3)),INDEX(bhpc_data[sku],SMALL(IF(ISNUMBER(MATCH(bhpc_data[size1],$EC$13,0)),MATCH(ROW(bhpc_data[sku]),ROW(bhpc_data[sku])),""),ROWS($A$15:A90)+$B$3))),IF($EC$13="",INDEX(bhpc_data[sku],SMALL(IF(ISNUMBER(MATCH(bhpc_data[sex],$EC$11,0)),MATCH(ROW(bhpc_data[sku]),ROW(bhpc_data[sku])),""),ROWS($A$15:A90)+$B$3)),INDEX(bhpc_data[sku],SMALL(IF(ISNUMBER(MATCH(bhpc_data[sex],$EC$11,0)*MATCH(bhpc_data[size1],$EC$13,0)),MATCH(ROW(bhpc_data[sku]),ROW(bhpc_data[sku])),""),ROWS($A$15:A90)+$B$3)))),IF($EC$11="",IF($EC$13="",INDEX(bhpc_data[sku],SMALL(IF(ISNUMBER(MATCH(bhpc_data[category],$EC$9,0)),MATCH(ROW(bhpc_data[sku]),ROW(bhpc_data[sku])),""),ROWS($A$15:A90)+$B$3)),INDEX(bhpc_data[sku],SMALL(IF(ISNUMBER(MATCH(bhpc_data[category],$EC$9,0)*MATCH(bhpc_data[size1],$EC$13,0)),MATCH(ROW(bhpc_data[sku]),ROW(bhpc_data[sku])),""),ROWS($A$15:A90)+$B$3))),IF($EC$13="",INDEX(bhpc_data[sku],SMALL(IF(ISNUMBER(MATCH(bhpc_data[category],$EC$9,0)*MATCH(bhpc_data[sex],$EC$11,0)),MATCH(ROW(bhpc_data[sku]),ROW(bhpc_data[sku])),""),ROWS($A$15:A90)+$B$3)),INDEX(bhpc_data[sku],SMALL(IF(ISNUMBER(MATCH(bhpc_data[category],$EC$9,0)*MATCH(bhpc_data[sex],$EC$11,0)*MATCH(bhpc_data[size1],$EC$13,0)),MATCH(ROW(bhpc_data[sku]),ROW(bhpc_data[sku])),""),ROWS($A$15:A90)+$B$3))))),"")</f>
        <v>P06021</v>
      </c>
      <c r="EF85" s="198" t="str" cm="1">
        <f t="array" ref="EF85">IFERROR(IF($EC$9="",IF($EC$11="",IF($EC$13="",INDEX(bhpc_data[description],SMALL(MATCH(ROW(bhpc_data[sku]),ROW(bhpc_data[sku])),ROWS($A$15:A90)+$B$3)),INDEX(bhpc_data[description],SMALL(IF(ISNUMBER(MATCH(bhpc_data[size1],$EC$13,0)),MATCH(ROW(bhpc_data[sku]),ROW(bhpc_data[sku])),""),ROWS($A$15:A90)+$B$3))),IF($EC$13="",INDEX(bhpc_data[description],SMALL(IF(ISNUMBER(MATCH(bhpc_data[sex],$EC$11,0)),MATCH(ROW(bhpc_data[sku]),ROW(bhpc_data[sku])),""),ROWS($A$15:A90)+$B$3)),INDEX(bhpc_data[description],SMALL(IF(ISNUMBER(MATCH(bhpc_data[sex],$EC$11,0)*MATCH(bhpc_data[size1],$EC$13,0)),MATCH(ROW(bhpc_data[sku]),ROW(bhpc_data[sku])),""),ROWS($A$15:A90)+$B$3)))),IF($EC$11="",IF($EC$13="",INDEX(bhpc_data[description],SMALL(IF(ISNUMBER(MATCH(bhpc_data[category],$EC$9,0)),MATCH(ROW(bhpc_data[sku]),ROW(bhpc_data[sku])),""),ROWS($A$15:A90)+$B$3)),INDEX(bhpc_data[description],SMALL(IF(ISNUMBER(MATCH(bhpc_data[category],$EC$9,0)*MATCH(bhpc_data[size1],$EC$13,0)),MATCH(ROW(bhpc_data[sku]),ROW(bhpc_data[sku])),""),ROWS($A$15:A90)+$B$3))),IF($EC$13="",INDEX(bhpc_data[description],SMALL(IF(ISNUMBER(MATCH(bhpc_data[category],$EC$9,0)*MATCH(bhpc_data[sex],$EC$11,0)),MATCH(ROW(bhpc_data[sku]),ROW(bhpc_data[sku])),""),ROWS($A$15:A90)+$B$3)),INDEX(bhpc_data[description],SMALL(IF(ISNUMBER(MATCH(bhpc_data[category],$EC$9,0)*MATCH(bhpc_data[sex],$EC$11,0)*MATCH(bhpc_data[size1],$EC$13,0)),MATCH(ROW(bhpc_data[sku]),ROW(bhpc_data[sku])),""),ROWS($A$15:A90)+$B$3))))),"")</f>
        <v>BHPC PRESTIGE ROYALE 100ML EDP MEN</v>
      </c>
      <c r="EG85" s="263">
        <f>IFERROR(IF(warehouse[[#This Row],[SKU]]="","",INDEX(inventory[ESISTENZA],MATCH(warehouse[[#This Row],[SKU]],inventory[ARTICOLO],0))),"")</f>
        <v>1474</v>
      </c>
      <c r="EH85" s="328"/>
      <c r="EI85" s="328"/>
      <c r="EJ85" s="263"/>
      <c r="EK85" s="329"/>
    </row>
    <row r="86" spans="59:141" ht="15" customHeight="1" x14ac:dyDescent="0.35">
      <c r="BK86" s="450"/>
      <c r="BL86" s="451"/>
      <c r="BM86" s="452"/>
      <c r="BN86" s="451"/>
      <c r="BO86" s="452"/>
      <c r="BZ86" s="168"/>
      <c r="CA86" s="154" t="str">
        <f>IF(BZ86="","",INDEX(bhpc_data[description],MATCH(BZ86,bhpc_data[sku],0)))</f>
        <v/>
      </c>
      <c r="CB86" s="159"/>
      <c r="CC86" s="357"/>
      <c r="CD86" s="169"/>
      <c r="CE86" s="361"/>
      <c r="CF86" s="170"/>
      <c r="CG86" s="164" t="str">
        <f>IFERROR(ROUNDUP(CB86/INDEX(bhpc_data[units_per_carton],MATCH(BZ86,bhpc_data[sku],0)),0),"")</f>
        <v/>
      </c>
      <c r="CH86" s="165" t="str">
        <f>IFERROR(ROUNDUP(CD86/INDEX(bhpc_data[units_per_carton],MATCH(BZ86,bhpc_data[sku],0)),0),"")</f>
        <v/>
      </c>
      <c r="CI86" s="165" t="str">
        <f>IFERROR(ROUNDUP(CF86/INDEX(bhpc_data[units_per_carton],MATCH(BZ86,bhpc_data[sku])),0),"")</f>
        <v/>
      </c>
      <c r="CJ86" s="165" t="str">
        <f>IFERROR(((CB86+CD86+CF86)/INDEX(bhpc_data[units_per_carton],MATCH(BZ86,bhpc_data[sku],0)))*INDEX(bhpc_data[net_weight],MATCH(BZ86,bhpc_data[sku],0)),"")</f>
        <v/>
      </c>
      <c r="CK86" s="165" t="str">
        <f>IFERROR(((CB86+CD86+CF86)/INDEX(bhpc_data[units_per_carton],MATCH(BZ86,bhpc_data[sku],0)))*INDEX(bhpc_data[gross_weight],MATCH(BZ86,bhpc_data[sku],0)),"")</f>
        <v/>
      </c>
      <c r="CL86" s="180" t="str">
        <f>IFERROR((CB86+CD86+CF86)/INDEX(bhpc_data[units_per_carton],MATCH(BZ86,bhpc_data[sku],0))*INDEX(bhpc_data[lenght],MATCH(BZ86,bhpc_data[sku],0))*INDEX(bhpc_data[width],MATCH(BZ86,bhpc_data[sku],0))*INDEX(bhpc_data[height],MATCH(BZ86,bhpc_data[sku],0))/1000000000,"")</f>
        <v/>
      </c>
      <c r="CM86" s="189" t="str">
        <f>IFERROR(INDEX(bhpc_data[category],MATCH(BZ86,bhpc_data[sku],0)),"")</f>
        <v/>
      </c>
      <c r="CN86" s="189" t="str">
        <f>IFERROR(INDEX(bhpc_data[size1],MATCH(BZ86,bhpc_data[sku],0)),"")</f>
        <v/>
      </c>
      <c r="CO86" s="388" t="str">
        <f>IFERROR(INDEX(bhpc_data[hs_code],MATCH(BZ86,bhpc_data[sku],0)),"")</f>
        <v/>
      </c>
      <c r="CP86" s="377" t="str">
        <f>IFERROR(INDEX(inventory[ESISTENZA],MATCH(BZ86,inventory[ARTICOLO],0)),"")</f>
        <v/>
      </c>
      <c r="CQ86" s="364" t="str">
        <f>IFERROR(IF(BZ86="","",IF($BX$15="SALE",INDEX(inventory[COSTO UNITARIO],MATCH(BZ86,inventory[ARTICOLO],0)),IF($BX$15="SAMPLING",INDEX(inventory[COSTO UNITARIO],MATCH(BZ86,inventory[ARTICOLO],0)),""))),"")</f>
        <v/>
      </c>
      <c r="CR86" s="365" t="str">
        <f t="shared" si="5"/>
        <v/>
      </c>
      <c r="CS86" s="264" t="str">
        <f t="shared" si="6"/>
        <v/>
      </c>
      <c r="DA86" s="432" t="str">
        <f>IFERROR(VLOOKUP(BZ86,bhpc_data[],22,FALSE),"")</f>
        <v/>
      </c>
      <c r="EE86" s="202" t="str" cm="1">
        <f t="array" ref="EE86">IFERROR(IF($EC$9="",IF($EC$11="",IF($EC$13="",INDEX(bhpc_data[sku],SMALL(MATCH(ROW(bhpc_data[sku]),ROW(bhpc_data[sku])),ROWS($A$15:A91)+$B$3)),INDEX(bhpc_data[sku],SMALL(IF(ISNUMBER(MATCH(bhpc_data[size1],$EC$13,0)),MATCH(ROW(bhpc_data[sku]),ROW(bhpc_data[sku])),""),ROWS($A$15:A91)+$B$3))),IF($EC$13="",INDEX(bhpc_data[sku],SMALL(IF(ISNUMBER(MATCH(bhpc_data[sex],$EC$11,0)),MATCH(ROW(bhpc_data[sku]),ROW(bhpc_data[sku])),""),ROWS($A$15:A91)+$B$3)),INDEX(bhpc_data[sku],SMALL(IF(ISNUMBER(MATCH(bhpc_data[sex],$EC$11,0)*MATCH(bhpc_data[size1],$EC$13,0)),MATCH(ROW(bhpc_data[sku]),ROW(bhpc_data[sku])),""),ROWS($A$15:A91)+$B$3)))),IF($EC$11="",IF($EC$13="",INDEX(bhpc_data[sku],SMALL(IF(ISNUMBER(MATCH(bhpc_data[category],$EC$9,0)),MATCH(ROW(bhpc_data[sku]),ROW(bhpc_data[sku])),""),ROWS($A$15:A91)+$B$3)),INDEX(bhpc_data[sku],SMALL(IF(ISNUMBER(MATCH(bhpc_data[category],$EC$9,0)*MATCH(bhpc_data[size1],$EC$13,0)),MATCH(ROW(bhpc_data[sku]),ROW(bhpc_data[sku])),""),ROWS($A$15:A91)+$B$3))),IF($EC$13="",INDEX(bhpc_data[sku],SMALL(IF(ISNUMBER(MATCH(bhpc_data[category],$EC$9,0)*MATCH(bhpc_data[sex],$EC$11,0)),MATCH(ROW(bhpc_data[sku]),ROW(bhpc_data[sku])),""),ROWS($A$15:A91)+$B$3)),INDEX(bhpc_data[sku],SMALL(IF(ISNUMBER(MATCH(bhpc_data[category],$EC$9,0)*MATCH(bhpc_data[sex],$EC$11,0)*MATCH(bhpc_data[size1],$EC$13,0)),MATCH(ROW(bhpc_data[sku]),ROW(bhpc_data[sku])),""),ROWS($A$15:A91)+$B$3))))),"")</f>
        <v>P07000</v>
      </c>
      <c r="EF86" s="198" t="str" cm="1">
        <f t="array" ref="EF86">IFERROR(IF($EC$9="",IF($EC$11="",IF($EC$13="",INDEX(bhpc_data[description],SMALL(MATCH(ROW(bhpc_data[sku]),ROW(bhpc_data[sku])),ROWS($A$15:A91)+$B$3)),INDEX(bhpc_data[description],SMALL(IF(ISNUMBER(MATCH(bhpc_data[size1],$EC$13,0)),MATCH(ROW(bhpc_data[sku]),ROW(bhpc_data[sku])),""),ROWS($A$15:A91)+$B$3))),IF($EC$13="",INDEX(bhpc_data[description],SMALL(IF(ISNUMBER(MATCH(bhpc_data[sex],$EC$11,0)),MATCH(ROW(bhpc_data[sku]),ROW(bhpc_data[sku])),""),ROWS($A$15:A91)+$B$3)),INDEX(bhpc_data[description],SMALL(IF(ISNUMBER(MATCH(bhpc_data[sex],$EC$11,0)*MATCH(bhpc_data[size1],$EC$13,0)),MATCH(ROW(bhpc_data[sku]),ROW(bhpc_data[sku])),""),ROWS($A$15:A91)+$B$3)))),IF($EC$11="",IF($EC$13="",INDEX(bhpc_data[description],SMALL(IF(ISNUMBER(MATCH(bhpc_data[category],$EC$9,0)),MATCH(ROW(bhpc_data[sku]),ROW(bhpc_data[sku])),""),ROWS($A$15:A91)+$B$3)),INDEX(bhpc_data[description],SMALL(IF(ISNUMBER(MATCH(bhpc_data[category],$EC$9,0)*MATCH(bhpc_data[size1],$EC$13,0)),MATCH(ROW(bhpc_data[sku]),ROW(bhpc_data[sku])),""),ROWS($A$15:A91)+$B$3))),IF($EC$13="",INDEX(bhpc_data[description],SMALL(IF(ISNUMBER(MATCH(bhpc_data[category],$EC$9,0)*MATCH(bhpc_data[sex],$EC$11,0)),MATCH(ROW(bhpc_data[sku]),ROW(bhpc_data[sku])),""),ROWS($A$15:A91)+$B$3)),INDEX(bhpc_data[description],SMALL(IF(ISNUMBER(MATCH(bhpc_data[category],$EC$9,0)*MATCH(bhpc_data[sex],$EC$11,0)*MATCH(bhpc_data[size1],$EC$13,0)),MATCH(ROW(bhpc_data[sku]),ROW(bhpc_data[sku])),""),ROWS($A$15:A91)+$B$3))))),"")</f>
        <v>BHPC MEN ROLL-ON 1 50ML</v>
      </c>
      <c r="EG86" s="263">
        <f>IFERROR(IF(warehouse[[#This Row],[SKU]]="","",INDEX(inventory[ESISTENZA],MATCH(warehouse[[#This Row],[SKU]],inventory[ARTICOLO],0))),"")</f>
        <v>0</v>
      </c>
      <c r="EH86" s="328"/>
      <c r="EI86" s="328"/>
      <c r="EJ86" s="263"/>
      <c r="EK86" s="329"/>
    </row>
    <row r="87" spans="59:141" ht="15" customHeight="1" x14ac:dyDescent="0.35">
      <c r="BK87" s="450"/>
      <c r="BL87" s="451"/>
      <c r="BM87" s="452"/>
      <c r="BN87" s="451"/>
      <c r="BO87" s="452"/>
      <c r="BZ87" s="168"/>
      <c r="CA87" s="154" t="str">
        <f>IF(BZ87="","",INDEX(bhpc_data[description],MATCH(BZ87,bhpc_data[sku],0)))</f>
        <v/>
      </c>
      <c r="CB87" s="159"/>
      <c r="CC87" s="357"/>
      <c r="CD87" s="169"/>
      <c r="CE87" s="361"/>
      <c r="CF87" s="170"/>
      <c r="CG87" s="164" t="str">
        <f>IFERROR(ROUNDUP(CB87/INDEX(bhpc_data[units_per_carton],MATCH(BZ87,bhpc_data[sku],0)),0),"")</f>
        <v/>
      </c>
      <c r="CH87" s="165" t="str">
        <f>IFERROR(ROUNDUP(CD87/INDEX(bhpc_data[units_per_carton],MATCH(BZ87,bhpc_data[sku],0)),0),"")</f>
        <v/>
      </c>
      <c r="CI87" s="165" t="str">
        <f>IFERROR(ROUNDUP(CF87/INDEX(bhpc_data[units_per_carton],MATCH(BZ87,bhpc_data[sku])),0),"")</f>
        <v/>
      </c>
      <c r="CJ87" s="165" t="str">
        <f>IFERROR(((CB87+CD87+CF87)/INDEX(bhpc_data[units_per_carton],MATCH(BZ87,bhpc_data[sku],0)))*INDEX(bhpc_data[net_weight],MATCH(BZ87,bhpc_data[sku],0)),"")</f>
        <v/>
      </c>
      <c r="CK87" s="165" t="str">
        <f>IFERROR(((CB87+CD87+CF87)/INDEX(bhpc_data[units_per_carton],MATCH(BZ87,bhpc_data[sku],0)))*INDEX(bhpc_data[gross_weight],MATCH(BZ87,bhpc_data[sku],0)),"")</f>
        <v/>
      </c>
      <c r="CL87" s="180" t="str">
        <f>IFERROR((CB87+CD87+CF87)/INDEX(bhpc_data[units_per_carton],MATCH(BZ87,bhpc_data[sku],0))*INDEX(bhpc_data[lenght],MATCH(BZ87,bhpc_data[sku],0))*INDEX(bhpc_data[width],MATCH(BZ87,bhpc_data[sku],0))*INDEX(bhpc_data[height],MATCH(BZ87,bhpc_data[sku],0))/1000000000,"")</f>
        <v/>
      </c>
      <c r="CM87" s="189" t="str">
        <f>IFERROR(INDEX(bhpc_data[category],MATCH(BZ87,bhpc_data[sku],0)),"")</f>
        <v/>
      </c>
      <c r="CN87" s="189" t="str">
        <f>IFERROR(INDEX(bhpc_data[size1],MATCH(BZ87,bhpc_data[sku],0)),"")</f>
        <v/>
      </c>
      <c r="CO87" s="388" t="str">
        <f>IFERROR(INDEX(bhpc_data[hs_code],MATCH(BZ87,bhpc_data[sku],0)),"")</f>
        <v/>
      </c>
      <c r="CP87" s="377" t="str">
        <f>IFERROR(INDEX(inventory[ESISTENZA],MATCH(BZ87,inventory[ARTICOLO],0)),"")</f>
        <v/>
      </c>
      <c r="CQ87" s="364" t="str">
        <f>IFERROR(IF(BZ87="","",IF($BX$15="SALE",INDEX(inventory[COSTO UNITARIO],MATCH(BZ87,inventory[ARTICOLO],0)),IF($BX$15="SAMPLING",INDEX(inventory[COSTO UNITARIO],MATCH(BZ87,inventory[ARTICOLO],0)),""))),"")</f>
        <v/>
      </c>
      <c r="CR87" s="365" t="str">
        <f t="shared" si="5"/>
        <v/>
      </c>
      <c r="CS87" s="264" t="str">
        <f t="shared" si="6"/>
        <v/>
      </c>
      <c r="DA87" s="432" t="str">
        <f>IFERROR(VLOOKUP(BZ87,bhpc_data[],22,FALSE),"")</f>
        <v/>
      </c>
      <c r="EE87" s="202" t="str" cm="1">
        <f t="array" ref="EE87">IFERROR(IF($EC$9="",IF($EC$11="",IF($EC$13="",INDEX(bhpc_data[sku],SMALL(MATCH(ROW(bhpc_data[sku]),ROW(bhpc_data[sku])),ROWS($A$15:A92)+$B$3)),INDEX(bhpc_data[sku],SMALL(IF(ISNUMBER(MATCH(bhpc_data[size1],$EC$13,0)),MATCH(ROW(bhpc_data[sku]),ROW(bhpc_data[sku])),""),ROWS($A$15:A92)+$B$3))),IF($EC$13="",INDEX(bhpc_data[sku],SMALL(IF(ISNUMBER(MATCH(bhpc_data[sex],$EC$11,0)),MATCH(ROW(bhpc_data[sku]),ROW(bhpc_data[sku])),""),ROWS($A$15:A92)+$B$3)),INDEX(bhpc_data[sku],SMALL(IF(ISNUMBER(MATCH(bhpc_data[sex],$EC$11,0)*MATCH(bhpc_data[size1],$EC$13,0)),MATCH(ROW(bhpc_data[sku]),ROW(bhpc_data[sku])),""),ROWS($A$15:A92)+$B$3)))),IF($EC$11="",IF($EC$13="",INDEX(bhpc_data[sku],SMALL(IF(ISNUMBER(MATCH(bhpc_data[category],$EC$9,0)),MATCH(ROW(bhpc_data[sku]),ROW(bhpc_data[sku])),""),ROWS($A$15:A92)+$B$3)),INDEX(bhpc_data[sku],SMALL(IF(ISNUMBER(MATCH(bhpc_data[category],$EC$9,0)*MATCH(bhpc_data[size1],$EC$13,0)),MATCH(ROW(bhpc_data[sku]),ROW(bhpc_data[sku])),""),ROWS($A$15:A92)+$B$3))),IF($EC$13="",INDEX(bhpc_data[sku],SMALL(IF(ISNUMBER(MATCH(bhpc_data[category],$EC$9,0)*MATCH(bhpc_data[sex],$EC$11,0)),MATCH(ROW(bhpc_data[sku]),ROW(bhpc_data[sku])),""),ROWS($A$15:A92)+$B$3)),INDEX(bhpc_data[sku],SMALL(IF(ISNUMBER(MATCH(bhpc_data[category],$EC$9,0)*MATCH(bhpc_data[sex],$EC$11,0)*MATCH(bhpc_data[size1],$EC$13,0)),MATCH(ROW(bhpc_data[sku]),ROW(bhpc_data[sku])),""),ROWS($A$15:A92)+$B$3))))),"")</f>
        <v>P07001</v>
      </c>
      <c r="EF87" s="198" t="str" cm="1">
        <f t="array" ref="EF87">IFERROR(IF($EC$9="",IF($EC$11="",IF($EC$13="",INDEX(bhpc_data[description],SMALL(MATCH(ROW(bhpc_data[sku]),ROW(bhpc_data[sku])),ROWS($A$15:A92)+$B$3)),INDEX(bhpc_data[description],SMALL(IF(ISNUMBER(MATCH(bhpc_data[size1],$EC$13,0)),MATCH(ROW(bhpc_data[sku]),ROW(bhpc_data[sku])),""),ROWS($A$15:A92)+$B$3))),IF($EC$13="",INDEX(bhpc_data[description],SMALL(IF(ISNUMBER(MATCH(bhpc_data[sex],$EC$11,0)),MATCH(ROW(bhpc_data[sku]),ROW(bhpc_data[sku])),""),ROWS($A$15:A92)+$B$3)),INDEX(bhpc_data[description],SMALL(IF(ISNUMBER(MATCH(bhpc_data[sex],$EC$11,0)*MATCH(bhpc_data[size1],$EC$13,0)),MATCH(ROW(bhpc_data[sku]),ROW(bhpc_data[sku])),""),ROWS($A$15:A92)+$B$3)))),IF($EC$11="",IF($EC$13="",INDEX(bhpc_data[description],SMALL(IF(ISNUMBER(MATCH(bhpc_data[category],$EC$9,0)),MATCH(ROW(bhpc_data[sku]),ROW(bhpc_data[sku])),""),ROWS($A$15:A92)+$B$3)),INDEX(bhpc_data[description],SMALL(IF(ISNUMBER(MATCH(bhpc_data[category],$EC$9,0)*MATCH(bhpc_data[size1],$EC$13,0)),MATCH(ROW(bhpc_data[sku]),ROW(bhpc_data[sku])),""),ROWS($A$15:A92)+$B$3))),IF($EC$13="",INDEX(bhpc_data[description],SMALL(IF(ISNUMBER(MATCH(bhpc_data[category],$EC$9,0)*MATCH(bhpc_data[sex],$EC$11,0)),MATCH(ROW(bhpc_data[sku]),ROW(bhpc_data[sku])),""),ROWS($A$15:A92)+$B$3)),INDEX(bhpc_data[description],SMALL(IF(ISNUMBER(MATCH(bhpc_data[category],$EC$9,0)*MATCH(bhpc_data[sex],$EC$11,0)*MATCH(bhpc_data[size1],$EC$13,0)),MATCH(ROW(bhpc_data[sku]),ROW(bhpc_data[sku])),""),ROWS($A$15:A92)+$B$3))))),"")</f>
        <v>BHPC MEN ROLL-ON 9 50ML</v>
      </c>
      <c r="EG87" s="263">
        <f>IFERROR(IF(warehouse[[#This Row],[SKU]]="","",INDEX(inventory[ESISTENZA],MATCH(warehouse[[#This Row],[SKU]],inventory[ARTICOLO],0))),"")</f>
        <v>0</v>
      </c>
      <c r="EH87" s="328"/>
      <c r="EI87" s="328"/>
      <c r="EJ87" s="263"/>
      <c r="EK87" s="329"/>
    </row>
    <row r="88" spans="59:141" ht="15" customHeight="1" x14ac:dyDescent="0.35">
      <c r="BK88" s="450"/>
      <c r="BL88" s="451"/>
      <c r="BM88" s="452"/>
      <c r="BN88" s="451"/>
      <c r="BO88" s="452"/>
      <c r="BZ88" s="168"/>
      <c r="CA88" s="154" t="str">
        <f>IF(BZ88="","",INDEX(bhpc_data[description],MATCH(BZ88,bhpc_data[sku],0)))</f>
        <v/>
      </c>
      <c r="CB88" s="159"/>
      <c r="CC88" s="357"/>
      <c r="CD88" s="169"/>
      <c r="CE88" s="361"/>
      <c r="CF88" s="170"/>
      <c r="CG88" s="164" t="str">
        <f>IFERROR(ROUNDUP(CB88/INDEX(bhpc_data[units_per_carton],MATCH(BZ88,bhpc_data[sku],0)),0),"")</f>
        <v/>
      </c>
      <c r="CH88" s="165" t="str">
        <f>IFERROR(ROUNDUP(CD88/INDEX(bhpc_data[units_per_carton],MATCH(BZ88,bhpc_data[sku],0)),0),"")</f>
        <v/>
      </c>
      <c r="CI88" s="165" t="str">
        <f>IFERROR(ROUNDUP(CF88/INDEX(bhpc_data[units_per_carton],MATCH(BZ88,bhpc_data[sku])),0),"")</f>
        <v/>
      </c>
      <c r="CJ88" s="165" t="str">
        <f>IFERROR(((CB88+CD88+CF88)/INDEX(bhpc_data[units_per_carton],MATCH(BZ88,bhpc_data[sku],0)))*INDEX(bhpc_data[net_weight],MATCH(BZ88,bhpc_data[sku],0)),"")</f>
        <v/>
      </c>
      <c r="CK88" s="165" t="str">
        <f>IFERROR(((CB88+CD88+CF88)/INDEX(bhpc_data[units_per_carton],MATCH(BZ88,bhpc_data[sku],0)))*INDEX(bhpc_data[gross_weight],MATCH(BZ88,bhpc_data[sku],0)),"")</f>
        <v/>
      </c>
      <c r="CL88" s="180" t="str">
        <f>IFERROR((CB88+CD88+CF88)/INDEX(bhpc_data[units_per_carton],MATCH(BZ88,bhpc_data[sku],0))*INDEX(bhpc_data[lenght],MATCH(BZ88,bhpc_data[sku],0))*INDEX(bhpc_data[width],MATCH(BZ88,bhpc_data[sku],0))*INDEX(bhpc_data[height],MATCH(BZ88,bhpc_data[sku],0))/1000000000,"")</f>
        <v/>
      </c>
      <c r="CM88" s="189" t="str">
        <f>IFERROR(INDEX(bhpc_data[category],MATCH(BZ88,bhpc_data[sku],0)),"")</f>
        <v/>
      </c>
      <c r="CN88" s="189" t="str">
        <f>IFERROR(INDEX(bhpc_data[size1],MATCH(BZ88,bhpc_data[sku],0)),"")</f>
        <v/>
      </c>
      <c r="CO88" s="388" t="str">
        <f>IFERROR(INDEX(bhpc_data[hs_code],MATCH(BZ88,bhpc_data[sku],0)),"")</f>
        <v/>
      </c>
      <c r="CP88" s="377" t="str">
        <f>IFERROR(INDEX(inventory[ESISTENZA],MATCH(BZ88,inventory[ARTICOLO],0)),"")</f>
        <v/>
      </c>
      <c r="CQ88" s="364" t="str">
        <f>IFERROR(IF(BZ88="","",IF($BX$15="SALE",INDEX(inventory[COSTO UNITARIO],MATCH(BZ88,inventory[ARTICOLO],0)),IF($BX$15="SAMPLING",INDEX(inventory[COSTO UNITARIO],MATCH(BZ88,inventory[ARTICOLO],0)),""))),"")</f>
        <v/>
      </c>
      <c r="CR88" s="365" t="str">
        <f t="shared" si="5"/>
        <v/>
      </c>
      <c r="CS88" s="264" t="str">
        <f t="shared" si="6"/>
        <v/>
      </c>
      <c r="DA88" s="432" t="str">
        <f>IFERROR(VLOOKUP(BZ88,bhpc_data[],22,FALSE),"")</f>
        <v/>
      </c>
      <c r="EE88" s="202" t="str" cm="1">
        <f t="array" ref="EE88">IFERROR(IF($EC$9="",IF($EC$11="",IF($EC$13="",INDEX(bhpc_data[sku],SMALL(MATCH(ROW(bhpc_data[sku]),ROW(bhpc_data[sku])),ROWS($A$15:A93)+$B$3)),INDEX(bhpc_data[sku],SMALL(IF(ISNUMBER(MATCH(bhpc_data[size1],$EC$13,0)),MATCH(ROW(bhpc_data[sku]),ROW(bhpc_data[sku])),""),ROWS($A$15:A93)+$B$3))),IF($EC$13="",INDEX(bhpc_data[sku],SMALL(IF(ISNUMBER(MATCH(bhpc_data[sex],$EC$11,0)),MATCH(ROW(bhpc_data[sku]),ROW(bhpc_data[sku])),""),ROWS($A$15:A93)+$B$3)),INDEX(bhpc_data[sku],SMALL(IF(ISNUMBER(MATCH(bhpc_data[sex],$EC$11,0)*MATCH(bhpc_data[size1],$EC$13,0)),MATCH(ROW(bhpc_data[sku]),ROW(bhpc_data[sku])),""),ROWS($A$15:A93)+$B$3)))),IF($EC$11="",IF($EC$13="",INDEX(bhpc_data[sku],SMALL(IF(ISNUMBER(MATCH(bhpc_data[category],$EC$9,0)),MATCH(ROW(bhpc_data[sku]),ROW(bhpc_data[sku])),""),ROWS($A$15:A93)+$B$3)),INDEX(bhpc_data[sku],SMALL(IF(ISNUMBER(MATCH(bhpc_data[category],$EC$9,0)*MATCH(bhpc_data[size1],$EC$13,0)),MATCH(ROW(bhpc_data[sku]),ROW(bhpc_data[sku])),""),ROWS($A$15:A93)+$B$3))),IF($EC$13="",INDEX(bhpc_data[sku],SMALL(IF(ISNUMBER(MATCH(bhpc_data[category],$EC$9,0)*MATCH(bhpc_data[sex],$EC$11,0)),MATCH(ROW(bhpc_data[sku]),ROW(bhpc_data[sku])),""),ROWS($A$15:A93)+$B$3)),INDEX(bhpc_data[sku],SMALL(IF(ISNUMBER(MATCH(bhpc_data[category],$EC$9,0)*MATCH(bhpc_data[sex],$EC$11,0)*MATCH(bhpc_data[size1],$EC$13,0)),MATCH(ROW(bhpc_data[sku]),ROW(bhpc_data[sku])),""),ROWS($A$15:A93)+$B$3))))),"")</f>
        <v>P07002</v>
      </c>
      <c r="EF88" s="198" t="str" cm="1">
        <f t="array" ref="EF88">IFERROR(IF($EC$9="",IF($EC$11="",IF($EC$13="",INDEX(bhpc_data[description],SMALL(MATCH(ROW(bhpc_data[sku]),ROW(bhpc_data[sku])),ROWS($A$15:A93)+$B$3)),INDEX(bhpc_data[description],SMALL(IF(ISNUMBER(MATCH(bhpc_data[size1],$EC$13,0)),MATCH(ROW(bhpc_data[sku]),ROW(bhpc_data[sku])),""),ROWS($A$15:A93)+$B$3))),IF($EC$13="",INDEX(bhpc_data[description],SMALL(IF(ISNUMBER(MATCH(bhpc_data[sex],$EC$11,0)),MATCH(ROW(bhpc_data[sku]),ROW(bhpc_data[sku])),""),ROWS($A$15:A93)+$B$3)),INDEX(bhpc_data[description],SMALL(IF(ISNUMBER(MATCH(bhpc_data[sex],$EC$11,0)*MATCH(bhpc_data[size1],$EC$13,0)),MATCH(ROW(bhpc_data[sku]),ROW(bhpc_data[sku])),""),ROWS($A$15:A93)+$B$3)))),IF($EC$11="",IF($EC$13="",INDEX(bhpc_data[description],SMALL(IF(ISNUMBER(MATCH(bhpc_data[category],$EC$9,0)),MATCH(ROW(bhpc_data[sku]),ROW(bhpc_data[sku])),""),ROWS($A$15:A93)+$B$3)),INDEX(bhpc_data[description],SMALL(IF(ISNUMBER(MATCH(bhpc_data[category],$EC$9,0)*MATCH(bhpc_data[size1],$EC$13,0)),MATCH(ROW(bhpc_data[sku]),ROW(bhpc_data[sku])),""),ROWS($A$15:A93)+$B$3))),IF($EC$13="",INDEX(bhpc_data[description],SMALL(IF(ISNUMBER(MATCH(bhpc_data[category],$EC$9,0)*MATCH(bhpc_data[sex],$EC$11,0)),MATCH(ROW(bhpc_data[sku]),ROW(bhpc_data[sku])),""),ROWS($A$15:A93)+$B$3)),INDEX(bhpc_data[description],SMALL(IF(ISNUMBER(MATCH(bhpc_data[category],$EC$9,0)*MATCH(bhpc_data[sex],$EC$11,0)*MATCH(bhpc_data[size1],$EC$13,0)),MATCH(ROW(bhpc_data[sku]),ROW(bhpc_data[sku])),""),ROWS($A$15:A93)+$B$3))))),"")</f>
        <v>BHPC MEN ROLL-ON 8 50ML</v>
      </c>
      <c r="EG88" s="263">
        <f>IFERROR(IF(warehouse[[#This Row],[SKU]]="","",INDEX(inventory[ESISTENZA],MATCH(warehouse[[#This Row],[SKU]],inventory[ARTICOLO],0))),"")</f>
        <v>0</v>
      </c>
      <c r="EH88" s="328"/>
      <c r="EI88" s="328"/>
      <c r="EJ88" s="263"/>
      <c r="EK88" s="329"/>
    </row>
    <row r="89" spans="59:141" ht="15" customHeight="1" x14ac:dyDescent="0.35">
      <c r="BK89" s="450"/>
      <c r="BL89" s="451"/>
      <c r="BM89" s="452"/>
      <c r="BN89" s="451"/>
      <c r="BO89" s="452"/>
      <c r="BZ89" s="168"/>
      <c r="CA89" s="154" t="str">
        <f>IF(BZ89="","",INDEX(bhpc_data[description],MATCH(BZ89,bhpc_data[sku],0)))</f>
        <v/>
      </c>
      <c r="CB89" s="159"/>
      <c r="CC89" s="357"/>
      <c r="CD89" s="169"/>
      <c r="CE89" s="361"/>
      <c r="CF89" s="170"/>
      <c r="CG89" s="164" t="str">
        <f>IFERROR(ROUNDUP(CB89/INDEX(bhpc_data[units_per_carton],MATCH(BZ89,bhpc_data[sku],0)),0),"")</f>
        <v/>
      </c>
      <c r="CH89" s="165" t="str">
        <f>IFERROR(ROUNDUP(CD89/INDEX(bhpc_data[units_per_carton],MATCH(BZ89,bhpc_data[sku],0)),0),"")</f>
        <v/>
      </c>
      <c r="CI89" s="165" t="str">
        <f>IFERROR(ROUNDUP(CF89/INDEX(bhpc_data[units_per_carton],MATCH(BZ89,bhpc_data[sku])),0),"")</f>
        <v/>
      </c>
      <c r="CJ89" s="165" t="str">
        <f>IFERROR(((CB89+CD89+CF89)/INDEX(bhpc_data[units_per_carton],MATCH(BZ89,bhpc_data[sku],0)))*INDEX(bhpc_data[net_weight],MATCH(BZ89,bhpc_data[sku],0)),"")</f>
        <v/>
      </c>
      <c r="CK89" s="165" t="str">
        <f>IFERROR(((CB89+CD89+CF89)/INDEX(bhpc_data[units_per_carton],MATCH(BZ89,bhpc_data[sku],0)))*INDEX(bhpc_data[gross_weight],MATCH(BZ89,bhpc_data[sku],0)),"")</f>
        <v/>
      </c>
      <c r="CL89" s="180" t="str">
        <f>IFERROR((CB89+CD89+CF89)/INDEX(bhpc_data[units_per_carton],MATCH(BZ89,bhpc_data[sku],0))*INDEX(bhpc_data[lenght],MATCH(BZ89,bhpc_data[sku],0))*INDEX(bhpc_data[width],MATCH(BZ89,bhpc_data[sku],0))*INDEX(bhpc_data[height],MATCH(BZ89,bhpc_data[sku],0))/1000000000,"")</f>
        <v/>
      </c>
      <c r="CM89" s="189" t="str">
        <f>IFERROR(INDEX(bhpc_data[category],MATCH(BZ89,bhpc_data[sku],0)),"")</f>
        <v/>
      </c>
      <c r="CN89" s="189" t="str">
        <f>IFERROR(INDEX(bhpc_data[size1],MATCH(BZ89,bhpc_data[sku],0)),"")</f>
        <v/>
      </c>
      <c r="CO89" s="388" t="str">
        <f>IFERROR(INDEX(bhpc_data[hs_code],MATCH(BZ89,bhpc_data[sku],0)),"")</f>
        <v/>
      </c>
      <c r="CP89" s="377" t="str">
        <f>IFERROR(INDEX(inventory[ESISTENZA],MATCH(BZ89,inventory[ARTICOLO],0)),"")</f>
        <v/>
      </c>
      <c r="CQ89" s="364" t="str">
        <f>IFERROR(IF(BZ89="","",IF($BX$15="SALE",INDEX(inventory[COSTO UNITARIO],MATCH(BZ89,inventory[ARTICOLO],0)),IF($BX$15="SAMPLING",INDEX(inventory[COSTO UNITARIO],MATCH(BZ89,inventory[ARTICOLO],0)),""))),"")</f>
        <v/>
      </c>
      <c r="CR89" s="365" t="str">
        <f t="shared" si="5"/>
        <v/>
      </c>
      <c r="CS89" s="264" t="str">
        <f t="shared" si="6"/>
        <v/>
      </c>
      <c r="DA89" s="432" t="str">
        <f>IFERROR(VLOOKUP(BZ89,bhpc_data[],22,FALSE),"")</f>
        <v/>
      </c>
      <c r="EE89" s="202" t="str" cm="1">
        <f t="array" ref="EE89">IFERROR(IF($EC$9="",IF($EC$11="",IF($EC$13="",INDEX(bhpc_data[sku],SMALL(MATCH(ROW(bhpc_data[sku]),ROW(bhpc_data[sku])),ROWS($A$15:A94)+$B$3)),INDEX(bhpc_data[sku],SMALL(IF(ISNUMBER(MATCH(bhpc_data[size1],$EC$13,0)),MATCH(ROW(bhpc_data[sku]),ROW(bhpc_data[sku])),""),ROWS($A$15:A94)+$B$3))),IF($EC$13="",INDEX(bhpc_data[sku],SMALL(IF(ISNUMBER(MATCH(bhpc_data[sex],$EC$11,0)),MATCH(ROW(bhpc_data[sku]),ROW(bhpc_data[sku])),""),ROWS($A$15:A94)+$B$3)),INDEX(bhpc_data[sku],SMALL(IF(ISNUMBER(MATCH(bhpc_data[sex],$EC$11,0)*MATCH(bhpc_data[size1],$EC$13,0)),MATCH(ROW(bhpc_data[sku]),ROW(bhpc_data[sku])),""),ROWS($A$15:A94)+$B$3)))),IF($EC$11="",IF($EC$13="",INDEX(bhpc_data[sku],SMALL(IF(ISNUMBER(MATCH(bhpc_data[category],$EC$9,0)),MATCH(ROW(bhpc_data[sku]),ROW(bhpc_data[sku])),""),ROWS($A$15:A94)+$B$3)),INDEX(bhpc_data[sku],SMALL(IF(ISNUMBER(MATCH(bhpc_data[category],$EC$9,0)*MATCH(bhpc_data[size1],$EC$13,0)),MATCH(ROW(bhpc_data[sku]),ROW(bhpc_data[sku])),""),ROWS($A$15:A94)+$B$3))),IF($EC$13="",INDEX(bhpc_data[sku],SMALL(IF(ISNUMBER(MATCH(bhpc_data[category],$EC$9,0)*MATCH(bhpc_data[sex],$EC$11,0)),MATCH(ROW(bhpc_data[sku]),ROW(bhpc_data[sku])),""),ROWS($A$15:A94)+$B$3)),INDEX(bhpc_data[sku],SMALL(IF(ISNUMBER(MATCH(bhpc_data[category],$EC$9,0)*MATCH(bhpc_data[sex],$EC$11,0)*MATCH(bhpc_data[size1],$EC$13,0)),MATCH(ROW(bhpc_data[sku]),ROW(bhpc_data[sku])),""),ROWS($A$15:A94)+$B$3))))),"")</f>
        <v>P07003</v>
      </c>
      <c r="EF89" s="198" t="str" cm="1">
        <f t="array" ref="EF89">IFERROR(IF($EC$9="",IF($EC$11="",IF($EC$13="",INDEX(bhpc_data[description],SMALL(MATCH(ROW(bhpc_data[sku]),ROW(bhpc_data[sku])),ROWS($A$15:A94)+$B$3)),INDEX(bhpc_data[description],SMALL(IF(ISNUMBER(MATCH(bhpc_data[size1],$EC$13,0)),MATCH(ROW(bhpc_data[sku]),ROW(bhpc_data[sku])),""),ROWS($A$15:A94)+$B$3))),IF($EC$13="",INDEX(bhpc_data[description],SMALL(IF(ISNUMBER(MATCH(bhpc_data[sex],$EC$11,0)),MATCH(ROW(bhpc_data[sku]),ROW(bhpc_data[sku])),""),ROWS($A$15:A94)+$B$3)),INDEX(bhpc_data[description],SMALL(IF(ISNUMBER(MATCH(bhpc_data[sex],$EC$11,0)*MATCH(bhpc_data[size1],$EC$13,0)),MATCH(ROW(bhpc_data[sku]),ROW(bhpc_data[sku])),""),ROWS($A$15:A94)+$B$3)))),IF($EC$11="",IF($EC$13="",INDEX(bhpc_data[description],SMALL(IF(ISNUMBER(MATCH(bhpc_data[category],$EC$9,0)),MATCH(ROW(bhpc_data[sku]),ROW(bhpc_data[sku])),""),ROWS($A$15:A94)+$B$3)),INDEX(bhpc_data[description],SMALL(IF(ISNUMBER(MATCH(bhpc_data[category],$EC$9,0)*MATCH(bhpc_data[size1],$EC$13,0)),MATCH(ROW(bhpc_data[sku]),ROW(bhpc_data[sku])),""),ROWS($A$15:A94)+$B$3))),IF($EC$13="",INDEX(bhpc_data[description],SMALL(IF(ISNUMBER(MATCH(bhpc_data[category],$EC$9,0)*MATCH(bhpc_data[sex],$EC$11,0)),MATCH(ROW(bhpc_data[sku]),ROW(bhpc_data[sku])),""),ROWS($A$15:A94)+$B$3)),INDEX(bhpc_data[description],SMALL(IF(ISNUMBER(MATCH(bhpc_data[category],$EC$9,0)*MATCH(bhpc_data[sex],$EC$11,0)*MATCH(bhpc_data[size1],$EC$13,0)),MATCH(ROW(bhpc_data[sku]),ROW(bhpc_data[sku])),""),ROWS($A$15:A94)+$B$3))))),"")</f>
        <v>BHPC MEN ROLL-ON 2 50ML</v>
      </c>
      <c r="EG89" s="263">
        <f>IFERROR(IF(warehouse[[#This Row],[SKU]]="","",INDEX(inventory[ESISTENZA],MATCH(warehouse[[#This Row],[SKU]],inventory[ARTICOLO],0))),"")</f>
        <v>0</v>
      </c>
      <c r="EH89" s="328"/>
      <c r="EI89" s="328"/>
      <c r="EJ89" s="263"/>
      <c r="EK89" s="329"/>
    </row>
    <row r="90" spans="59:141" ht="15" customHeight="1" x14ac:dyDescent="0.35">
      <c r="BK90" s="450"/>
      <c r="BL90" s="451"/>
      <c r="BM90" s="452"/>
      <c r="BN90" s="451"/>
      <c r="BO90" s="452"/>
      <c r="BZ90" s="168"/>
      <c r="CA90" s="154" t="str">
        <f>IF(BZ90="","",INDEX(bhpc_data[description],MATCH(BZ90,bhpc_data[sku],0)))</f>
        <v/>
      </c>
      <c r="CB90" s="159"/>
      <c r="CC90" s="357"/>
      <c r="CD90" s="169"/>
      <c r="CE90" s="361"/>
      <c r="CF90" s="170"/>
      <c r="CG90" s="164" t="str">
        <f>IFERROR(ROUNDUP(CB90/INDEX(bhpc_data[units_per_carton],MATCH(BZ90,bhpc_data[sku],0)),0),"")</f>
        <v/>
      </c>
      <c r="CH90" s="165" t="str">
        <f>IFERROR(ROUNDUP(CD90/INDEX(bhpc_data[units_per_carton],MATCH(BZ90,bhpc_data[sku],0)),0),"")</f>
        <v/>
      </c>
      <c r="CI90" s="165" t="str">
        <f>IFERROR(ROUNDUP(CF90/INDEX(bhpc_data[units_per_carton],MATCH(BZ90,bhpc_data[sku])),0),"")</f>
        <v/>
      </c>
      <c r="CJ90" s="165" t="str">
        <f>IFERROR(((CB90+CD90+CF90)/INDEX(bhpc_data[units_per_carton],MATCH(BZ90,bhpc_data[sku],0)))*INDEX(bhpc_data[net_weight],MATCH(BZ90,bhpc_data[sku],0)),"")</f>
        <v/>
      </c>
      <c r="CK90" s="165" t="str">
        <f>IFERROR(((CB90+CD90+CF90)/INDEX(bhpc_data[units_per_carton],MATCH(BZ90,bhpc_data[sku],0)))*INDEX(bhpc_data[gross_weight],MATCH(BZ90,bhpc_data[sku],0)),"")</f>
        <v/>
      </c>
      <c r="CL90" s="180" t="str">
        <f>IFERROR((CB90+CD90+CF90)/INDEX(bhpc_data[units_per_carton],MATCH(BZ90,bhpc_data[sku],0))*INDEX(bhpc_data[lenght],MATCH(BZ90,bhpc_data[sku],0))*INDEX(bhpc_data[width],MATCH(BZ90,bhpc_data[sku],0))*INDEX(bhpc_data[height],MATCH(BZ90,bhpc_data[sku],0))/1000000000,"")</f>
        <v/>
      </c>
      <c r="CM90" s="189" t="str">
        <f>IFERROR(INDEX(bhpc_data[category],MATCH(BZ90,bhpc_data[sku],0)),"")</f>
        <v/>
      </c>
      <c r="CN90" s="189" t="str">
        <f>IFERROR(INDEX(bhpc_data[size1],MATCH(BZ90,bhpc_data[sku],0)),"")</f>
        <v/>
      </c>
      <c r="CO90" s="388" t="str">
        <f>IFERROR(INDEX(bhpc_data[hs_code],MATCH(BZ90,bhpc_data[sku],0)),"")</f>
        <v/>
      </c>
      <c r="CP90" s="377" t="str">
        <f>IFERROR(INDEX(inventory[ESISTENZA],MATCH(BZ90,inventory[ARTICOLO],0)),"")</f>
        <v/>
      </c>
      <c r="CQ90" s="364" t="str">
        <f>IFERROR(IF(BZ90="","",IF($BX$15="SALE",INDEX(inventory[COSTO UNITARIO],MATCH(BZ90,inventory[ARTICOLO],0)),IF($BX$15="SAMPLING",INDEX(inventory[COSTO UNITARIO],MATCH(BZ90,inventory[ARTICOLO],0)),""))),"")</f>
        <v/>
      </c>
      <c r="CR90" s="365" t="str">
        <f t="shared" si="5"/>
        <v/>
      </c>
      <c r="CS90" s="264" t="str">
        <f t="shared" si="6"/>
        <v/>
      </c>
      <c r="DA90" s="432" t="str">
        <f>IFERROR(VLOOKUP(BZ90,bhpc_data[],22,FALSE),"")</f>
        <v/>
      </c>
      <c r="EE90" s="202" t="str" cm="1">
        <f t="array" ref="EE90">IFERROR(IF($EC$9="",IF($EC$11="",IF($EC$13="",INDEX(bhpc_data[sku],SMALL(MATCH(ROW(bhpc_data[sku]),ROW(bhpc_data[sku])),ROWS($A$15:A95)+$B$3)),INDEX(bhpc_data[sku],SMALL(IF(ISNUMBER(MATCH(bhpc_data[size1],$EC$13,0)),MATCH(ROW(bhpc_data[sku]),ROW(bhpc_data[sku])),""),ROWS($A$15:A95)+$B$3))),IF($EC$13="",INDEX(bhpc_data[sku],SMALL(IF(ISNUMBER(MATCH(bhpc_data[sex],$EC$11,0)),MATCH(ROW(bhpc_data[sku]),ROW(bhpc_data[sku])),""),ROWS($A$15:A95)+$B$3)),INDEX(bhpc_data[sku],SMALL(IF(ISNUMBER(MATCH(bhpc_data[sex],$EC$11,0)*MATCH(bhpc_data[size1],$EC$13,0)),MATCH(ROW(bhpc_data[sku]),ROW(bhpc_data[sku])),""),ROWS($A$15:A95)+$B$3)))),IF($EC$11="",IF($EC$13="",INDEX(bhpc_data[sku],SMALL(IF(ISNUMBER(MATCH(bhpc_data[category],$EC$9,0)),MATCH(ROW(bhpc_data[sku]),ROW(bhpc_data[sku])),""),ROWS($A$15:A95)+$B$3)),INDEX(bhpc_data[sku],SMALL(IF(ISNUMBER(MATCH(bhpc_data[category],$EC$9,0)*MATCH(bhpc_data[size1],$EC$13,0)),MATCH(ROW(bhpc_data[sku]),ROW(bhpc_data[sku])),""),ROWS($A$15:A95)+$B$3))),IF($EC$13="",INDEX(bhpc_data[sku],SMALL(IF(ISNUMBER(MATCH(bhpc_data[category],$EC$9,0)*MATCH(bhpc_data[sex],$EC$11,0)),MATCH(ROW(bhpc_data[sku]),ROW(bhpc_data[sku])),""),ROWS($A$15:A95)+$B$3)),INDEX(bhpc_data[sku],SMALL(IF(ISNUMBER(MATCH(bhpc_data[category],$EC$9,0)*MATCH(bhpc_data[sex],$EC$11,0)*MATCH(bhpc_data[size1],$EC$13,0)),MATCH(ROW(bhpc_data[sku]),ROW(bhpc_data[sku])),""),ROWS($A$15:A95)+$B$3))))),"")</f>
        <v>PBM001</v>
      </c>
      <c r="EF90" s="198" t="str" cm="1">
        <f t="array" ref="EF90">IFERROR(IF($EC$9="",IF($EC$11="",IF($EC$13="",INDEX(bhpc_data[description],SMALL(MATCH(ROW(bhpc_data[sku]),ROW(bhpc_data[sku])),ROWS($A$15:A95)+$B$3)),INDEX(bhpc_data[description],SMALL(IF(ISNUMBER(MATCH(bhpc_data[size1],$EC$13,0)),MATCH(ROW(bhpc_data[sku]),ROW(bhpc_data[sku])),""),ROWS($A$15:A95)+$B$3))),IF($EC$13="",INDEX(bhpc_data[description],SMALL(IF(ISNUMBER(MATCH(bhpc_data[sex],$EC$11,0)),MATCH(ROW(bhpc_data[sku]),ROW(bhpc_data[sku])),""),ROWS($A$15:A95)+$B$3)),INDEX(bhpc_data[description],SMALL(IF(ISNUMBER(MATCH(bhpc_data[sex],$EC$11,0)*MATCH(bhpc_data[size1],$EC$13,0)),MATCH(ROW(bhpc_data[sku]),ROW(bhpc_data[sku])),""),ROWS($A$15:A95)+$B$3)))),IF($EC$11="",IF($EC$13="",INDEX(bhpc_data[description],SMALL(IF(ISNUMBER(MATCH(bhpc_data[category],$EC$9,0)),MATCH(ROW(bhpc_data[sku]),ROW(bhpc_data[sku])),""),ROWS($A$15:A95)+$B$3)),INDEX(bhpc_data[description],SMALL(IF(ISNUMBER(MATCH(bhpc_data[category],$EC$9,0)*MATCH(bhpc_data[size1],$EC$13,0)),MATCH(ROW(bhpc_data[sku]),ROW(bhpc_data[sku])),""),ROWS($A$15:A95)+$B$3))),IF($EC$13="",INDEX(bhpc_data[description],SMALL(IF(ISNUMBER(MATCH(bhpc_data[category],$EC$9,0)*MATCH(bhpc_data[sex],$EC$11,0)),MATCH(ROW(bhpc_data[sku]),ROW(bhpc_data[sku])),""),ROWS($A$15:A95)+$B$3)),INDEX(bhpc_data[description],SMALL(IF(ISNUMBER(MATCH(bhpc_data[category],$EC$9,0)*MATCH(bhpc_data[sex],$EC$11,0)*MATCH(bhpc_data[size1],$EC$13,0)),MATCH(ROW(bhpc_data[sku]),ROW(bhpc_data[sku])),""),ROWS($A$15:A95)+$B$3))))),"")</f>
        <v>BHPC WOMEN BODY MIST #1 EVOKING GARDENIA 200ML</v>
      </c>
      <c r="EG90" s="263">
        <f>IFERROR(IF(warehouse[[#This Row],[SKU]]="","",INDEX(inventory[ESISTENZA],MATCH(warehouse[[#This Row],[SKU]],inventory[ARTICOLO],0))),"")</f>
        <v>2970</v>
      </c>
      <c r="EH90" s="328"/>
      <c r="EI90" s="328"/>
      <c r="EJ90" s="263"/>
      <c r="EK90" s="329"/>
    </row>
    <row r="91" spans="59:141" ht="15" customHeight="1" x14ac:dyDescent="0.35">
      <c r="BK91" s="450"/>
      <c r="BL91" s="451"/>
      <c r="BM91" s="452"/>
      <c r="BN91" s="451"/>
      <c r="BO91" s="452"/>
      <c r="BZ91" s="168"/>
      <c r="CA91" s="154" t="str">
        <f>IF(BZ91="","",INDEX(bhpc_data[description],MATCH(BZ91,bhpc_data[sku],0)))</f>
        <v/>
      </c>
      <c r="CB91" s="159"/>
      <c r="CC91" s="357"/>
      <c r="CD91" s="169"/>
      <c r="CE91" s="361"/>
      <c r="CF91" s="170"/>
      <c r="CG91" s="164" t="str">
        <f>IFERROR(ROUNDUP(CB91/INDEX(bhpc_data[units_per_carton],MATCH(BZ91,bhpc_data[sku],0)),0),"")</f>
        <v/>
      </c>
      <c r="CH91" s="165" t="str">
        <f>IFERROR(ROUNDUP(CD91/INDEX(bhpc_data[units_per_carton],MATCH(BZ91,bhpc_data[sku],0)),0),"")</f>
        <v/>
      </c>
      <c r="CI91" s="165" t="str">
        <f>IFERROR(ROUNDUP(CF91/INDEX(bhpc_data[units_per_carton],MATCH(BZ91,bhpc_data[sku])),0),"")</f>
        <v/>
      </c>
      <c r="CJ91" s="165" t="str">
        <f>IFERROR(((CB91+CD91+CF91)/INDEX(bhpc_data[units_per_carton],MATCH(BZ91,bhpc_data[sku],0)))*INDEX(bhpc_data[net_weight],MATCH(BZ91,bhpc_data[sku],0)),"")</f>
        <v/>
      </c>
      <c r="CK91" s="165" t="str">
        <f>IFERROR(((CB91+CD91+CF91)/INDEX(bhpc_data[units_per_carton],MATCH(BZ91,bhpc_data[sku],0)))*INDEX(bhpc_data[gross_weight],MATCH(BZ91,bhpc_data[sku],0)),"")</f>
        <v/>
      </c>
      <c r="CL91" s="180" t="str">
        <f>IFERROR((CB91+CD91+CF91)/INDEX(bhpc_data[units_per_carton],MATCH(BZ91,bhpc_data[sku],0))*INDEX(bhpc_data[lenght],MATCH(BZ91,bhpc_data[sku],0))*INDEX(bhpc_data[width],MATCH(BZ91,bhpc_data[sku],0))*INDEX(bhpc_data[height],MATCH(BZ91,bhpc_data[sku],0))/1000000000,"")</f>
        <v/>
      </c>
      <c r="CM91" s="189" t="str">
        <f>IFERROR(INDEX(bhpc_data[category],MATCH(BZ91,bhpc_data[sku],0)),"")</f>
        <v/>
      </c>
      <c r="CN91" s="189" t="str">
        <f>IFERROR(INDEX(bhpc_data[size1],MATCH(BZ91,bhpc_data[sku],0)),"")</f>
        <v/>
      </c>
      <c r="CO91" s="388" t="str">
        <f>IFERROR(INDEX(bhpc_data[hs_code],MATCH(BZ91,bhpc_data[sku],0)),"")</f>
        <v/>
      </c>
      <c r="CP91" s="377" t="str">
        <f>IFERROR(INDEX(inventory[ESISTENZA],MATCH(BZ91,inventory[ARTICOLO],0)),"")</f>
        <v/>
      </c>
      <c r="CQ91" s="364" t="str">
        <f>IFERROR(IF(BZ91="","",IF($BX$15="SALE",INDEX(inventory[COSTO UNITARIO],MATCH(BZ91,inventory[ARTICOLO],0)),IF($BX$15="SAMPLING",INDEX(inventory[COSTO UNITARIO],MATCH(BZ91,inventory[ARTICOLO],0)),""))),"")</f>
        <v/>
      </c>
      <c r="CR91" s="365" t="str">
        <f t="shared" si="5"/>
        <v/>
      </c>
      <c r="CS91" s="264" t="str">
        <f t="shared" si="6"/>
        <v/>
      </c>
      <c r="DA91" s="432" t="str">
        <f>IFERROR(VLOOKUP(BZ91,bhpc_data[],22,FALSE),"")</f>
        <v/>
      </c>
      <c r="EE91" s="202" t="str" cm="1">
        <f t="array" ref="EE91">IFERROR(IF($EC$9="",IF($EC$11="",IF($EC$13="",INDEX(bhpc_data[sku],SMALL(MATCH(ROW(bhpc_data[sku]),ROW(bhpc_data[sku])),ROWS($A$15:A96)+$B$3)),INDEX(bhpc_data[sku],SMALL(IF(ISNUMBER(MATCH(bhpc_data[size1],$EC$13,0)),MATCH(ROW(bhpc_data[sku]),ROW(bhpc_data[sku])),""),ROWS($A$15:A96)+$B$3))),IF($EC$13="",INDEX(bhpc_data[sku],SMALL(IF(ISNUMBER(MATCH(bhpc_data[sex],$EC$11,0)),MATCH(ROW(bhpc_data[sku]),ROW(bhpc_data[sku])),""),ROWS($A$15:A96)+$B$3)),INDEX(bhpc_data[sku],SMALL(IF(ISNUMBER(MATCH(bhpc_data[sex],$EC$11,0)*MATCH(bhpc_data[size1],$EC$13,0)),MATCH(ROW(bhpc_data[sku]),ROW(bhpc_data[sku])),""),ROWS($A$15:A96)+$B$3)))),IF($EC$11="",IF($EC$13="",INDEX(bhpc_data[sku],SMALL(IF(ISNUMBER(MATCH(bhpc_data[category],$EC$9,0)),MATCH(ROW(bhpc_data[sku]),ROW(bhpc_data[sku])),""),ROWS($A$15:A96)+$B$3)),INDEX(bhpc_data[sku],SMALL(IF(ISNUMBER(MATCH(bhpc_data[category],$EC$9,0)*MATCH(bhpc_data[size1],$EC$13,0)),MATCH(ROW(bhpc_data[sku]),ROW(bhpc_data[sku])),""),ROWS($A$15:A96)+$B$3))),IF($EC$13="",INDEX(bhpc_data[sku],SMALL(IF(ISNUMBER(MATCH(bhpc_data[category],$EC$9,0)*MATCH(bhpc_data[sex],$EC$11,0)),MATCH(ROW(bhpc_data[sku]),ROW(bhpc_data[sku])),""),ROWS($A$15:A96)+$B$3)),INDEX(bhpc_data[sku],SMALL(IF(ISNUMBER(MATCH(bhpc_data[category],$EC$9,0)*MATCH(bhpc_data[sex],$EC$11,0)*MATCH(bhpc_data[size1],$EC$13,0)),MATCH(ROW(bhpc_data[sku]),ROW(bhpc_data[sku])),""),ROWS($A$15:A96)+$B$3))))),"")</f>
        <v>PBM002</v>
      </c>
      <c r="EF91" s="198" t="str" cm="1">
        <f t="array" ref="EF91">IFERROR(IF($EC$9="",IF($EC$11="",IF($EC$13="",INDEX(bhpc_data[description],SMALL(MATCH(ROW(bhpc_data[sku]),ROW(bhpc_data[sku])),ROWS($A$15:A96)+$B$3)),INDEX(bhpc_data[description],SMALL(IF(ISNUMBER(MATCH(bhpc_data[size1],$EC$13,0)),MATCH(ROW(bhpc_data[sku]),ROW(bhpc_data[sku])),""),ROWS($A$15:A96)+$B$3))),IF($EC$13="",INDEX(bhpc_data[description],SMALL(IF(ISNUMBER(MATCH(bhpc_data[sex],$EC$11,0)),MATCH(ROW(bhpc_data[sku]),ROW(bhpc_data[sku])),""),ROWS($A$15:A96)+$B$3)),INDEX(bhpc_data[description],SMALL(IF(ISNUMBER(MATCH(bhpc_data[sex],$EC$11,0)*MATCH(bhpc_data[size1],$EC$13,0)),MATCH(ROW(bhpc_data[sku]),ROW(bhpc_data[sku])),""),ROWS($A$15:A96)+$B$3)))),IF($EC$11="",IF($EC$13="",INDEX(bhpc_data[description],SMALL(IF(ISNUMBER(MATCH(bhpc_data[category],$EC$9,0)),MATCH(ROW(bhpc_data[sku]),ROW(bhpc_data[sku])),""),ROWS($A$15:A96)+$B$3)),INDEX(bhpc_data[description],SMALL(IF(ISNUMBER(MATCH(bhpc_data[category],$EC$9,0)*MATCH(bhpc_data[size1],$EC$13,0)),MATCH(ROW(bhpc_data[sku]),ROW(bhpc_data[sku])),""),ROWS($A$15:A96)+$B$3))),IF($EC$13="",INDEX(bhpc_data[description],SMALL(IF(ISNUMBER(MATCH(bhpc_data[category],$EC$9,0)*MATCH(bhpc_data[sex],$EC$11,0)),MATCH(ROW(bhpc_data[sku]),ROW(bhpc_data[sku])),""),ROWS($A$15:A96)+$B$3)),INDEX(bhpc_data[description],SMALL(IF(ISNUMBER(MATCH(bhpc_data[category],$EC$9,0)*MATCH(bhpc_data[sex],$EC$11,0)*MATCH(bhpc_data[size1],$EC$13,0)),MATCH(ROW(bhpc_data[sku]),ROW(bhpc_data[sku])),""),ROWS($A$15:A96)+$B$3))))),"")</f>
        <v>BHPC WOMEN BODY MIST #2 CLASSIC FOUGERE 200ML</v>
      </c>
      <c r="EG91" s="263">
        <f>IFERROR(IF(warehouse[[#This Row],[SKU]]="","",INDEX(inventory[ESISTENZA],MATCH(warehouse[[#This Row],[SKU]],inventory[ARTICOLO],0))),"")</f>
        <v>666</v>
      </c>
      <c r="EH91" s="328"/>
      <c r="EI91" s="328"/>
      <c r="EJ91" s="263"/>
      <c r="EK91" s="329"/>
    </row>
    <row r="92" spans="59:141" ht="15" customHeight="1" x14ac:dyDescent="0.35">
      <c r="BK92" s="450"/>
      <c r="BL92" s="451"/>
      <c r="BM92" s="452"/>
      <c r="BN92" s="451"/>
      <c r="BO92" s="452"/>
      <c r="BZ92" s="168"/>
      <c r="CA92" s="154" t="str">
        <f>IF(BZ92="","",INDEX(bhpc_data[description],MATCH(BZ92,bhpc_data[sku],0)))</f>
        <v/>
      </c>
      <c r="CB92" s="159"/>
      <c r="CC92" s="357"/>
      <c r="CD92" s="169"/>
      <c r="CE92" s="361"/>
      <c r="CF92" s="170"/>
      <c r="CG92" s="164" t="str">
        <f>IFERROR(ROUNDUP(CB92/INDEX(bhpc_data[units_per_carton],MATCH(BZ92,bhpc_data[sku],0)),0),"")</f>
        <v/>
      </c>
      <c r="CH92" s="165" t="str">
        <f>IFERROR(ROUNDUP(CD92/INDEX(bhpc_data[units_per_carton],MATCH(BZ92,bhpc_data[sku],0)),0),"")</f>
        <v/>
      </c>
      <c r="CI92" s="165" t="str">
        <f>IFERROR(ROUNDUP(CF92/INDEX(bhpc_data[units_per_carton],MATCH(BZ92,bhpc_data[sku])),0),"")</f>
        <v/>
      </c>
      <c r="CJ92" s="165" t="str">
        <f>IFERROR(((CB92+CD92+CF92)/INDEX(bhpc_data[units_per_carton],MATCH(BZ92,bhpc_data[sku],0)))*INDEX(bhpc_data[net_weight],MATCH(BZ92,bhpc_data[sku],0)),"")</f>
        <v/>
      </c>
      <c r="CK92" s="165" t="str">
        <f>IFERROR(((CB92+CD92+CF92)/INDEX(bhpc_data[units_per_carton],MATCH(BZ92,bhpc_data[sku],0)))*INDEX(bhpc_data[gross_weight],MATCH(BZ92,bhpc_data[sku],0)),"")</f>
        <v/>
      </c>
      <c r="CL92" s="180" t="str">
        <f>IFERROR((CB92+CD92+CF92)/INDEX(bhpc_data[units_per_carton],MATCH(BZ92,bhpc_data[sku],0))*INDEX(bhpc_data[lenght],MATCH(BZ92,bhpc_data[sku],0))*INDEX(bhpc_data[width],MATCH(BZ92,bhpc_data[sku],0))*INDEX(bhpc_data[height],MATCH(BZ92,bhpc_data[sku],0))/1000000000,"")</f>
        <v/>
      </c>
      <c r="CM92" s="189" t="str">
        <f>IFERROR(INDEX(bhpc_data[category],MATCH(BZ92,bhpc_data[sku],0)),"")</f>
        <v/>
      </c>
      <c r="CN92" s="189" t="str">
        <f>IFERROR(INDEX(bhpc_data[size1],MATCH(BZ92,bhpc_data[sku],0)),"")</f>
        <v/>
      </c>
      <c r="CO92" s="388" t="str">
        <f>IFERROR(INDEX(bhpc_data[hs_code],MATCH(BZ92,bhpc_data[sku],0)),"")</f>
        <v/>
      </c>
      <c r="CP92" s="377" t="str">
        <f>IFERROR(INDEX(inventory[ESISTENZA],MATCH(BZ92,inventory[ARTICOLO],0)),"")</f>
        <v/>
      </c>
      <c r="CQ92" s="364" t="str">
        <f>IFERROR(IF(BZ92="","",IF($BX$15="SALE",INDEX(inventory[COSTO UNITARIO],MATCH(BZ92,inventory[ARTICOLO],0)),IF($BX$15="SAMPLING",INDEX(inventory[COSTO UNITARIO],MATCH(BZ92,inventory[ARTICOLO],0)),""))),"")</f>
        <v/>
      </c>
      <c r="CR92" s="365" t="str">
        <f t="shared" si="5"/>
        <v/>
      </c>
      <c r="CS92" s="264" t="str">
        <f t="shared" si="6"/>
        <v/>
      </c>
      <c r="DA92" s="432" t="str">
        <f>IFERROR(VLOOKUP(BZ92,bhpc_data[],22,FALSE),"")</f>
        <v/>
      </c>
      <c r="EE92" s="202" t="str" cm="1">
        <f t="array" ref="EE92">IFERROR(IF($EC$9="",IF($EC$11="",IF($EC$13="",INDEX(bhpc_data[sku],SMALL(MATCH(ROW(bhpc_data[sku]),ROW(bhpc_data[sku])),ROWS($A$15:A97)+$B$3)),INDEX(bhpc_data[sku],SMALL(IF(ISNUMBER(MATCH(bhpc_data[size1],$EC$13,0)),MATCH(ROW(bhpc_data[sku]),ROW(bhpc_data[sku])),""),ROWS($A$15:A97)+$B$3))),IF($EC$13="",INDEX(bhpc_data[sku],SMALL(IF(ISNUMBER(MATCH(bhpc_data[sex],$EC$11,0)),MATCH(ROW(bhpc_data[sku]),ROW(bhpc_data[sku])),""),ROWS($A$15:A97)+$B$3)),INDEX(bhpc_data[sku],SMALL(IF(ISNUMBER(MATCH(bhpc_data[sex],$EC$11,0)*MATCH(bhpc_data[size1],$EC$13,0)),MATCH(ROW(bhpc_data[sku]),ROW(bhpc_data[sku])),""),ROWS($A$15:A97)+$B$3)))),IF($EC$11="",IF($EC$13="",INDEX(bhpc_data[sku],SMALL(IF(ISNUMBER(MATCH(bhpc_data[category],$EC$9,0)),MATCH(ROW(bhpc_data[sku]),ROW(bhpc_data[sku])),""),ROWS($A$15:A97)+$B$3)),INDEX(bhpc_data[sku],SMALL(IF(ISNUMBER(MATCH(bhpc_data[category],$EC$9,0)*MATCH(bhpc_data[size1],$EC$13,0)),MATCH(ROW(bhpc_data[sku]),ROW(bhpc_data[sku])),""),ROWS($A$15:A97)+$B$3))),IF($EC$13="",INDEX(bhpc_data[sku],SMALL(IF(ISNUMBER(MATCH(bhpc_data[category],$EC$9,0)*MATCH(bhpc_data[sex],$EC$11,0)),MATCH(ROW(bhpc_data[sku]),ROW(bhpc_data[sku])),""),ROWS($A$15:A97)+$B$3)),INDEX(bhpc_data[sku],SMALL(IF(ISNUMBER(MATCH(bhpc_data[category],$EC$9,0)*MATCH(bhpc_data[sex],$EC$11,0)*MATCH(bhpc_data[size1],$EC$13,0)),MATCH(ROW(bhpc_data[sku]),ROW(bhpc_data[sku])),""),ROWS($A$15:A97)+$B$3))))),"")</f>
        <v>PBM008</v>
      </c>
      <c r="EF92" s="198" t="str" cm="1">
        <f t="array" ref="EF92">IFERROR(IF($EC$9="",IF($EC$11="",IF($EC$13="",INDEX(bhpc_data[description],SMALL(MATCH(ROW(bhpc_data[sku]),ROW(bhpc_data[sku])),ROWS($A$15:A97)+$B$3)),INDEX(bhpc_data[description],SMALL(IF(ISNUMBER(MATCH(bhpc_data[size1],$EC$13,0)),MATCH(ROW(bhpc_data[sku]),ROW(bhpc_data[sku])),""),ROWS($A$15:A97)+$B$3))),IF($EC$13="",INDEX(bhpc_data[description],SMALL(IF(ISNUMBER(MATCH(bhpc_data[sex],$EC$11,0)),MATCH(ROW(bhpc_data[sku]),ROW(bhpc_data[sku])),""),ROWS($A$15:A97)+$B$3)),INDEX(bhpc_data[description],SMALL(IF(ISNUMBER(MATCH(bhpc_data[sex],$EC$11,0)*MATCH(bhpc_data[size1],$EC$13,0)),MATCH(ROW(bhpc_data[sku]),ROW(bhpc_data[sku])),""),ROWS($A$15:A97)+$B$3)))),IF($EC$11="",IF($EC$13="",INDEX(bhpc_data[description],SMALL(IF(ISNUMBER(MATCH(bhpc_data[category],$EC$9,0)),MATCH(ROW(bhpc_data[sku]),ROW(bhpc_data[sku])),""),ROWS($A$15:A97)+$B$3)),INDEX(bhpc_data[description],SMALL(IF(ISNUMBER(MATCH(bhpc_data[category],$EC$9,0)*MATCH(bhpc_data[size1],$EC$13,0)),MATCH(ROW(bhpc_data[sku]),ROW(bhpc_data[sku])),""),ROWS($A$15:A97)+$B$3))),IF($EC$13="",INDEX(bhpc_data[description],SMALL(IF(ISNUMBER(MATCH(bhpc_data[category],$EC$9,0)*MATCH(bhpc_data[sex],$EC$11,0)),MATCH(ROW(bhpc_data[sku]),ROW(bhpc_data[sku])),""),ROWS($A$15:A97)+$B$3)),INDEX(bhpc_data[description],SMALL(IF(ISNUMBER(MATCH(bhpc_data[category],$EC$9,0)*MATCH(bhpc_data[sex],$EC$11,0)*MATCH(bhpc_data[size1],$EC$13,0)),MATCH(ROW(bhpc_data[sku]),ROW(bhpc_data[sku])),""),ROWS($A$15:A97)+$B$3))))),"")</f>
        <v>BHPC WOMEN BODY MIST #8 EXOTIC FRAGRANCE 200ML</v>
      </c>
      <c r="EG92" s="263">
        <f>IFERROR(IF(warehouse[[#This Row],[SKU]]="","",INDEX(inventory[ESISTENZA],MATCH(warehouse[[#This Row],[SKU]],inventory[ARTICOLO],0))),"")</f>
        <v>422</v>
      </c>
      <c r="EH92" s="328"/>
      <c r="EI92" s="328"/>
      <c r="EJ92" s="263"/>
      <c r="EK92" s="329"/>
    </row>
    <row r="93" spans="59:141" ht="15" customHeight="1" x14ac:dyDescent="0.35">
      <c r="BK93" s="450"/>
      <c r="BL93" s="451"/>
      <c r="BM93" s="452"/>
      <c r="BN93" s="451"/>
      <c r="BO93" s="452"/>
      <c r="BZ93" s="168"/>
      <c r="CA93" s="154" t="str">
        <f>IF(BZ93="","",INDEX(bhpc_data[description],MATCH(BZ93,bhpc_data[sku],0)))</f>
        <v/>
      </c>
      <c r="CB93" s="159"/>
      <c r="CC93" s="357"/>
      <c r="CD93" s="169"/>
      <c r="CE93" s="361"/>
      <c r="CF93" s="170"/>
      <c r="CG93" s="164" t="str">
        <f>IFERROR(ROUNDUP(CB93/INDEX(bhpc_data[units_per_carton],MATCH(BZ93,bhpc_data[sku],0)),0),"")</f>
        <v/>
      </c>
      <c r="CH93" s="165" t="str">
        <f>IFERROR(ROUNDUP(CD93/INDEX(bhpc_data[units_per_carton],MATCH(BZ93,bhpc_data[sku],0)),0),"")</f>
        <v/>
      </c>
      <c r="CI93" s="165" t="str">
        <f>IFERROR(ROUNDUP(CF93/INDEX(bhpc_data[units_per_carton],MATCH(BZ93,bhpc_data[sku])),0),"")</f>
        <v/>
      </c>
      <c r="CJ93" s="165" t="str">
        <f>IFERROR(((CB93+CD93+CF93)/INDEX(bhpc_data[units_per_carton],MATCH(BZ93,bhpc_data[sku],0)))*INDEX(bhpc_data[net_weight],MATCH(BZ93,bhpc_data[sku],0)),"")</f>
        <v/>
      </c>
      <c r="CK93" s="165" t="str">
        <f>IFERROR(((CB93+CD93+CF93)/INDEX(bhpc_data[units_per_carton],MATCH(BZ93,bhpc_data[sku],0)))*INDEX(bhpc_data[gross_weight],MATCH(BZ93,bhpc_data[sku],0)),"")</f>
        <v/>
      </c>
      <c r="CL93" s="180" t="str">
        <f>IFERROR((CB93+CD93+CF93)/INDEX(bhpc_data[units_per_carton],MATCH(BZ93,bhpc_data[sku],0))*INDEX(bhpc_data[lenght],MATCH(BZ93,bhpc_data[sku],0))*INDEX(bhpc_data[width],MATCH(BZ93,bhpc_data[sku],0))*INDEX(bhpc_data[height],MATCH(BZ93,bhpc_data[sku],0))/1000000000,"")</f>
        <v/>
      </c>
      <c r="CM93" s="189" t="str">
        <f>IFERROR(INDEX(bhpc_data[category],MATCH(BZ93,bhpc_data[sku],0)),"")</f>
        <v/>
      </c>
      <c r="CN93" s="189" t="str">
        <f>IFERROR(INDEX(bhpc_data[size1],MATCH(BZ93,bhpc_data[sku],0)),"")</f>
        <v/>
      </c>
      <c r="CO93" s="388" t="str">
        <f>IFERROR(INDEX(bhpc_data[hs_code],MATCH(BZ93,bhpc_data[sku],0)),"")</f>
        <v/>
      </c>
      <c r="CP93" s="377" t="str">
        <f>IFERROR(INDEX(inventory[ESISTENZA],MATCH(BZ93,inventory[ARTICOLO],0)),"")</f>
        <v/>
      </c>
      <c r="CQ93" s="364" t="str">
        <f>IFERROR(IF(BZ93="","",IF($BX$15="SALE",INDEX(inventory[COSTO UNITARIO],MATCH(BZ93,inventory[ARTICOLO],0)),IF($BX$15="SAMPLING",INDEX(inventory[COSTO UNITARIO],MATCH(BZ93,inventory[ARTICOLO],0)),""))),"")</f>
        <v/>
      </c>
      <c r="CR93" s="365" t="str">
        <f t="shared" si="5"/>
        <v/>
      </c>
      <c r="CS93" s="264" t="str">
        <f t="shared" si="6"/>
        <v/>
      </c>
      <c r="DA93" s="432" t="str">
        <f>IFERROR(VLOOKUP(BZ93,bhpc_data[],22,FALSE),"")</f>
        <v/>
      </c>
      <c r="EE93" s="202" t="str" cm="1">
        <f t="array" ref="EE93">IFERROR(IF($EC$9="",IF($EC$11="",IF($EC$13="",INDEX(bhpc_data[sku],SMALL(MATCH(ROW(bhpc_data[sku]),ROW(bhpc_data[sku])),ROWS($A$15:A98)+$B$3)),INDEX(bhpc_data[sku],SMALL(IF(ISNUMBER(MATCH(bhpc_data[size1],$EC$13,0)),MATCH(ROW(bhpc_data[sku]),ROW(bhpc_data[sku])),""),ROWS($A$15:A98)+$B$3))),IF($EC$13="",INDEX(bhpc_data[sku],SMALL(IF(ISNUMBER(MATCH(bhpc_data[sex],$EC$11,0)),MATCH(ROW(bhpc_data[sku]),ROW(bhpc_data[sku])),""),ROWS($A$15:A98)+$B$3)),INDEX(bhpc_data[sku],SMALL(IF(ISNUMBER(MATCH(bhpc_data[sex],$EC$11,0)*MATCH(bhpc_data[size1],$EC$13,0)),MATCH(ROW(bhpc_data[sku]),ROW(bhpc_data[sku])),""),ROWS($A$15:A98)+$B$3)))),IF($EC$11="",IF($EC$13="",INDEX(bhpc_data[sku],SMALL(IF(ISNUMBER(MATCH(bhpc_data[category],$EC$9,0)),MATCH(ROW(bhpc_data[sku]),ROW(bhpc_data[sku])),""),ROWS($A$15:A98)+$B$3)),INDEX(bhpc_data[sku],SMALL(IF(ISNUMBER(MATCH(bhpc_data[category],$EC$9,0)*MATCH(bhpc_data[size1],$EC$13,0)),MATCH(ROW(bhpc_data[sku]),ROW(bhpc_data[sku])),""),ROWS($A$15:A98)+$B$3))),IF($EC$13="",INDEX(bhpc_data[sku],SMALL(IF(ISNUMBER(MATCH(bhpc_data[category],$EC$9,0)*MATCH(bhpc_data[sex],$EC$11,0)),MATCH(ROW(bhpc_data[sku]),ROW(bhpc_data[sku])),""),ROWS($A$15:A98)+$B$3)),INDEX(bhpc_data[sku],SMALL(IF(ISNUMBER(MATCH(bhpc_data[category],$EC$9,0)*MATCH(bhpc_data[sex],$EC$11,0)*MATCH(bhpc_data[size1],$EC$13,0)),MATCH(ROW(bhpc_data[sku]),ROW(bhpc_data[sku])),""),ROWS($A$15:A98)+$B$3))))),"")</f>
        <v>PBM009</v>
      </c>
      <c r="EF93" s="198" t="str" cm="1">
        <f t="array" ref="EF93">IFERROR(IF($EC$9="",IF($EC$11="",IF($EC$13="",INDEX(bhpc_data[description],SMALL(MATCH(ROW(bhpc_data[sku]),ROW(bhpc_data[sku])),ROWS($A$15:A98)+$B$3)),INDEX(bhpc_data[description],SMALL(IF(ISNUMBER(MATCH(bhpc_data[size1],$EC$13,0)),MATCH(ROW(bhpc_data[sku]),ROW(bhpc_data[sku])),""),ROWS($A$15:A98)+$B$3))),IF($EC$13="",INDEX(bhpc_data[description],SMALL(IF(ISNUMBER(MATCH(bhpc_data[sex],$EC$11,0)),MATCH(ROW(bhpc_data[sku]),ROW(bhpc_data[sku])),""),ROWS($A$15:A98)+$B$3)),INDEX(bhpc_data[description],SMALL(IF(ISNUMBER(MATCH(bhpc_data[sex],$EC$11,0)*MATCH(bhpc_data[size1],$EC$13,0)),MATCH(ROW(bhpc_data[sku]),ROW(bhpc_data[sku])),""),ROWS($A$15:A98)+$B$3)))),IF($EC$11="",IF($EC$13="",INDEX(bhpc_data[description],SMALL(IF(ISNUMBER(MATCH(bhpc_data[category],$EC$9,0)),MATCH(ROW(bhpc_data[sku]),ROW(bhpc_data[sku])),""),ROWS($A$15:A98)+$B$3)),INDEX(bhpc_data[description],SMALL(IF(ISNUMBER(MATCH(bhpc_data[category],$EC$9,0)*MATCH(bhpc_data[size1],$EC$13,0)),MATCH(ROW(bhpc_data[sku]),ROW(bhpc_data[sku])),""),ROWS($A$15:A98)+$B$3))),IF($EC$13="",INDEX(bhpc_data[description],SMALL(IF(ISNUMBER(MATCH(bhpc_data[category],$EC$9,0)*MATCH(bhpc_data[sex],$EC$11,0)),MATCH(ROW(bhpc_data[sku]),ROW(bhpc_data[sku])),""),ROWS($A$15:A98)+$B$3)),INDEX(bhpc_data[description],SMALL(IF(ISNUMBER(MATCH(bhpc_data[category],$EC$9,0)*MATCH(bhpc_data[sex],$EC$11,0)*MATCH(bhpc_data[size1],$EC$13,0)),MATCH(ROW(bhpc_data[sku]),ROW(bhpc_data[sku])),""),ROWS($A$15:A98)+$B$3))))),"")</f>
        <v>BHPC WOMEN BODY MIST #9 SPARKING FLORAL 200ML</v>
      </c>
      <c r="EG93" s="263">
        <f>IFERROR(IF(warehouse[[#This Row],[SKU]]="","",INDEX(inventory[ESISTENZA],MATCH(warehouse[[#This Row],[SKU]],inventory[ARTICOLO],0))),"")</f>
        <v>618</v>
      </c>
      <c r="EH93" s="328"/>
      <c r="EI93" s="328"/>
      <c r="EJ93" s="263"/>
      <c r="EK93" s="329"/>
    </row>
    <row r="94" spans="59:141" ht="15" customHeight="1" x14ac:dyDescent="0.35">
      <c r="BK94" s="450"/>
      <c r="BL94" s="451"/>
      <c r="BM94" s="452"/>
      <c r="BN94" s="451"/>
      <c r="BO94" s="452"/>
      <c r="BZ94" s="168"/>
      <c r="CA94" s="154" t="str">
        <f>IF(BZ94="","",INDEX(bhpc_data[description],MATCH(BZ94,bhpc_data[sku],0)))</f>
        <v/>
      </c>
      <c r="CB94" s="159"/>
      <c r="CC94" s="357"/>
      <c r="CD94" s="169"/>
      <c r="CE94" s="361"/>
      <c r="CF94" s="170"/>
      <c r="CG94" s="164" t="str">
        <f>IFERROR(ROUNDUP(CB94/INDEX(bhpc_data[units_per_carton],MATCH(BZ94,bhpc_data[sku],0)),0),"")</f>
        <v/>
      </c>
      <c r="CH94" s="165" t="str">
        <f>IFERROR(ROUNDUP(CD94/INDEX(bhpc_data[units_per_carton],MATCH(BZ94,bhpc_data[sku],0)),0),"")</f>
        <v/>
      </c>
      <c r="CI94" s="165" t="str">
        <f>IFERROR(ROUNDUP(CF94/INDEX(bhpc_data[units_per_carton],MATCH(BZ94,bhpc_data[sku])),0),"")</f>
        <v/>
      </c>
      <c r="CJ94" s="165" t="str">
        <f>IFERROR(((CB94+CD94+CF94)/INDEX(bhpc_data[units_per_carton],MATCH(BZ94,bhpc_data[sku],0)))*INDEX(bhpc_data[net_weight],MATCH(BZ94,bhpc_data[sku],0)),"")</f>
        <v/>
      </c>
      <c r="CK94" s="165" t="str">
        <f>IFERROR(((CB94+CD94+CF94)/INDEX(bhpc_data[units_per_carton],MATCH(BZ94,bhpc_data[sku],0)))*INDEX(bhpc_data[gross_weight],MATCH(BZ94,bhpc_data[sku],0)),"")</f>
        <v/>
      </c>
      <c r="CL94" s="180" t="str">
        <f>IFERROR((CB94+CD94+CF94)/INDEX(bhpc_data[units_per_carton],MATCH(BZ94,bhpc_data[sku],0))*INDEX(bhpc_data[lenght],MATCH(BZ94,bhpc_data[sku],0))*INDEX(bhpc_data[width],MATCH(BZ94,bhpc_data[sku],0))*INDEX(bhpc_data[height],MATCH(BZ94,bhpc_data[sku],0))/1000000000,"")</f>
        <v/>
      </c>
      <c r="CM94" s="189" t="str">
        <f>IFERROR(INDEX(bhpc_data[category],MATCH(BZ94,bhpc_data[sku],0)),"")</f>
        <v/>
      </c>
      <c r="CN94" s="189" t="str">
        <f>IFERROR(INDEX(bhpc_data[size1],MATCH(BZ94,bhpc_data[sku],0)),"")</f>
        <v/>
      </c>
      <c r="CO94" s="388" t="str">
        <f>IFERROR(INDEX(bhpc_data[hs_code],MATCH(BZ94,bhpc_data[sku],0)),"")</f>
        <v/>
      </c>
      <c r="CP94" s="377" t="str">
        <f>IFERROR(INDEX(inventory[ESISTENZA],MATCH(BZ94,inventory[ARTICOLO],0)),"")</f>
        <v/>
      </c>
      <c r="CQ94" s="364" t="str">
        <f>IFERROR(IF(BZ94="","",IF($BX$15="SALE",INDEX(inventory[COSTO UNITARIO],MATCH(BZ94,inventory[ARTICOLO],0)),IF($BX$15="SAMPLING",INDEX(inventory[COSTO UNITARIO],MATCH(BZ94,inventory[ARTICOLO],0)),""))),"")</f>
        <v/>
      </c>
      <c r="CR94" s="365" t="str">
        <f t="shared" si="5"/>
        <v/>
      </c>
      <c r="CS94" s="264" t="str">
        <f t="shared" si="6"/>
        <v/>
      </c>
      <c r="DA94" s="432" t="str">
        <f>IFERROR(VLOOKUP(BZ94,bhpc_data[],22,FALSE),"")</f>
        <v/>
      </c>
      <c r="EE94" s="202" t="str" cm="1">
        <f t="array" ref="EE94">IFERROR(IF($EC$9="",IF($EC$11="",IF($EC$13="",INDEX(bhpc_data[sku],SMALL(MATCH(ROW(bhpc_data[sku]),ROW(bhpc_data[sku])),ROWS($A$15:A99)+$B$3)),INDEX(bhpc_data[sku],SMALL(IF(ISNUMBER(MATCH(bhpc_data[size1],$EC$13,0)),MATCH(ROW(bhpc_data[sku]),ROW(bhpc_data[sku])),""),ROWS($A$15:A99)+$B$3))),IF($EC$13="",INDEX(bhpc_data[sku],SMALL(IF(ISNUMBER(MATCH(bhpc_data[sex],$EC$11,0)),MATCH(ROW(bhpc_data[sku]),ROW(bhpc_data[sku])),""),ROWS($A$15:A99)+$B$3)),INDEX(bhpc_data[sku],SMALL(IF(ISNUMBER(MATCH(bhpc_data[sex],$EC$11,0)*MATCH(bhpc_data[size1],$EC$13,0)),MATCH(ROW(bhpc_data[sku]),ROW(bhpc_data[sku])),""),ROWS($A$15:A99)+$B$3)))),IF($EC$11="",IF($EC$13="",INDEX(bhpc_data[sku],SMALL(IF(ISNUMBER(MATCH(bhpc_data[category],$EC$9,0)),MATCH(ROW(bhpc_data[sku]),ROW(bhpc_data[sku])),""),ROWS($A$15:A99)+$B$3)),INDEX(bhpc_data[sku],SMALL(IF(ISNUMBER(MATCH(bhpc_data[category],$EC$9,0)*MATCH(bhpc_data[size1],$EC$13,0)),MATCH(ROW(bhpc_data[sku]),ROW(bhpc_data[sku])),""),ROWS($A$15:A99)+$B$3))),IF($EC$13="",INDEX(bhpc_data[sku],SMALL(IF(ISNUMBER(MATCH(bhpc_data[category],$EC$9,0)*MATCH(bhpc_data[sex],$EC$11,0)),MATCH(ROW(bhpc_data[sku]),ROW(bhpc_data[sku])),""),ROWS($A$15:A99)+$B$3)),INDEX(bhpc_data[sku],SMALL(IF(ISNUMBER(MATCH(bhpc_data[category],$EC$9,0)*MATCH(bhpc_data[sex],$EC$11,0)*MATCH(bhpc_data[size1],$EC$13,0)),MATCH(ROW(bhpc_data[sku]),ROW(bhpc_data[sku])),""),ROWS($A$15:A99)+$B$3))))),"")</f>
        <v>PT6000</v>
      </c>
      <c r="EF94" s="198" t="str" cm="1">
        <f t="array" ref="EF94">IFERROR(IF($EC$9="",IF($EC$11="",IF($EC$13="",INDEX(bhpc_data[description],SMALL(MATCH(ROW(bhpc_data[sku]),ROW(bhpc_data[sku])),ROWS($A$15:A99)+$B$3)),INDEX(bhpc_data[description],SMALL(IF(ISNUMBER(MATCH(bhpc_data[size1],$EC$13,0)),MATCH(ROW(bhpc_data[sku]),ROW(bhpc_data[sku])),""),ROWS($A$15:A99)+$B$3))),IF($EC$13="",INDEX(bhpc_data[description],SMALL(IF(ISNUMBER(MATCH(bhpc_data[sex],$EC$11,0)),MATCH(ROW(bhpc_data[sku]),ROW(bhpc_data[sku])),""),ROWS($A$15:A99)+$B$3)),INDEX(bhpc_data[description],SMALL(IF(ISNUMBER(MATCH(bhpc_data[sex],$EC$11,0)*MATCH(bhpc_data[size1],$EC$13,0)),MATCH(ROW(bhpc_data[sku]),ROW(bhpc_data[sku])),""),ROWS($A$15:A99)+$B$3)))),IF($EC$11="",IF($EC$13="",INDEX(bhpc_data[description],SMALL(IF(ISNUMBER(MATCH(bhpc_data[category],$EC$9,0)),MATCH(ROW(bhpc_data[sku]),ROW(bhpc_data[sku])),""),ROWS($A$15:A99)+$B$3)),INDEX(bhpc_data[description],SMALL(IF(ISNUMBER(MATCH(bhpc_data[category],$EC$9,0)*MATCH(bhpc_data[size1],$EC$13,0)),MATCH(ROW(bhpc_data[sku]),ROW(bhpc_data[sku])),""),ROWS($A$15:A99)+$B$3))),IF($EC$13="",INDEX(bhpc_data[description],SMALL(IF(ISNUMBER(MATCH(bhpc_data[category],$EC$9,0)*MATCH(bhpc_data[sex],$EC$11,0)),MATCH(ROW(bhpc_data[sku]),ROW(bhpc_data[sku])),""),ROWS($A$15:A99)+$B$3)),INDEX(bhpc_data[description],SMALL(IF(ISNUMBER(MATCH(bhpc_data[category],$EC$9,0)*MATCH(bhpc_data[sex],$EC$11,0)*MATCH(bhpc_data[size1],$EC$13,0)),MATCH(ROW(bhpc_data[sku]),ROW(bhpc_data[sku])),""),ROWS($A$15:A99)+$B$3))))),"")</f>
        <v>BHPC TESTERS TROPHY 100ML EDP MEN</v>
      </c>
      <c r="EG94" s="263">
        <f>IFERROR(IF(warehouse[[#This Row],[SKU]]="","",INDEX(inventory[ESISTENZA],MATCH(warehouse[[#This Row],[SKU]],inventory[ARTICOLO],0))),"")</f>
        <v>0</v>
      </c>
      <c r="EH94" s="328"/>
      <c r="EI94" s="328"/>
      <c r="EJ94" s="263"/>
      <c r="EK94" s="329"/>
    </row>
    <row r="95" spans="59:141" ht="15" customHeight="1" x14ac:dyDescent="0.35">
      <c r="BK95" s="450"/>
      <c r="BL95" s="451"/>
      <c r="BM95" s="452"/>
      <c r="BN95" s="451"/>
      <c r="BO95" s="452"/>
      <c r="BZ95" s="168"/>
      <c r="CA95" s="154" t="str">
        <f>IF(BZ95="","",INDEX(bhpc_data[description],MATCH(BZ95,bhpc_data[sku],0)))</f>
        <v/>
      </c>
      <c r="CB95" s="159"/>
      <c r="CC95" s="357"/>
      <c r="CD95" s="169"/>
      <c r="CE95" s="361"/>
      <c r="CF95" s="170"/>
      <c r="CG95" s="164" t="str">
        <f>IFERROR(ROUNDUP(CB95/INDEX(bhpc_data[units_per_carton],MATCH(BZ95,bhpc_data[sku],0)),0),"")</f>
        <v/>
      </c>
      <c r="CH95" s="165" t="str">
        <f>IFERROR(ROUNDUP(CD95/INDEX(bhpc_data[units_per_carton],MATCH(BZ95,bhpc_data[sku],0)),0),"")</f>
        <v/>
      </c>
      <c r="CI95" s="165" t="str">
        <f>IFERROR(ROUNDUP(CF95/INDEX(bhpc_data[units_per_carton],MATCH(BZ95,bhpc_data[sku])),0),"")</f>
        <v/>
      </c>
      <c r="CJ95" s="165" t="str">
        <f>IFERROR(((CB95+CD95+CF95)/INDEX(bhpc_data[units_per_carton],MATCH(BZ95,bhpc_data[sku],0)))*INDEX(bhpc_data[net_weight],MATCH(BZ95,bhpc_data[sku],0)),"")</f>
        <v/>
      </c>
      <c r="CK95" s="165" t="str">
        <f>IFERROR(((CB95+CD95+CF95)/INDEX(bhpc_data[units_per_carton],MATCH(BZ95,bhpc_data[sku],0)))*INDEX(bhpc_data[gross_weight],MATCH(BZ95,bhpc_data[sku],0)),"")</f>
        <v/>
      </c>
      <c r="CL95" s="180" t="str">
        <f>IFERROR((CB95+CD95+CF95)/INDEX(bhpc_data[units_per_carton],MATCH(BZ95,bhpc_data[sku],0))*INDEX(bhpc_data[lenght],MATCH(BZ95,bhpc_data[sku],0))*INDEX(bhpc_data[width],MATCH(BZ95,bhpc_data[sku],0))*INDEX(bhpc_data[height],MATCH(BZ95,bhpc_data[sku],0))/1000000000,"")</f>
        <v/>
      </c>
      <c r="CM95" s="189" t="str">
        <f>IFERROR(INDEX(bhpc_data[category],MATCH(BZ95,bhpc_data[sku],0)),"")</f>
        <v/>
      </c>
      <c r="CN95" s="189" t="str">
        <f>IFERROR(INDEX(bhpc_data[size1],MATCH(BZ95,bhpc_data[sku],0)),"")</f>
        <v/>
      </c>
      <c r="CO95" s="388" t="str">
        <f>IFERROR(INDEX(bhpc_data[hs_code],MATCH(BZ95,bhpc_data[sku],0)),"")</f>
        <v/>
      </c>
      <c r="CP95" s="377" t="str">
        <f>IFERROR(INDEX(inventory[ESISTENZA],MATCH(BZ95,inventory[ARTICOLO],0)),"")</f>
        <v/>
      </c>
      <c r="CQ95" s="364" t="str">
        <f>IFERROR(IF(BZ95="","",IF($BX$15="SALE",INDEX(inventory[COSTO UNITARIO],MATCH(BZ95,inventory[ARTICOLO],0)),IF($BX$15="SAMPLING",INDEX(inventory[COSTO UNITARIO],MATCH(BZ95,inventory[ARTICOLO],0)),""))),"")</f>
        <v/>
      </c>
      <c r="CR95" s="365" t="str">
        <f t="shared" si="5"/>
        <v/>
      </c>
      <c r="CS95" s="264" t="str">
        <f t="shared" si="6"/>
        <v/>
      </c>
      <c r="DA95" s="432" t="str">
        <f>IFERROR(VLOOKUP(BZ95,bhpc_data[],22,FALSE),"")</f>
        <v/>
      </c>
      <c r="EE95" s="202" t="str" cm="1">
        <f t="array" ref="EE95">IFERROR(IF($EC$9="",IF($EC$11="",IF($EC$13="",INDEX(bhpc_data[sku],SMALL(MATCH(ROW(bhpc_data[sku]),ROW(bhpc_data[sku])),ROWS($A$15:A100)+$B$3)),INDEX(bhpc_data[sku],SMALL(IF(ISNUMBER(MATCH(bhpc_data[size1],$EC$13,0)),MATCH(ROW(bhpc_data[sku]),ROW(bhpc_data[sku])),""),ROWS($A$15:A100)+$B$3))),IF($EC$13="",INDEX(bhpc_data[sku],SMALL(IF(ISNUMBER(MATCH(bhpc_data[sex],$EC$11,0)),MATCH(ROW(bhpc_data[sku]),ROW(bhpc_data[sku])),""),ROWS($A$15:A100)+$B$3)),INDEX(bhpc_data[sku],SMALL(IF(ISNUMBER(MATCH(bhpc_data[sex],$EC$11,0)*MATCH(bhpc_data[size1],$EC$13,0)),MATCH(ROW(bhpc_data[sku]),ROW(bhpc_data[sku])),""),ROWS($A$15:A100)+$B$3)))),IF($EC$11="",IF($EC$13="",INDEX(bhpc_data[sku],SMALL(IF(ISNUMBER(MATCH(bhpc_data[category],$EC$9,0)),MATCH(ROW(bhpc_data[sku]),ROW(bhpc_data[sku])),""),ROWS($A$15:A100)+$B$3)),INDEX(bhpc_data[sku],SMALL(IF(ISNUMBER(MATCH(bhpc_data[category],$EC$9,0)*MATCH(bhpc_data[size1],$EC$13,0)),MATCH(ROW(bhpc_data[sku]),ROW(bhpc_data[sku])),""),ROWS($A$15:A100)+$B$3))),IF($EC$13="",INDEX(bhpc_data[sku],SMALL(IF(ISNUMBER(MATCH(bhpc_data[category],$EC$9,0)*MATCH(bhpc_data[sex],$EC$11,0)),MATCH(ROW(bhpc_data[sku]),ROW(bhpc_data[sku])),""),ROWS($A$15:A100)+$B$3)),INDEX(bhpc_data[sku],SMALL(IF(ISNUMBER(MATCH(bhpc_data[category],$EC$9,0)*MATCH(bhpc_data[sex],$EC$11,0)*MATCH(bhpc_data[size1],$EC$13,0)),MATCH(ROW(bhpc_data[sku]),ROW(bhpc_data[sku])),""),ROWS($A$15:A100)+$B$3))))),"")</f>
        <v>PT6001</v>
      </c>
      <c r="EF95" s="198" t="str" cm="1">
        <f t="array" ref="EF95">IFERROR(IF($EC$9="",IF($EC$11="",IF($EC$13="",INDEX(bhpc_data[description],SMALL(MATCH(ROW(bhpc_data[sku]),ROW(bhpc_data[sku])),ROWS($A$15:A100)+$B$3)),INDEX(bhpc_data[description],SMALL(IF(ISNUMBER(MATCH(bhpc_data[size1],$EC$13,0)),MATCH(ROW(bhpc_data[sku]),ROW(bhpc_data[sku])),""),ROWS($A$15:A100)+$B$3))),IF($EC$13="",INDEX(bhpc_data[description],SMALL(IF(ISNUMBER(MATCH(bhpc_data[sex],$EC$11,0)),MATCH(ROW(bhpc_data[sku]),ROW(bhpc_data[sku])),""),ROWS($A$15:A100)+$B$3)),INDEX(bhpc_data[description],SMALL(IF(ISNUMBER(MATCH(bhpc_data[sex],$EC$11,0)*MATCH(bhpc_data[size1],$EC$13,0)),MATCH(ROW(bhpc_data[sku]),ROW(bhpc_data[sku])),""),ROWS($A$15:A100)+$B$3)))),IF($EC$11="",IF($EC$13="",INDEX(bhpc_data[description],SMALL(IF(ISNUMBER(MATCH(bhpc_data[category],$EC$9,0)),MATCH(ROW(bhpc_data[sku]),ROW(bhpc_data[sku])),""),ROWS($A$15:A100)+$B$3)),INDEX(bhpc_data[description],SMALL(IF(ISNUMBER(MATCH(bhpc_data[category],$EC$9,0)*MATCH(bhpc_data[size1],$EC$13,0)),MATCH(ROW(bhpc_data[sku]),ROW(bhpc_data[sku])),""),ROWS($A$15:A100)+$B$3))),IF($EC$13="",INDEX(bhpc_data[description],SMALL(IF(ISNUMBER(MATCH(bhpc_data[category],$EC$9,0)*MATCH(bhpc_data[sex],$EC$11,0)),MATCH(ROW(bhpc_data[sku]),ROW(bhpc_data[sku])),""),ROWS($A$15:A100)+$B$3)),INDEX(bhpc_data[description],SMALL(IF(ISNUMBER(MATCH(bhpc_data[category],$EC$9,0)*MATCH(bhpc_data[sex],$EC$11,0)*MATCH(bhpc_data[size1],$EC$13,0)),MATCH(ROW(bhpc_data[sku]),ROW(bhpc_data[sku])),""),ROWS($A$15:A100)+$B$3))))),"")</f>
        <v>BHPC TESTERS HERITAGE OUD 100ML EDP MEN</v>
      </c>
      <c r="EG95" s="263">
        <f>IFERROR(IF(warehouse[[#This Row],[SKU]]="","",INDEX(inventory[ESISTENZA],MATCH(warehouse[[#This Row],[SKU]],inventory[ARTICOLO],0))),"")</f>
        <v>9</v>
      </c>
      <c r="EH95" s="328"/>
      <c r="EI95" s="328"/>
      <c r="EJ95" s="263"/>
      <c r="EK95" s="329"/>
    </row>
    <row r="96" spans="59:141" ht="15" customHeight="1" x14ac:dyDescent="0.35">
      <c r="BK96" s="450"/>
      <c r="BL96" s="451"/>
      <c r="BM96" s="452"/>
      <c r="BN96" s="451"/>
      <c r="BO96" s="452"/>
      <c r="BZ96" s="168"/>
      <c r="CA96" s="154" t="str">
        <f>IF(BZ96="","",INDEX(bhpc_data[description],MATCH(BZ96,bhpc_data[sku],0)))</f>
        <v/>
      </c>
      <c r="CB96" s="159"/>
      <c r="CC96" s="357"/>
      <c r="CD96" s="169"/>
      <c r="CE96" s="361"/>
      <c r="CF96" s="170"/>
      <c r="CG96" s="164" t="str">
        <f>IFERROR(ROUNDUP(CB96/INDEX(bhpc_data[units_per_carton],MATCH(BZ96,bhpc_data[sku],0)),0),"")</f>
        <v/>
      </c>
      <c r="CH96" s="165" t="str">
        <f>IFERROR(ROUNDUP(CD96/INDEX(bhpc_data[units_per_carton],MATCH(BZ96,bhpc_data[sku],0)),0),"")</f>
        <v/>
      </c>
      <c r="CI96" s="165" t="str">
        <f>IFERROR(ROUNDUP(CF96/INDEX(bhpc_data[units_per_carton],MATCH(BZ96,bhpc_data[sku])),0),"")</f>
        <v/>
      </c>
      <c r="CJ96" s="165" t="str">
        <f>IFERROR(((CB96+CD96+CF96)/INDEX(bhpc_data[units_per_carton],MATCH(BZ96,bhpc_data[sku],0)))*INDEX(bhpc_data[net_weight],MATCH(BZ96,bhpc_data[sku],0)),"")</f>
        <v/>
      </c>
      <c r="CK96" s="165" t="str">
        <f>IFERROR(((CB96+CD96+CF96)/INDEX(bhpc_data[units_per_carton],MATCH(BZ96,bhpc_data[sku],0)))*INDEX(bhpc_data[gross_weight],MATCH(BZ96,bhpc_data[sku],0)),"")</f>
        <v/>
      </c>
      <c r="CL96" s="180" t="str">
        <f>IFERROR((CB96+CD96+CF96)/INDEX(bhpc_data[units_per_carton],MATCH(BZ96,bhpc_data[sku],0))*INDEX(bhpc_data[lenght],MATCH(BZ96,bhpc_data[sku],0))*INDEX(bhpc_data[width],MATCH(BZ96,bhpc_data[sku],0))*INDEX(bhpc_data[height],MATCH(BZ96,bhpc_data[sku],0))/1000000000,"")</f>
        <v/>
      </c>
      <c r="CM96" s="189" t="str">
        <f>IFERROR(INDEX(bhpc_data[category],MATCH(BZ96,bhpc_data[sku],0)),"")</f>
        <v/>
      </c>
      <c r="CN96" s="189" t="str">
        <f>IFERROR(INDEX(bhpc_data[size1],MATCH(BZ96,bhpc_data[sku],0)),"")</f>
        <v/>
      </c>
      <c r="CO96" s="388" t="str">
        <f>IFERROR(INDEX(bhpc_data[hs_code],MATCH(BZ96,bhpc_data[sku],0)),"")</f>
        <v/>
      </c>
      <c r="CP96" s="377" t="str">
        <f>IFERROR(INDEX(inventory[ESISTENZA],MATCH(BZ96,inventory[ARTICOLO],0)),"")</f>
        <v/>
      </c>
      <c r="CQ96" s="364" t="str">
        <f>IFERROR(IF(BZ96="","",IF($BX$15="SALE",INDEX(inventory[COSTO UNITARIO],MATCH(BZ96,inventory[ARTICOLO],0)),IF($BX$15="SAMPLING",INDEX(inventory[COSTO UNITARIO],MATCH(BZ96,inventory[ARTICOLO],0)),""))),"")</f>
        <v/>
      </c>
      <c r="CR96" s="365" t="str">
        <f t="shared" si="5"/>
        <v/>
      </c>
      <c r="CS96" s="264" t="str">
        <f t="shared" si="6"/>
        <v/>
      </c>
      <c r="DA96" s="432" t="str">
        <f>IFERROR(VLOOKUP(BZ96,bhpc_data[],22,FALSE),"")</f>
        <v/>
      </c>
      <c r="EE96" s="202" t="str" cm="1">
        <f t="array" ref="EE96">IFERROR(IF($EC$9="",IF($EC$11="",IF($EC$13="",INDEX(bhpc_data[sku],SMALL(MATCH(ROW(bhpc_data[sku]),ROW(bhpc_data[sku])),ROWS($A$15:A101)+$B$3)),INDEX(bhpc_data[sku],SMALL(IF(ISNUMBER(MATCH(bhpc_data[size1],$EC$13,0)),MATCH(ROW(bhpc_data[sku]),ROW(bhpc_data[sku])),""),ROWS($A$15:A101)+$B$3))),IF($EC$13="",INDEX(bhpc_data[sku],SMALL(IF(ISNUMBER(MATCH(bhpc_data[sex],$EC$11,0)),MATCH(ROW(bhpc_data[sku]),ROW(bhpc_data[sku])),""),ROWS($A$15:A101)+$B$3)),INDEX(bhpc_data[sku],SMALL(IF(ISNUMBER(MATCH(bhpc_data[sex],$EC$11,0)*MATCH(bhpc_data[size1],$EC$13,0)),MATCH(ROW(bhpc_data[sku]),ROW(bhpc_data[sku])),""),ROWS($A$15:A101)+$B$3)))),IF($EC$11="",IF($EC$13="",INDEX(bhpc_data[sku],SMALL(IF(ISNUMBER(MATCH(bhpc_data[category],$EC$9,0)),MATCH(ROW(bhpc_data[sku]),ROW(bhpc_data[sku])),""),ROWS($A$15:A101)+$B$3)),INDEX(bhpc_data[sku],SMALL(IF(ISNUMBER(MATCH(bhpc_data[category],$EC$9,0)*MATCH(bhpc_data[size1],$EC$13,0)),MATCH(ROW(bhpc_data[sku]),ROW(bhpc_data[sku])),""),ROWS($A$15:A101)+$B$3))),IF($EC$13="",INDEX(bhpc_data[sku],SMALL(IF(ISNUMBER(MATCH(bhpc_data[category],$EC$9,0)*MATCH(bhpc_data[sex],$EC$11,0)),MATCH(ROW(bhpc_data[sku]),ROW(bhpc_data[sku])),""),ROWS($A$15:A101)+$B$3)),INDEX(bhpc_data[sku],SMALL(IF(ISNUMBER(MATCH(bhpc_data[category],$EC$9,0)*MATCH(bhpc_data[sex],$EC$11,0)*MATCH(bhpc_data[size1],$EC$13,0)),MATCH(ROW(bhpc_data[sku]),ROW(bhpc_data[sku])),""),ROWS($A$15:A101)+$B$3))))),"")</f>
        <v>PT6002</v>
      </c>
      <c r="EF96" s="198" t="str" cm="1">
        <f t="array" ref="EF96">IFERROR(IF($EC$9="",IF($EC$11="",IF($EC$13="",INDEX(bhpc_data[description],SMALL(MATCH(ROW(bhpc_data[sku]),ROW(bhpc_data[sku])),ROWS($A$15:A101)+$B$3)),INDEX(bhpc_data[description],SMALL(IF(ISNUMBER(MATCH(bhpc_data[size1],$EC$13,0)),MATCH(ROW(bhpc_data[sku]),ROW(bhpc_data[sku])),""),ROWS($A$15:A101)+$B$3))),IF($EC$13="",INDEX(bhpc_data[description],SMALL(IF(ISNUMBER(MATCH(bhpc_data[sex],$EC$11,0)),MATCH(ROW(bhpc_data[sku]),ROW(bhpc_data[sku])),""),ROWS($A$15:A101)+$B$3)),INDEX(bhpc_data[description],SMALL(IF(ISNUMBER(MATCH(bhpc_data[sex],$EC$11,0)*MATCH(bhpc_data[size1],$EC$13,0)),MATCH(ROW(bhpc_data[sku]),ROW(bhpc_data[sku])),""),ROWS($A$15:A101)+$B$3)))),IF($EC$11="",IF($EC$13="",INDEX(bhpc_data[description],SMALL(IF(ISNUMBER(MATCH(bhpc_data[category],$EC$9,0)),MATCH(ROW(bhpc_data[sku]),ROW(bhpc_data[sku])),""),ROWS($A$15:A101)+$B$3)),INDEX(bhpc_data[description],SMALL(IF(ISNUMBER(MATCH(bhpc_data[category],$EC$9,0)*MATCH(bhpc_data[size1],$EC$13,0)),MATCH(ROW(bhpc_data[sku]),ROW(bhpc_data[sku])),""),ROWS($A$15:A101)+$B$3))),IF($EC$13="",INDEX(bhpc_data[description],SMALL(IF(ISNUMBER(MATCH(bhpc_data[category],$EC$9,0)*MATCH(bhpc_data[sex],$EC$11,0)),MATCH(ROW(bhpc_data[sku]),ROW(bhpc_data[sku])),""),ROWS($A$15:A101)+$B$3)),INDEX(bhpc_data[description],SMALL(IF(ISNUMBER(MATCH(bhpc_data[category],$EC$9,0)*MATCH(bhpc_data[sex],$EC$11,0)*MATCH(bhpc_data[size1],$EC$13,0)),MATCH(ROW(bhpc_data[sku]),ROW(bhpc_data[sku])),""),ROWS($A$15:A101)+$B$3))))),"")</f>
        <v>BHPC TESTERS TOUR INTENSE 100ML EDP MEN</v>
      </c>
      <c r="EG96" s="263">
        <f>IFERROR(IF(warehouse[[#This Row],[SKU]]="","",INDEX(inventory[ESISTENZA],MATCH(warehouse[[#This Row],[SKU]],inventory[ARTICOLO],0))),"")</f>
        <v>0</v>
      </c>
      <c r="EH96" s="328"/>
      <c r="EI96" s="328"/>
      <c r="EJ96" s="263"/>
      <c r="EK96" s="329"/>
    </row>
    <row r="97" spans="63:141" ht="15" customHeight="1" x14ac:dyDescent="0.35">
      <c r="BK97" s="450"/>
      <c r="BL97" s="451"/>
      <c r="BM97" s="452"/>
      <c r="BN97" s="451"/>
      <c r="BO97" s="452"/>
      <c r="BZ97" s="168"/>
      <c r="CA97" s="154" t="str">
        <f>IF(BZ97="","",INDEX(bhpc_data[description],MATCH(BZ97,bhpc_data[sku],0)))</f>
        <v/>
      </c>
      <c r="CB97" s="159"/>
      <c r="CC97" s="357"/>
      <c r="CD97" s="169"/>
      <c r="CE97" s="361"/>
      <c r="CF97" s="170"/>
      <c r="CG97" s="164" t="str">
        <f>IFERROR(ROUNDUP(CB97/INDEX(bhpc_data[units_per_carton],MATCH(BZ97,bhpc_data[sku],0)),0),"")</f>
        <v/>
      </c>
      <c r="CH97" s="165" t="str">
        <f>IFERROR(ROUNDUP(CD97/INDEX(bhpc_data[units_per_carton],MATCH(BZ97,bhpc_data[sku],0)),0),"")</f>
        <v/>
      </c>
      <c r="CI97" s="165" t="str">
        <f>IFERROR(ROUNDUP(CF97/INDEX(bhpc_data[units_per_carton],MATCH(BZ97,bhpc_data[sku])),0),"")</f>
        <v/>
      </c>
      <c r="CJ97" s="165" t="str">
        <f>IFERROR(((CB97+CD97+CF97)/INDEX(bhpc_data[units_per_carton],MATCH(BZ97,bhpc_data[sku],0)))*INDEX(bhpc_data[net_weight],MATCH(BZ97,bhpc_data[sku],0)),"")</f>
        <v/>
      </c>
      <c r="CK97" s="165" t="str">
        <f>IFERROR(((CB97+CD97+CF97)/INDEX(bhpc_data[units_per_carton],MATCH(BZ97,bhpc_data[sku],0)))*INDEX(bhpc_data[gross_weight],MATCH(BZ97,bhpc_data[sku],0)),"")</f>
        <v/>
      </c>
      <c r="CL97" s="180" t="str">
        <f>IFERROR((CB97+CD97+CF97)/INDEX(bhpc_data[units_per_carton],MATCH(BZ97,bhpc_data[sku],0))*INDEX(bhpc_data[lenght],MATCH(BZ97,bhpc_data[sku],0))*INDEX(bhpc_data[width],MATCH(BZ97,bhpc_data[sku],0))*INDEX(bhpc_data[height],MATCH(BZ97,bhpc_data[sku],0))/1000000000,"")</f>
        <v/>
      </c>
      <c r="CM97" s="189" t="str">
        <f>IFERROR(INDEX(bhpc_data[category],MATCH(BZ97,bhpc_data[sku],0)),"")</f>
        <v/>
      </c>
      <c r="CN97" s="189" t="str">
        <f>IFERROR(INDEX(bhpc_data[size1],MATCH(BZ97,bhpc_data[sku],0)),"")</f>
        <v/>
      </c>
      <c r="CO97" s="388" t="str">
        <f>IFERROR(INDEX(bhpc_data[hs_code],MATCH(BZ97,bhpc_data[sku],0)),"")</f>
        <v/>
      </c>
      <c r="CP97" s="377" t="str">
        <f>IFERROR(INDEX(inventory[ESISTENZA],MATCH(BZ97,inventory[ARTICOLO],0)),"")</f>
        <v/>
      </c>
      <c r="CQ97" s="364" t="str">
        <f>IFERROR(IF(BZ97="","",IF($BX$15="SALE",INDEX(inventory[COSTO UNITARIO],MATCH(BZ97,inventory[ARTICOLO],0)),IF($BX$15="SAMPLING",INDEX(inventory[COSTO UNITARIO],MATCH(BZ97,inventory[ARTICOLO],0)),""))),"")</f>
        <v/>
      </c>
      <c r="CR97" s="365" t="str">
        <f t="shared" si="5"/>
        <v/>
      </c>
      <c r="CS97" s="264" t="str">
        <f t="shared" si="6"/>
        <v/>
      </c>
      <c r="DA97" s="432" t="str">
        <f>IFERROR(VLOOKUP(BZ97,bhpc_data[],22,FALSE),"")</f>
        <v/>
      </c>
      <c r="EE97" s="202" t="str" cm="1">
        <f t="array" ref="EE97">IFERROR(IF($EC$9="",IF($EC$11="",IF($EC$13="",INDEX(bhpc_data[sku],SMALL(MATCH(ROW(bhpc_data[sku]),ROW(bhpc_data[sku])),ROWS($A$15:A102)+$B$3)),INDEX(bhpc_data[sku],SMALL(IF(ISNUMBER(MATCH(bhpc_data[size1],$EC$13,0)),MATCH(ROW(bhpc_data[sku]),ROW(bhpc_data[sku])),""),ROWS($A$15:A102)+$B$3))),IF($EC$13="",INDEX(bhpc_data[sku],SMALL(IF(ISNUMBER(MATCH(bhpc_data[sex],$EC$11,0)),MATCH(ROW(bhpc_data[sku]),ROW(bhpc_data[sku])),""),ROWS($A$15:A102)+$B$3)),INDEX(bhpc_data[sku],SMALL(IF(ISNUMBER(MATCH(bhpc_data[sex],$EC$11,0)*MATCH(bhpc_data[size1],$EC$13,0)),MATCH(ROW(bhpc_data[sku]),ROW(bhpc_data[sku])),""),ROWS($A$15:A102)+$B$3)))),IF($EC$11="",IF($EC$13="",INDEX(bhpc_data[sku],SMALL(IF(ISNUMBER(MATCH(bhpc_data[category],$EC$9,0)),MATCH(ROW(bhpc_data[sku]),ROW(bhpc_data[sku])),""),ROWS($A$15:A102)+$B$3)),INDEX(bhpc_data[sku],SMALL(IF(ISNUMBER(MATCH(bhpc_data[category],$EC$9,0)*MATCH(bhpc_data[size1],$EC$13,0)),MATCH(ROW(bhpc_data[sku]),ROW(bhpc_data[sku])),""),ROWS($A$15:A102)+$B$3))),IF($EC$13="",INDEX(bhpc_data[sku],SMALL(IF(ISNUMBER(MATCH(bhpc_data[category],$EC$9,0)*MATCH(bhpc_data[sex],$EC$11,0)),MATCH(ROW(bhpc_data[sku]),ROW(bhpc_data[sku])),""),ROWS($A$15:A102)+$B$3)),INDEX(bhpc_data[sku],SMALL(IF(ISNUMBER(MATCH(bhpc_data[category],$EC$9,0)*MATCH(bhpc_data[sex],$EC$11,0)*MATCH(bhpc_data[size1],$EC$13,0)),MATCH(ROW(bhpc_data[sku]),ROW(bhpc_data[sku])),""),ROWS($A$15:A102)+$B$3))))),"")</f>
        <v>PT6003</v>
      </c>
      <c r="EF97" s="198" t="str" cm="1">
        <f t="array" ref="EF97">IFERROR(IF($EC$9="",IF($EC$11="",IF($EC$13="",INDEX(bhpc_data[description],SMALL(MATCH(ROW(bhpc_data[sku]),ROW(bhpc_data[sku])),ROWS($A$15:A102)+$B$3)),INDEX(bhpc_data[description],SMALL(IF(ISNUMBER(MATCH(bhpc_data[size1],$EC$13,0)),MATCH(ROW(bhpc_data[sku]),ROW(bhpc_data[sku])),""),ROWS($A$15:A102)+$B$3))),IF($EC$13="",INDEX(bhpc_data[description],SMALL(IF(ISNUMBER(MATCH(bhpc_data[sex],$EC$11,0)),MATCH(ROW(bhpc_data[sku]),ROW(bhpc_data[sku])),""),ROWS($A$15:A102)+$B$3)),INDEX(bhpc_data[description],SMALL(IF(ISNUMBER(MATCH(bhpc_data[sex],$EC$11,0)*MATCH(bhpc_data[size1],$EC$13,0)),MATCH(ROW(bhpc_data[sku]),ROW(bhpc_data[sku])),""),ROWS($A$15:A102)+$B$3)))),IF($EC$11="",IF($EC$13="",INDEX(bhpc_data[description],SMALL(IF(ISNUMBER(MATCH(bhpc_data[category],$EC$9,0)),MATCH(ROW(bhpc_data[sku]),ROW(bhpc_data[sku])),""),ROWS($A$15:A102)+$B$3)),INDEX(bhpc_data[description],SMALL(IF(ISNUMBER(MATCH(bhpc_data[category],$EC$9,0)*MATCH(bhpc_data[size1],$EC$13,0)),MATCH(ROW(bhpc_data[sku]),ROW(bhpc_data[sku])),""),ROWS($A$15:A102)+$B$3))),IF($EC$13="",INDEX(bhpc_data[description],SMALL(IF(ISNUMBER(MATCH(bhpc_data[category],$EC$9,0)*MATCH(bhpc_data[sex],$EC$11,0)),MATCH(ROW(bhpc_data[sku]),ROW(bhpc_data[sku])),""),ROWS($A$15:A102)+$B$3)),INDEX(bhpc_data[description],SMALL(IF(ISNUMBER(MATCH(bhpc_data[category],$EC$9,0)*MATCH(bhpc_data[sex],$EC$11,0)*MATCH(bhpc_data[size1],$EC$13,0)),MATCH(ROW(bhpc_data[sku]),ROW(bhpc_data[sku])),""),ROWS($A$15:A102)+$B$3))))),"")</f>
        <v>BHPC TESTERS TITAN 100ML EDP MEN</v>
      </c>
      <c r="EG97" s="263">
        <f>IFERROR(IF(warehouse[[#This Row],[SKU]]="","",INDEX(inventory[ESISTENZA],MATCH(warehouse[[#This Row],[SKU]],inventory[ARTICOLO],0))),"")</f>
        <v>41</v>
      </c>
      <c r="EH97" s="328"/>
      <c r="EI97" s="328"/>
      <c r="EJ97" s="263"/>
      <c r="EK97" s="329"/>
    </row>
    <row r="98" spans="63:141" ht="15" customHeight="1" x14ac:dyDescent="0.35">
      <c r="BK98" s="450"/>
      <c r="BL98" s="451"/>
      <c r="BM98" s="452"/>
      <c r="BN98" s="451"/>
      <c r="BO98" s="452"/>
      <c r="BZ98" s="168"/>
      <c r="CA98" s="154" t="str">
        <f>IF(BZ98="","",INDEX(bhpc_data[description],MATCH(BZ98,bhpc_data[sku],0)))</f>
        <v/>
      </c>
      <c r="CB98" s="159"/>
      <c r="CC98" s="357"/>
      <c r="CD98" s="169"/>
      <c r="CE98" s="361"/>
      <c r="CF98" s="170"/>
      <c r="CG98" s="164" t="str">
        <f>IFERROR(ROUNDUP(CB98/INDEX(bhpc_data[units_per_carton],MATCH(BZ98,bhpc_data[sku],0)),0),"")</f>
        <v/>
      </c>
      <c r="CH98" s="165" t="str">
        <f>IFERROR(ROUNDUP(CD98/INDEX(bhpc_data[units_per_carton],MATCH(BZ98,bhpc_data[sku],0)),0),"")</f>
        <v/>
      </c>
      <c r="CI98" s="165" t="str">
        <f>IFERROR(ROUNDUP(CF98/INDEX(bhpc_data[units_per_carton],MATCH(BZ98,bhpc_data[sku])),0),"")</f>
        <v/>
      </c>
      <c r="CJ98" s="165" t="str">
        <f>IFERROR(((CB98+CD98+CF98)/INDEX(bhpc_data[units_per_carton],MATCH(BZ98,bhpc_data[sku],0)))*INDEX(bhpc_data[net_weight],MATCH(BZ98,bhpc_data[sku],0)),"")</f>
        <v/>
      </c>
      <c r="CK98" s="165" t="str">
        <f>IFERROR(((CB98+CD98+CF98)/INDEX(bhpc_data[units_per_carton],MATCH(BZ98,bhpc_data[sku],0)))*INDEX(bhpc_data[gross_weight],MATCH(BZ98,bhpc_data[sku],0)),"")</f>
        <v/>
      </c>
      <c r="CL98" s="180" t="str">
        <f>IFERROR((CB98+CD98+CF98)/INDEX(bhpc_data[units_per_carton],MATCH(BZ98,bhpc_data[sku],0))*INDEX(bhpc_data[lenght],MATCH(BZ98,bhpc_data[sku],0))*INDEX(bhpc_data[width],MATCH(BZ98,bhpc_data[sku],0))*INDEX(bhpc_data[height],MATCH(BZ98,bhpc_data[sku],0))/1000000000,"")</f>
        <v/>
      </c>
      <c r="CM98" s="189" t="str">
        <f>IFERROR(INDEX(bhpc_data[category],MATCH(BZ98,bhpc_data[sku],0)),"")</f>
        <v/>
      </c>
      <c r="CN98" s="189" t="str">
        <f>IFERROR(INDEX(bhpc_data[size1],MATCH(BZ98,bhpc_data[sku],0)),"")</f>
        <v/>
      </c>
      <c r="CO98" s="388" t="str">
        <f>IFERROR(INDEX(bhpc_data[hs_code],MATCH(BZ98,bhpc_data[sku],0)),"")</f>
        <v/>
      </c>
      <c r="CP98" s="377" t="str">
        <f>IFERROR(INDEX(inventory[ESISTENZA],MATCH(BZ98,inventory[ARTICOLO],0)),"")</f>
        <v/>
      </c>
      <c r="CQ98" s="364" t="str">
        <f>IFERROR(IF(BZ98="","",IF($BX$15="SALE",INDEX(inventory[COSTO UNITARIO],MATCH(BZ98,inventory[ARTICOLO],0)),IF($BX$15="SAMPLING",INDEX(inventory[COSTO UNITARIO],MATCH(BZ98,inventory[ARTICOLO],0)),""))),"")</f>
        <v/>
      </c>
      <c r="CR98" s="365" t="str">
        <f t="shared" si="5"/>
        <v/>
      </c>
      <c r="CS98" s="264" t="str">
        <f t="shared" si="6"/>
        <v/>
      </c>
      <c r="DA98" s="432" t="str">
        <f>IFERROR(VLOOKUP(BZ98,bhpc_data[],22,FALSE),"")</f>
        <v/>
      </c>
      <c r="EE98" s="202" t="str" cm="1">
        <f t="array" ref="EE98">IFERROR(IF($EC$9="",IF($EC$11="",IF($EC$13="",INDEX(bhpc_data[sku],SMALL(MATCH(ROW(bhpc_data[sku]),ROW(bhpc_data[sku])),ROWS($A$15:A103)+$B$3)),INDEX(bhpc_data[sku],SMALL(IF(ISNUMBER(MATCH(bhpc_data[size1],$EC$13,0)),MATCH(ROW(bhpc_data[sku]),ROW(bhpc_data[sku])),""),ROWS($A$15:A103)+$B$3))),IF($EC$13="",INDEX(bhpc_data[sku],SMALL(IF(ISNUMBER(MATCH(bhpc_data[sex],$EC$11,0)),MATCH(ROW(bhpc_data[sku]),ROW(bhpc_data[sku])),""),ROWS($A$15:A103)+$B$3)),INDEX(bhpc_data[sku],SMALL(IF(ISNUMBER(MATCH(bhpc_data[sex],$EC$11,0)*MATCH(bhpc_data[size1],$EC$13,0)),MATCH(ROW(bhpc_data[sku]),ROW(bhpc_data[sku])),""),ROWS($A$15:A103)+$B$3)))),IF($EC$11="",IF($EC$13="",INDEX(bhpc_data[sku],SMALL(IF(ISNUMBER(MATCH(bhpc_data[category],$EC$9,0)),MATCH(ROW(bhpc_data[sku]),ROW(bhpc_data[sku])),""),ROWS($A$15:A103)+$B$3)),INDEX(bhpc_data[sku],SMALL(IF(ISNUMBER(MATCH(bhpc_data[category],$EC$9,0)*MATCH(bhpc_data[size1],$EC$13,0)),MATCH(ROW(bhpc_data[sku]),ROW(bhpc_data[sku])),""),ROWS($A$15:A103)+$B$3))),IF($EC$13="",INDEX(bhpc_data[sku],SMALL(IF(ISNUMBER(MATCH(bhpc_data[category],$EC$9,0)*MATCH(bhpc_data[sex],$EC$11,0)),MATCH(ROW(bhpc_data[sku]),ROW(bhpc_data[sku])),""),ROWS($A$15:A103)+$B$3)),INDEX(bhpc_data[sku],SMALL(IF(ISNUMBER(MATCH(bhpc_data[category],$EC$9,0)*MATCH(bhpc_data[sex],$EC$11,0)*MATCH(bhpc_data[size1],$EC$13,0)),MATCH(ROW(bhpc_data[sku]),ROW(bhpc_data[sku])),""),ROWS($A$15:A103)+$B$3))))),"")</f>
        <v>PT6004</v>
      </c>
      <c r="EF98" s="198" t="str" cm="1">
        <f t="array" ref="EF98">IFERROR(IF($EC$9="",IF($EC$11="",IF($EC$13="",INDEX(bhpc_data[description],SMALL(MATCH(ROW(bhpc_data[sku]),ROW(bhpc_data[sku])),ROWS($A$15:A103)+$B$3)),INDEX(bhpc_data[description],SMALL(IF(ISNUMBER(MATCH(bhpc_data[size1],$EC$13,0)),MATCH(ROW(bhpc_data[sku]),ROW(bhpc_data[sku])),""),ROWS($A$15:A103)+$B$3))),IF($EC$13="",INDEX(bhpc_data[description],SMALL(IF(ISNUMBER(MATCH(bhpc_data[sex],$EC$11,0)),MATCH(ROW(bhpc_data[sku]),ROW(bhpc_data[sku])),""),ROWS($A$15:A103)+$B$3)),INDEX(bhpc_data[description],SMALL(IF(ISNUMBER(MATCH(bhpc_data[sex],$EC$11,0)*MATCH(bhpc_data[size1],$EC$13,0)),MATCH(ROW(bhpc_data[sku]),ROW(bhpc_data[sku])),""),ROWS($A$15:A103)+$B$3)))),IF($EC$11="",IF($EC$13="",INDEX(bhpc_data[description],SMALL(IF(ISNUMBER(MATCH(bhpc_data[category],$EC$9,0)),MATCH(ROW(bhpc_data[sku]),ROW(bhpc_data[sku])),""),ROWS($A$15:A103)+$B$3)),INDEX(bhpc_data[description],SMALL(IF(ISNUMBER(MATCH(bhpc_data[category],$EC$9,0)*MATCH(bhpc_data[size1],$EC$13,0)),MATCH(ROW(bhpc_data[sku]),ROW(bhpc_data[sku])),""),ROWS($A$15:A103)+$B$3))),IF($EC$13="",INDEX(bhpc_data[description],SMALL(IF(ISNUMBER(MATCH(bhpc_data[category],$EC$9,0)*MATCH(bhpc_data[sex],$EC$11,0)),MATCH(ROW(bhpc_data[sku]),ROW(bhpc_data[sku])),""),ROWS($A$15:A103)+$B$3)),INDEX(bhpc_data[description],SMALL(IF(ISNUMBER(MATCH(bhpc_data[category],$EC$9,0)*MATCH(bhpc_data[sex],$EC$11,0)*MATCH(bhpc_data[size1],$EC$13,0)),MATCH(ROW(bhpc_data[sku]),ROW(bhpc_data[sku])),""),ROWS($A$15:A103)+$B$3))))),"")</f>
        <v>BHPC TESTERS ELEGANCE 100ML EDP WOMEN</v>
      </c>
      <c r="EG98" s="263">
        <f>IFERROR(IF(warehouse[[#This Row],[SKU]]="","",INDEX(inventory[ESISTENZA],MATCH(warehouse[[#This Row],[SKU]],inventory[ARTICOLO],0))),"")</f>
        <v>0</v>
      </c>
      <c r="EH98" s="328"/>
      <c r="EI98" s="328"/>
      <c r="EJ98" s="263"/>
      <c r="EK98" s="329"/>
    </row>
    <row r="99" spans="63:141" ht="15" customHeight="1" x14ac:dyDescent="0.35">
      <c r="BK99" s="450"/>
      <c r="BL99" s="451"/>
      <c r="BM99" s="452"/>
      <c r="BN99" s="451"/>
      <c r="BO99" s="452"/>
      <c r="BZ99" s="168"/>
      <c r="CA99" s="154" t="str">
        <f>IF(BZ99="","",INDEX(bhpc_data[description],MATCH(BZ99,bhpc_data[sku],0)))</f>
        <v/>
      </c>
      <c r="CB99" s="159"/>
      <c r="CC99" s="357"/>
      <c r="CD99" s="169"/>
      <c r="CE99" s="361"/>
      <c r="CF99" s="170"/>
      <c r="CG99" s="164" t="str">
        <f>IFERROR(ROUNDUP(CB99/INDEX(bhpc_data[units_per_carton],MATCH(BZ99,bhpc_data[sku],0)),0),"")</f>
        <v/>
      </c>
      <c r="CH99" s="165" t="str">
        <f>IFERROR(ROUNDUP(CD99/INDEX(bhpc_data[units_per_carton],MATCH(BZ99,bhpc_data[sku],0)),0),"")</f>
        <v/>
      </c>
      <c r="CI99" s="165" t="str">
        <f>IFERROR(ROUNDUP(CF99/INDEX(bhpc_data[units_per_carton],MATCH(BZ99,bhpc_data[sku])),0),"")</f>
        <v/>
      </c>
      <c r="CJ99" s="165" t="str">
        <f>IFERROR(((CB99+CD99+CF99)/INDEX(bhpc_data[units_per_carton],MATCH(BZ99,bhpc_data[sku],0)))*INDEX(bhpc_data[net_weight],MATCH(BZ99,bhpc_data[sku],0)),"")</f>
        <v/>
      </c>
      <c r="CK99" s="165" t="str">
        <f>IFERROR(((CB99+CD99+CF99)/INDEX(bhpc_data[units_per_carton],MATCH(BZ99,bhpc_data[sku],0)))*INDEX(bhpc_data[gross_weight],MATCH(BZ99,bhpc_data[sku],0)),"")</f>
        <v/>
      </c>
      <c r="CL99" s="180" t="str">
        <f>IFERROR((CB99+CD99+CF99)/INDEX(bhpc_data[units_per_carton],MATCH(BZ99,bhpc_data[sku],0))*INDEX(bhpc_data[lenght],MATCH(BZ99,bhpc_data[sku],0))*INDEX(bhpc_data[width],MATCH(BZ99,bhpc_data[sku],0))*INDEX(bhpc_data[height],MATCH(BZ99,bhpc_data[sku],0))/1000000000,"")</f>
        <v/>
      </c>
      <c r="CM99" s="189" t="str">
        <f>IFERROR(INDEX(bhpc_data[category],MATCH(BZ99,bhpc_data[sku],0)),"")</f>
        <v/>
      </c>
      <c r="CN99" s="189" t="str">
        <f>IFERROR(INDEX(bhpc_data[size1],MATCH(BZ99,bhpc_data[sku],0)),"")</f>
        <v/>
      </c>
      <c r="CO99" s="388" t="str">
        <f>IFERROR(INDEX(bhpc_data[hs_code],MATCH(BZ99,bhpc_data[sku],0)),"")</f>
        <v/>
      </c>
      <c r="CP99" s="377" t="str">
        <f>IFERROR(INDEX(inventory[ESISTENZA],MATCH(BZ99,inventory[ARTICOLO],0)),"")</f>
        <v/>
      </c>
      <c r="CQ99" s="364" t="str">
        <f>IFERROR(IF(BZ99="","",IF($BX$15="SALE",INDEX(inventory[COSTO UNITARIO],MATCH(BZ99,inventory[ARTICOLO],0)),IF($BX$15="SAMPLING",INDEX(inventory[COSTO UNITARIO],MATCH(BZ99,inventory[ARTICOLO],0)),""))),"")</f>
        <v/>
      </c>
      <c r="CR99" s="365" t="str">
        <f t="shared" si="5"/>
        <v/>
      </c>
      <c r="CS99" s="264" t="str">
        <f t="shared" si="6"/>
        <v/>
      </c>
      <c r="DA99" s="432" t="str">
        <f>IFERROR(VLOOKUP(BZ99,bhpc_data[],22,FALSE),"")</f>
        <v/>
      </c>
      <c r="EE99" s="202" t="str" cm="1">
        <f t="array" ref="EE99">IFERROR(IF($EC$9="",IF($EC$11="",IF($EC$13="",INDEX(bhpc_data[sku],SMALL(MATCH(ROW(bhpc_data[sku]),ROW(bhpc_data[sku])),ROWS($A$15:A104)+$B$3)),INDEX(bhpc_data[sku],SMALL(IF(ISNUMBER(MATCH(bhpc_data[size1],$EC$13,0)),MATCH(ROW(bhpc_data[sku]),ROW(bhpc_data[sku])),""),ROWS($A$15:A104)+$B$3))),IF($EC$13="",INDEX(bhpc_data[sku],SMALL(IF(ISNUMBER(MATCH(bhpc_data[sex],$EC$11,0)),MATCH(ROW(bhpc_data[sku]),ROW(bhpc_data[sku])),""),ROWS($A$15:A104)+$B$3)),INDEX(bhpc_data[sku],SMALL(IF(ISNUMBER(MATCH(bhpc_data[sex],$EC$11,0)*MATCH(bhpc_data[size1],$EC$13,0)),MATCH(ROW(bhpc_data[sku]),ROW(bhpc_data[sku])),""),ROWS($A$15:A104)+$B$3)))),IF($EC$11="",IF($EC$13="",INDEX(bhpc_data[sku],SMALL(IF(ISNUMBER(MATCH(bhpc_data[category],$EC$9,0)),MATCH(ROW(bhpc_data[sku]),ROW(bhpc_data[sku])),""),ROWS($A$15:A104)+$B$3)),INDEX(bhpc_data[sku],SMALL(IF(ISNUMBER(MATCH(bhpc_data[category],$EC$9,0)*MATCH(bhpc_data[size1],$EC$13,0)),MATCH(ROW(bhpc_data[sku]),ROW(bhpc_data[sku])),""),ROWS($A$15:A104)+$B$3))),IF($EC$13="",INDEX(bhpc_data[sku],SMALL(IF(ISNUMBER(MATCH(bhpc_data[category],$EC$9,0)*MATCH(bhpc_data[sex],$EC$11,0)),MATCH(ROW(bhpc_data[sku]),ROW(bhpc_data[sku])),""),ROWS($A$15:A104)+$B$3)),INDEX(bhpc_data[sku],SMALL(IF(ISNUMBER(MATCH(bhpc_data[category],$EC$9,0)*MATCH(bhpc_data[sex],$EC$11,0)*MATCH(bhpc_data[size1],$EC$13,0)),MATCH(ROW(bhpc_data[sku]),ROW(bhpc_data[sku])),""),ROWS($A$15:A104)+$B$3))))),"")</f>
        <v>PT6005</v>
      </c>
      <c r="EF99" s="198" t="str" cm="1">
        <f t="array" ref="EF99">IFERROR(IF($EC$9="",IF($EC$11="",IF($EC$13="",INDEX(bhpc_data[description],SMALL(MATCH(ROW(bhpc_data[sku]),ROW(bhpc_data[sku])),ROWS($A$15:A104)+$B$3)),INDEX(bhpc_data[description],SMALL(IF(ISNUMBER(MATCH(bhpc_data[size1],$EC$13,0)),MATCH(ROW(bhpc_data[sku]),ROW(bhpc_data[sku])),""),ROWS($A$15:A104)+$B$3))),IF($EC$13="",INDEX(bhpc_data[description],SMALL(IF(ISNUMBER(MATCH(bhpc_data[sex],$EC$11,0)),MATCH(ROW(bhpc_data[sku]),ROW(bhpc_data[sku])),""),ROWS($A$15:A104)+$B$3)),INDEX(bhpc_data[description],SMALL(IF(ISNUMBER(MATCH(bhpc_data[sex],$EC$11,0)*MATCH(bhpc_data[size1],$EC$13,0)),MATCH(ROW(bhpc_data[sku]),ROW(bhpc_data[sku])),""),ROWS($A$15:A104)+$B$3)))),IF($EC$11="",IF($EC$13="",INDEX(bhpc_data[description],SMALL(IF(ISNUMBER(MATCH(bhpc_data[category],$EC$9,0)),MATCH(ROW(bhpc_data[sku]),ROW(bhpc_data[sku])),""),ROWS($A$15:A104)+$B$3)),INDEX(bhpc_data[description],SMALL(IF(ISNUMBER(MATCH(bhpc_data[category],$EC$9,0)*MATCH(bhpc_data[size1],$EC$13,0)),MATCH(ROW(bhpc_data[sku]),ROW(bhpc_data[sku])),""),ROWS($A$15:A104)+$B$3))),IF($EC$13="",INDEX(bhpc_data[description],SMALL(IF(ISNUMBER(MATCH(bhpc_data[category],$EC$9,0)*MATCH(bhpc_data[sex],$EC$11,0)),MATCH(ROW(bhpc_data[sku]),ROW(bhpc_data[sku])),""),ROWS($A$15:A104)+$B$3)),INDEX(bhpc_data[description],SMALL(IF(ISNUMBER(MATCH(bhpc_data[category],$EC$9,0)*MATCH(bhpc_data[sex],$EC$11,0)*MATCH(bhpc_data[size1],$EC$13,0)),MATCH(ROW(bhpc_data[sku]),ROW(bhpc_data[sku])),""),ROWS($A$15:A104)+$B$3))))),"")</f>
        <v>BHPC TESTERS CHALLENGE 100ML EDP WOMEN</v>
      </c>
      <c r="EG99" s="263">
        <f>IFERROR(IF(warehouse[[#This Row],[SKU]]="","",INDEX(inventory[ESISTENZA],MATCH(warehouse[[#This Row],[SKU]],inventory[ARTICOLO],0))),"")</f>
        <v>0</v>
      </c>
      <c r="EH99" s="328"/>
      <c r="EI99" s="328"/>
      <c r="EJ99" s="263"/>
      <c r="EK99" s="329"/>
    </row>
    <row r="100" spans="63:141" ht="15" customHeight="1" x14ac:dyDescent="0.35">
      <c r="BK100" s="450"/>
      <c r="BL100" s="451"/>
      <c r="BM100" s="452"/>
      <c r="BN100" s="451"/>
      <c r="BO100" s="452"/>
      <c r="BZ100" s="168"/>
      <c r="CA100" s="154" t="str">
        <f>IF(BZ100="","",INDEX(bhpc_data[description],MATCH(BZ100,bhpc_data[sku],0)))</f>
        <v/>
      </c>
      <c r="CB100" s="159"/>
      <c r="CC100" s="357"/>
      <c r="CD100" s="169"/>
      <c r="CE100" s="361"/>
      <c r="CF100" s="170"/>
      <c r="CG100" s="164" t="str">
        <f>IFERROR(ROUNDUP(CB100/INDEX(bhpc_data[units_per_carton],MATCH(BZ100,bhpc_data[sku],0)),0),"")</f>
        <v/>
      </c>
      <c r="CH100" s="165" t="str">
        <f>IFERROR(ROUNDUP(CD100/INDEX(bhpc_data[units_per_carton],MATCH(BZ100,bhpc_data[sku],0)),0),"")</f>
        <v/>
      </c>
      <c r="CI100" s="165" t="str">
        <f>IFERROR(ROUNDUP(CF100/INDEX(bhpc_data[units_per_carton],MATCH(BZ100,bhpc_data[sku])),0),"")</f>
        <v/>
      </c>
      <c r="CJ100" s="165" t="str">
        <f>IFERROR(((CB100+CD100+CF100)/INDEX(bhpc_data[units_per_carton],MATCH(BZ100,bhpc_data[sku],0)))*INDEX(bhpc_data[net_weight],MATCH(BZ100,bhpc_data[sku],0)),"")</f>
        <v/>
      </c>
      <c r="CK100" s="165" t="str">
        <f>IFERROR(((CB100+CD100+CF100)/INDEX(bhpc_data[units_per_carton],MATCH(BZ100,bhpc_data[sku],0)))*INDEX(bhpc_data[gross_weight],MATCH(BZ100,bhpc_data[sku],0)),"")</f>
        <v/>
      </c>
      <c r="CL100" s="180" t="str">
        <f>IFERROR((CB100+CD100+CF100)/INDEX(bhpc_data[units_per_carton],MATCH(BZ100,bhpc_data[sku],0))*INDEX(bhpc_data[lenght],MATCH(BZ100,bhpc_data[sku],0))*INDEX(bhpc_data[width],MATCH(BZ100,bhpc_data[sku],0))*INDEX(bhpc_data[height],MATCH(BZ100,bhpc_data[sku],0))/1000000000,"")</f>
        <v/>
      </c>
      <c r="CM100" s="189" t="str">
        <f>IFERROR(INDEX(bhpc_data[category],MATCH(BZ100,bhpc_data[sku],0)),"")</f>
        <v/>
      </c>
      <c r="CN100" s="189" t="str">
        <f>IFERROR(INDEX(bhpc_data[size1],MATCH(BZ100,bhpc_data[sku],0)),"")</f>
        <v/>
      </c>
      <c r="CO100" s="388" t="str">
        <f>IFERROR(INDEX(bhpc_data[hs_code],MATCH(BZ100,bhpc_data[sku],0)),"")</f>
        <v/>
      </c>
      <c r="CP100" s="377" t="str">
        <f>IFERROR(INDEX(inventory[ESISTENZA],MATCH(BZ100,inventory[ARTICOLO],0)),"")</f>
        <v/>
      </c>
      <c r="CQ100" s="364" t="str">
        <f>IFERROR(IF(BZ100="","",IF($BX$15="SALE",INDEX(inventory[COSTO UNITARIO],MATCH(BZ100,inventory[ARTICOLO],0)),IF($BX$15="SAMPLING",INDEX(inventory[COSTO UNITARIO],MATCH(BZ100,inventory[ARTICOLO],0)),""))),"")</f>
        <v/>
      </c>
      <c r="CR100" s="365" t="str">
        <f t="shared" si="5"/>
        <v/>
      </c>
      <c r="CS100" s="264" t="str">
        <f t="shared" si="6"/>
        <v/>
      </c>
      <c r="DA100" s="432" t="str">
        <f>IFERROR(VLOOKUP(BZ100,bhpc_data[],22,FALSE),"")</f>
        <v/>
      </c>
      <c r="EE100" s="202" t="str" cm="1">
        <f t="array" ref="EE100">IFERROR(IF($EC$9="",IF($EC$11="",IF($EC$13="",INDEX(bhpc_data[sku],SMALL(MATCH(ROW(bhpc_data[sku]),ROW(bhpc_data[sku])),ROWS($A$15:A105)+$B$3)),INDEX(bhpc_data[sku],SMALL(IF(ISNUMBER(MATCH(bhpc_data[size1],$EC$13,0)),MATCH(ROW(bhpc_data[sku]),ROW(bhpc_data[sku])),""),ROWS($A$15:A105)+$B$3))),IF($EC$13="",INDEX(bhpc_data[sku],SMALL(IF(ISNUMBER(MATCH(bhpc_data[sex],$EC$11,0)),MATCH(ROW(bhpc_data[sku]),ROW(bhpc_data[sku])),""),ROWS($A$15:A105)+$B$3)),INDEX(bhpc_data[sku],SMALL(IF(ISNUMBER(MATCH(bhpc_data[sex],$EC$11,0)*MATCH(bhpc_data[size1],$EC$13,0)),MATCH(ROW(bhpc_data[sku]),ROW(bhpc_data[sku])),""),ROWS($A$15:A105)+$B$3)))),IF($EC$11="",IF($EC$13="",INDEX(bhpc_data[sku],SMALL(IF(ISNUMBER(MATCH(bhpc_data[category],$EC$9,0)),MATCH(ROW(bhpc_data[sku]),ROW(bhpc_data[sku])),""),ROWS($A$15:A105)+$B$3)),INDEX(bhpc_data[sku],SMALL(IF(ISNUMBER(MATCH(bhpc_data[category],$EC$9,0)*MATCH(bhpc_data[size1],$EC$13,0)),MATCH(ROW(bhpc_data[sku]),ROW(bhpc_data[sku])),""),ROWS($A$15:A105)+$B$3))),IF($EC$13="",INDEX(bhpc_data[sku],SMALL(IF(ISNUMBER(MATCH(bhpc_data[category],$EC$9,0)*MATCH(bhpc_data[sex],$EC$11,0)),MATCH(ROW(bhpc_data[sku]),ROW(bhpc_data[sku])),""),ROWS($A$15:A105)+$B$3)),INDEX(bhpc_data[sku],SMALL(IF(ISNUMBER(MATCH(bhpc_data[category],$EC$9,0)*MATCH(bhpc_data[sex],$EC$11,0)*MATCH(bhpc_data[size1],$EC$13,0)),MATCH(ROW(bhpc_data[sku]),ROW(bhpc_data[sku])),""),ROWS($A$15:A105)+$B$3))))),"")</f>
        <v>PT6006</v>
      </c>
      <c r="EF100" s="198" t="str" cm="1">
        <f t="array" ref="EF100">IFERROR(IF($EC$9="",IF($EC$11="",IF($EC$13="",INDEX(bhpc_data[description],SMALL(MATCH(ROW(bhpc_data[sku]),ROW(bhpc_data[sku])),ROWS($A$15:A105)+$B$3)),INDEX(bhpc_data[description],SMALL(IF(ISNUMBER(MATCH(bhpc_data[size1],$EC$13,0)),MATCH(ROW(bhpc_data[sku]),ROW(bhpc_data[sku])),""),ROWS($A$15:A105)+$B$3))),IF($EC$13="",INDEX(bhpc_data[description],SMALL(IF(ISNUMBER(MATCH(bhpc_data[sex],$EC$11,0)),MATCH(ROW(bhpc_data[sku]),ROW(bhpc_data[sku])),""),ROWS($A$15:A105)+$B$3)),INDEX(bhpc_data[description],SMALL(IF(ISNUMBER(MATCH(bhpc_data[sex],$EC$11,0)*MATCH(bhpc_data[size1],$EC$13,0)),MATCH(ROW(bhpc_data[sku]),ROW(bhpc_data[sku])),""),ROWS($A$15:A105)+$B$3)))),IF($EC$11="",IF($EC$13="",INDEX(bhpc_data[description],SMALL(IF(ISNUMBER(MATCH(bhpc_data[category],$EC$9,0)),MATCH(ROW(bhpc_data[sku]),ROW(bhpc_data[sku])),""),ROWS($A$15:A105)+$B$3)),INDEX(bhpc_data[description],SMALL(IF(ISNUMBER(MATCH(bhpc_data[category],$EC$9,0)*MATCH(bhpc_data[size1],$EC$13,0)),MATCH(ROW(bhpc_data[sku]),ROW(bhpc_data[sku])),""),ROWS($A$15:A105)+$B$3))),IF($EC$13="",INDEX(bhpc_data[description],SMALL(IF(ISNUMBER(MATCH(bhpc_data[category],$EC$9,0)*MATCH(bhpc_data[sex],$EC$11,0)),MATCH(ROW(bhpc_data[sku]),ROW(bhpc_data[sku])),""),ROWS($A$15:A105)+$B$3)),INDEX(bhpc_data[description],SMALL(IF(ISNUMBER(MATCH(bhpc_data[category],$EC$9,0)*MATCH(bhpc_data[sex],$EC$11,0)*MATCH(bhpc_data[size1],$EC$13,0)),MATCH(ROW(bhpc_data[sku]),ROW(bhpc_data[sku])),""),ROWS($A$15:A105)+$B$3))))),"")</f>
        <v>BHPC TESTERS MYSTIQUE 100ML EDP WOMEN</v>
      </c>
      <c r="EG100" s="263">
        <f>IFERROR(IF(warehouse[[#This Row],[SKU]]="","",INDEX(inventory[ESISTENZA],MATCH(warehouse[[#This Row],[SKU]],inventory[ARTICOLO],0))),"")</f>
        <v>0</v>
      </c>
      <c r="EH100" s="328"/>
      <c r="EI100" s="328"/>
      <c r="EJ100" s="263"/>
      <c r="EK100" s="329"/>
    </row>
    <row r="101" spans="63:141" ht="15" customHeight="1" x14ac:dyDescent="0.35">
      <c r="BK101" s="450"/>
      <c r="BL101" s="451"/>
      <c r="BM101" s="452"/>
      <c r="BN101" s="451"/>
      <c r="BO101" s="452"/>
      <c r="BZ101" s="168"/>
      <c r="CA101" s="154" t="str">
        <f>IF(BZ101="","",INDEX(bhpc_data[description],MATCH(BZ101,bhpc_data[sku],0)))</f>
        <v/>
      </c>
      <c r="CB101" s="159"/>
      <c r="CC101" s="357"/>
      <c r="CD101" s="169"/>
      <c r="CE101" s="361"/>
      <c r="CF101" s="170"/>
      <c r="CG101" s="164" t="str">
        <f>IFERROR(ROUNDUP(CB101/INDEX(bhpc_data[units_per_carton],MATCH(BZ101,bhpc_data[sku],0)),0),"")</f>
        <v/>
      </c>
      <c r="CH101" s="165" t="str">
        <f>IFERROR(ROUNDUP(CD101/INDEX(bhpc_data[units_per_carton],MATCH(BZ101,bhpc_data[sku],0)),0),"")</f>
        <v/>
      </c>
      <c r="CI101" s="165" t="str">
        <f>IFERROR(ROUNDUP(CF101/INDEX(bhpc_data[units_per_carton],MATCH(BZ101,bhpc_data[sku])),0),"")</f>
        <v/>
      </c>
      <c r="CJ101" s="165" t="str">
        <f>IFERROR(((CB101+CD101+CF101)/INDEX(bhpc_data[units_per_carton],MATCH(BZ101,bhpc_data[sku],0)))*INDEX(bhpc_data[net_weight],MATCH(BZ101,bhpc_data[sku],0)),"")</f>
        <v/>
      </c>
      <c r="CK101" s="165" t="str">
        <f>IFERROR(((CB101+CD101+CF101)/INDEX(bhpc_data[units_per_carton],MATCH(BZ101,bhpc_data[sku],0)))*INDEX(bhpc_data[gross_weight],MATCH(BZ101,bhpc_data[sku],0)),"")</f>
        <v/>
      </c>
      <c r="CL101" s="180" t="str">
        <f>IFERROR((CB101+CD101+CF101)/INDEX(bhpc_data[units_per_carton],MATCH(BZ101,bhpc_data[sku],0))*INDEX(bhpc_data[lenght],MATCH(BZ101,bhpc_data[sku],0))*INDEX(bhpc_data[width],MATCH(BZ101,bhpc_data[sku],0))*INDEX(bhpc_data[height],MATCH(BZ101,bhpc_data[sku],0))/1000000000,"")</f>
        <v/>
      </c>
      <c r="CM101" s="189" t="str">
        <f>IFERROR(INDEX(bhpc_data[category],MATCH(BZ101,bhpc_data[sku],0)),"")</f>
        <v/>
      </c>
      <c r="CN101" s="189" t="str">
        <f>IFERROR(INDEX(bhpc_data[size1],MATCH(BZ101,bhpc_data[sku],0)),"")</f>
        <v/>
      </c>
      <c r="CO101" s="388" t="str">
        <f>IFERROR(INDEX(bhpc_data[hs_code],MATCH(BZ101,bhpc_data[sku],0)),"")</f>
        <v/>
      </c>
      <c r="CP101" s="377" t="str">
        <f>IFERROR(INDEX(inventory[ESISTENZA],MATCH(BZ101,inventory[ARTICOLO],0)),"")</f>
        <v/>
      </c>
      <c r="CQ101" s="364" t="str">
        <f>IFERROR(IF(BZ101="","",IF($BX$15="SALE",INDEX(inventory[COSTO UNITARIO],MATCH(BZ101,inventory[ARTICOLO],0)),IF($BX$15="SAMPLING",INDEX(inventory[COSTO UNITARIO],MATCH(BZ101,inventory[ARTICOLO],0)),""))),"")</f>
        <v/>
      </c>
      <c r="CR101" s="365" t="str">
        <f t="shared" si="5"/>
        <v/>
      </c>
      <c r="CS101" s="264" t="str">
        <f t="shared" si="6"/>
        <v/>
      </c>
      <c r="DA101" s="432" t="str">
        <f>IFERROR(VLOOKUP(BZ101,bhpc_data[],22,FALSE),"")</f>
        <v/>
      </c>
      <c r="EE101" s="202" t="str" cm="1">
        <f t="array" ref="EE101">IFERROR(IF($EC$9="",IF($EC$11="",IF($EC$13="",INDEX(bhpc_data[sku],SMALL(MATCH(ROW(bhpc_data[sku]),ROW(bhpc_data[sku])),ROWS($A$15:A106)+$B$3)),INDEX(bhpc_data[sku],SMALL(IF(ISNUMBER(MATCH(bhpc_data[size1],$EC$13,0)),MATCH(ROW(bhpc_data[sku]),ROW(bhpc_data[sku])),""),ROWS($A$15:A106)+$B$3))),IF($EC$13="",INDEX(bhpc_data[sku],SMALL(IF(ISNUMBER(MATCH(bhpc_data[sex],$EC$11,0)),MATCH(ROW(bhpc_data[sku]),ROW(bhpc_data[sku])),""),ROWS($A$15:A106)+$B$3)),INDEX(bhpc_data[sku],SMALL(IF(ISNUMBER(MATCH(bhpc_data[sex],$EC$11,0)*MATCH(bhpc_data[size1],$EC$13,0)),MATCH(ROW(bhpc_data[sku]),ROW(bhpc_data[sku])),""),ROWS($A$15:A106)+$B$3)))),IF($EC$11="",IF($EC$13="",INDEX(bhpc_data[sku],SMALL(IF(ISNUMBER(MATCH(bhpc_data[category],$EC$9,0)),MATCH(ROW(bhpc_data[sku]),ROW(bhpc_data[sku])),""),ROWS($A$15:A106)+$B$3)),INDEX(bhpc_data[sku],SMALL(IF(ISNUMBER(MATCH(bhpc_data[category],$EC$9,0)*MATCH(bhpc_data[size1],$EC$13,0)),MATCH(ROW(bhpc_data[sku]),ROW(bhpc_data[sku])),""),ROWS($A$15:A106)+$B$3))),IF($EC$13="",INDEX(bhpc_data[sku],SMALL(IF(ISNUMBER(MATCH(bhpc_data[category],$EC$9,0)*MATCH(bhpc_data[sex],$EC$11,0)),MATCH(ROW(bhpc_data[sku]),ROW(bhpc_data[sku])),""),ROWS($A$15:A106)+$B$3)),INDEX(bhpc_data[sku],SMALL(IF(ISNUMBER(MATCH(bhpc_data[category],$EC$9,0)*MATCH(bhpc_data[sex],$EC$11,0)*MATCH(bhpc_data[size1],$EC$13,0)),MATCH(ROW(bhpc_data[sku]),ROW(bhpc_data[sku])),""),ROWS($A$15:A106)+$B$3))))),"")</f>
        <v>PT6007</v>
      </c>
      <c r="EF101" s="198" t="str" cm="1">
        <f t="array" ref="EF101">IFERROR(IF($EC$9="",IF($EC$11="",IF($EC$13="",INDEX(bhpc_data[description],SMALL(MATCH(ROW(bhpc_data[sku]),ROW(bhpc_data[sku])),ROWS($A$15:A106)+$B$3)),INDEX(bhpc_data[description],SMALL(IF(ISNUMBER(MATCH(bhpc_data[size1],$EC$13,0)),MATCH(ROW(bhpc_data[sku]),ROW(bhpc_data[sku])),""),ROWS($A$15:A106)+$B$3))),IF($EC$13="",INDEX(bhpc_data[description],SMALL(IF(ISNUMBER(MATCH(bhpc_data[sex],$EC$11,0)),MATCH(ROW(bhpc_data[sku]),ROW(bhpc_data[sku])),""),ROWS($A$15:A106)+$B$3)),INDEX(bhpc_data[description],SMALL(IF(ISNUMBER(MATCH(bhpc_data[sex],$EC$11,0)*MATCH(bhpc_data[size1],$EC$13,0)),MATCH(ROW(bhpc_data[sku]),ROW(bhpc_data[sku])),""),ROWS($A$15:A106)+$B$3)))),IF($EC$11="",IF($EC$13="",INDEX(bhpc_data[description],SMALL(IF(ISNUMBER(MATCH(bhpc_data[category],$EC$9,0)),MATCH(ROW(bhpc_data[sku]),ROW(bhpc_data[sku])),""),ROWS($A$15:A106)+$B$3)),INDEX(bhpc_data[description],SMALL(IF(ISNUMBER(MATCH(bhpc_data[category],$EC$9,0)*MATCH(bhpc_data[size1],$EC$13,0)),MATCH(ROW(bhpc_data[sku]),ROW(bhpc_data[sku])),""),ROWS($A$15:A106)+$B$3))),IF($EC$13="",INDEX(bhpc_data[description],SMALL(IF(ISNUMBER(MATCH(bhpc_data[category],$EC$9,0)*MATCH(bhpc_data[sex],$EC$11,0)),MATCH(ROW(bhpc_data[sku]),ROW(bhpc_data[sku])),""),ROWS($A$15:A106)+$B$3)),INDEX(bhpc_data[description],SMALL(IF(ISNUMBER(MATCH(bhpc_data[category],$EC$9,0)*MATCH(bhpc_data[sex],$EC$11,0)*MATCH(bhpc_data[size1],$EC$13,0)),MATCH(ROW(bhpc_data[sku]),ROW(bhpc_data[sku])),""),ROWS($A$15:A106)+$B$3))))),"")</f>
        <v>BHPC TESTERS PASSION 100ML EDP WOMEN</v>
      </c>
      <c r="EG101" s="263">
        <f>IFERROR(IF(warehouse[[#This Row],[SKU]]="","",INDEX(inventory[ESISTENZA],MATCH(warehouse[[#This Row],[SKU]],inventory[ARTICOLO],0))),"")</f>
        <v>0</v>
      </c>
      <c r="EH101" s="328"/>
      <c r="EI101" s="328"/>
      <c r="EJ101" s="263"/>
      <c r="EK101" s="329"/>
    </row>
    <row r="102" spans="63:141" ht="15" customHeight="1" x14ac:dyDescent="0.35">
      <c r="BK102" s="450"/>
      <c r="BL102" s="451"/>
      <c r="BM102" s="452"/>
      <c r="BN102" s="451"/>
      <c r="BO102" s="452"/>
      <c r="BZ102" s="168"/>
      <c r="CA102" s="154" t="str">
        <f>IF(BZ102="","",INDEX(bhpc_data[description],MATCH(BZ102,bhpc_data[sku],0)))</f>
        <v/>
      </c>
      <c r="CB102" s="159"/>
      <c r="CC102" s="357"/>
      <c r="CD102" s="169"/>
      <c r="CE102" s="361"/>
      <c r="CF102" s="170"/>
      <c r="CG102" s="164" t="str">
        <f>IFERROR(ROUNDUP(CB102/INDEX(bhpc_data[units_per_carton],MATCH(BZ102,bhpc_data[sku],0)),0),"")</f>
        <v/>
      </c>
      <c r="CH102" s="165" t="str">
        <f>IFERROR(ROUNDUP(CD102/INDEX(bhpc_data[units_per_carton],MATCH(BZ102,bhpc_data[sku],0)),0),"")</f>
        <v/>
      </c>
      <c r="CI102" s="165" t="str">
        <f>IFERROR(ROUNDUP(CF102/INDEX(bhpc_data[units_per_carton],MATCH(BZ102,bhpc_data[sku])),0),"")</f>
        <v/>
      </c>
      <c r="CJ102" s="165" t="str">
        <f>IFERROR(((CB102+CD102+CF102)/INDEX(bhpc_data[units_per_carton],MATCH(BZ102,bhpc_data[sku],0)))*INDEX(bhpc_data[net_weight],MATCH(BZ102,bhpc_data[sku],0)),"")</f>
        <v/>
      </c>
      <c r="CK102" s="165" t="str">
        <f>IFERROR(((CB102+CD102+CF102)/INDEX(bhpc_data[units_per_carton],MATCH(BZ102,bhpc_data[sku],0)))*INDEX(bhpc_data[gross_weight],MATCH(BZ102,bhpc_data[sku],0)),"")</f>
        <v/>
      </c>
      <c r="CL102" s="180" t="str">
        <f>IFERROR((CB102+CD102+CF102)/INDEX(bhpc_data[units_per_carton],MATCH(BZ102,bhpc_data[sku],0))*INDEX(bhpc_data[lenght],MATCH(BZ102,bhpc_data[sku],0))*INDEX(bhpc_data[width],MATCH(BZ102,bhpc_data[sku],0))*INDEX(bhpc_data[height],MATCH(BZ102,bhpc_data[sku],0))/1000000000,"")</f>
        <v/>
      </c>
      <c r="CM102" s="189" t="str">
        <f>IFERROR(INDEX(bhpc_data[category],MATCH(BZ102,bhpc_data[sku],0)),"")</f>
        <v/>
      </c>
      <c r="CN102" s="189" t="str">
        <f>IFERROR(INDEX(bhpc_data[size1],MATCH(BZ102,bhpc_data[sku],0)),"")</f>
        <v/>
      </c>
      <c r="CO102" s="388" t="str">
        <f>IFERROR(INDEX(bhpc_data[hs_code],MATCH(BZ102,bhpc_data[sku],0)),"")</f>
        <v/>
      </c>
      <c r="CP102" s="377" t="str">
        <f>IFERROR(INDEX(inventory[ESISTENZA],MATCH(BZ102,inventory[ARTICOLO],0)),"")</f>
        <v/>
      </c>
      <c r="CQ102" s="364" t="str">
        <f>IFERROR(IF(BZ102="","",IF($BX$15="SALE",INDEX(inventory[COSTO UNITARIO],MATCH(BZ102,inventory[ARTICOLO],0)),IF($BX$15="SAMPLING",INDEX(inventory[COSTO UNITARIO],MATCH(BZ102,inventory[ARTICOLO],0)),""))),"")</f>
        <v/>
      </c>
      <c r="CR102" s="365" t="str">
        <f t="shared" si="5"/>
        <v/>
      </c>
      <c r="CS102" s="264" t="str">
        <f t="shared" si="6"/>
        <v/>
      </c>
      <c r="DA102" s="432" t="str">
        <f>IFERROR(VLOOKUP(BZ102,bhpc_data[],22,FALSE),"")</f>
        <v/>
      </c>
      <c r="EE102" s="202" t="str" cm="1">
        <f t="array" ref="EE102">IFERROR(IF($EC$9="",IF($EC$11="",IF($EC$13="",INDEX(bhpc_data[sku],SMALL(MATCH(ROW(bhpc_data[sku]),ROW(bhpc_data[sku])),ROWS($A$15:A107)+$B$3)),INDEX(bhpc_data[sku],SMALL(IF(ISNUMBER(MATCH(bhpc_data[size1],$EC$13,0)),MATCH(ROW(bhpc_data[sku]),ROW(bhpc_data[sku])),""),ROWS($A$15:A107)+$B$3))),IF($EC$13="",INDEX(bhpc_data[sku],SMALL(IF(ISNUMBER(MATCH(bhpc_data[sex],$EC$11,0)),MATCH(ROW(bhpc_data[sku]),ROW(bhpc_data[sku])),""),ROWS($A$15:A107)+$B$3)),INDEX(bhpc_data[sku],SMALL(IF(ISNUMBER(MATCH(bhpc_data[sex],$EC$11,0)*MATCH(bhpc_data[size1],$EC$13,0)),MATCH(ROW(bhpc_data[sku]),ROW(bhpc_data[sku])),""),ROWS($A$15:A107)+$B$3)))),IF($EC$11="",IF($EC$13="",INDEX(bhpc_data[sku],SMALL(IF(ISNUMBER(MATCH(bhpc_data[category],$EC$9,0)),MATCH(ROW(bhpc_data[sku]),ROW(bhpc_data[sku])),""),ROWS($A$15:A107)+$B$3)),INDEX(bhpc_data[sku],SMALL(IF(ISNUMBER(MATCH(bhpc_data[category],$EC$9,0)*MATCH(bhpc_data[size1],$EC$13,0)),MATCH(ROW(bhpc_data[sku]),ROW(bhpc_data[sku])),""),ROWS($A$15:A107)+$B$3))),IF($EC$13="",INDEX(bhpc_data[sku],SMALL(IF(ISNUMBER(MATCH(bhpc_data[category],$EC$9,0)*MATCH(bhpc_data[sex],$EC$11,0)),MATCH(ROW(bhpc_data[sku]),ROW(bhpc_data[sku])),""),ROWS($A$15:A107)+$B$3)),INDEX(bhpc_data[sku],SMALL(IF(ISNUMBER(MATCH(bhpc_data[category],$EC$9,0)*MATCH(bhpc_data[sex],$EC$11,0)*MATCH(bhpc_data[size1],$EC$13,0)),MATCH(ROW(bhpc_data[sku]),ROW(bhpc_data[sku])),""),ROWS($A$15:A107)+$B$3))))),"")</f>
        <v>PT6020</v>
      </c>
      <c r="EF102" s="198" t="str" cm="1">
        <f t="array" ref="EF102">IFERROR(IF($EC$9="",IF($EC$11="",IF($EC$13="",INDEX(bhpc_data[description],SMALL(MATCH(ROW(bhpc_data[sku]),ROW(bhpc_data[sku])),ROWS($A$15:A107)+$B$3)),INDEX(bhpc_data[description],SMALL(IF(ISNUMBER(MATCH(bhpc_data[size1],$EC$13,0)),MATCH(ROW(bhpc_data[sku]),ROW(bhpc_data[sku])),""),ROWS($A$15:A107)+$B$3))),IF($EC$13="",INDEX(bhpc_data[description],SMALL(IF(ISNUMBER(MATCH(bhpc_data[sex],$EC$11,0)),MATCH(ROW(bhpc_data[sku]),ROW(bhpc_data[sku])),""),ROWS($A$15:A107)+$B$3)),INDEX(bhpc_data[description],SMALL(IF(ISNUMBER(MATCH(bhpc_data[sex],$EC$11,0)*MATCH(bhpc_data[size1],$EC$13,0)),MATCH(ROW(bhpc_data[sku]),ROW(bhpc_data[sku])),""),ROWS($A$15:A107)+$B$3)))),IF($EC$11="",IF($EC$13="",INDEX(bhpc_data[description],SMALL(IF(ISNUMBER(MATCH(bhpc_data[category],$EC$9,0)),MATCH(ROW(bhpc_data[sku]),ROW(bhpc_data[sku])),""),ROWS($A$15:A107)+$B$3)),INDEX(bhpc_data[description],SMALL(IF(ISNUMBER(MATCH(bhpc_data[category],$EC$9,0)*MATCH(bhpc_data[size1],$EC$13,0)),MATCH(ROW(bhpc_data[sku]),ROW(bhpc_data[sku])),""),ROWS($A$15:A107)+$B$3))),IF($EC$13="",INDEX(bhpc_data[description],SMALL(IF(ISNUMBER(MATCH(bhpc_data[category],$EC$9,0)*MATCH(bhpc_data[sex],$EC$11,0)),MATCH(ROW(bhpc_data[sku]),ROW(bhpc_data[sku])),""),ROWS($A$15:A107)+$B$3)),INDEX(bhpc_data[description],SMALL(IF(ISNUMBER(MATCH(bhpc_data[category],$EC$9,0)*MATCH(bhpc_data[sex],$EC$11,0)*MATCH(bhpc_data[size1],$EC$13,0)),MATCH(ROW(bhpc_data[sku]),ROW(bhpc_data[sku])),""),ROWS($A$15:A107)+$B$3))))),"")</f>
        <v>BHPC TESTERS KNIGHT 100ML EDP MEN</v>
      </c>
      <c r="EG102" s="263">
        <f>IFERROR(IF(warehouse[[#This Row],[SKU]]="","",INDEX(inventory[ESISTENZA],MATCH(warehouse[[#This Row],[SKU]],inventory[ARTICOLO],0))),"")</f>
        <v>912</v>
      </c>
      <c r="EH102" s="328"/>
      <c r="EI102" s="328"/>
      <c r="EJ102" s="263"/>
      <c r="EK102" s="329"/>
    </row>
    <row r="103" spans="63:141" ht="15" customHeight="1" x14ac:dyDescent="0.35">
      <c r="BK103" s="450"/>
      <c r="BL103" s="451"/>
      <c r="BM103" s="452"/>
      <c r="BN103" s="451"/>
      <c r="BO103" s="452"/>
      <c r="BZ103" s="168"/>
      <c r="CA103" s="154" t="str">
        <f>IF(BZ103="","",INDEX(bhpc_data[description],MATCH(BZ103,bhpc_data[sku],0)))</f>
        <v/>
      </c>
      <c r="CB103" s="159"/>
      <c r="CC103" s="357"/>
      <c r="CD103" s="169"/>
      <c r="CE103" s="361"/>
      <c r="CF103" s="170"/>
      <c r="CG103" s="164" t="str">
        <f>IFERROR(ROUNDUP(CB103/INDEX(bhpc_data[units_per_carton],MATCH(BZ103,bhpc_data[sku],0)),0),"")</f>
        <v/>
      </c>
      <c r="CH103" s="165" t="str">
        <f>IFERROR(ROUNDUP(CD103/INDEX(bhpc_data[units_per_carton],MATCH(BZ103,bhpc_data[sku],0)),0),"")</f>
        <v/>
      </c>
      <c r="CI103" s="165" t="str">
        <f>IFERROR(ROUNDUP(CF103/INDEX(bhpc_data[units_per_carton],MATCH(BZ103,bhpc_data[sku])),0),"")</f>
        <v/>
      </c>
      <c r="CJ103" s="165" t="str">
        <f>IFERROR(((CB103+CD103+CF103)/INDEX(bhpc_data[units_per_carton],MATCH(BZ103,bhpc_data[sku],0)))*INDEX(bhpc_data[net_weight],MATCH(BZ103,bhpc_data[sku],0)),"")</f>
        <v/>
      </c>
      <c r="CK103" s="165" t="str">
        <f>IFERROR(((CB103+CD103+CF103)/INDEX(bhpc_data[units_per_carton],MATCH(BZ103,bhpc_data[sku],0)))*INDEX(bhpc_data[gross_weight],MATCH(BZ103,bhpc_data[sku],0)),"")</f>
        <v/>
      </c>
      <c r="CL103" s="180" t="str">
        <f>IFERROR((CB103+CD103+CF103)/INDEX(bhpc_data[units_per_carton],MATCH(BZ103,bhpc_data[sku],0))*INDEX(bhpc_data[lenght],MATCH(BZ103,bhpc_data[sku],0))*INDEX(bhpc_data[width],MATCH(BZ103,bhpc_data[sku],0))*INDEX(bhpc_data[height],MATCH(BZ103,bhpc_data[sku],0))/1000000000,"")</f>
        <v/>
      </c>
      <c r="CM103" s="189" t="str">
        <f>IFERROR(INDEX(bhpc_data[category],MATCH(BZ103,bhpc_data[sku],0)),"")</f>
        <v/>
      </c>
      <c r="CN103" s="189" t="str">
        <f>IFERROR(INDEX(bhpc_data[size1],MATCH(BZ103,bhpc_data[sku],0)),"")</f>
        <v/>
      </c>
      <c r="CO103" s="388" t="str">
        <f>IFERROR(INDEX(bhpc_data[hs_code],MATCH(BZ103,bhpc_data[sku],0)),"")</f>
        <v/>
      </c>
      <c r="CP103" s="377" t="str">
        <f>IFERROR(INDEX(inventory[ESISTENZA],MATCH(BZ103,inventory[ARTICOLO],0)),"")</f>
        <v/>
      </c>
      <c r="CQ103" s="364" t="str">
        <f>IFERROR(IF(BZ103="","",IF($BX$15="SALE",INDEX(inventory[COSTO UNITARIO],MATCH(BZ103,inventory[ARTICOLO],0)),IF($BX$15="SAMPLING",INDEX(inventory[COSTO UNITARIO],MATCH(BZ103,inventory[ARTICOLO],0)),""))),"")</f>
        <v/>
      </c>
      <c r="CR103" s="365" t="str">
        <f t="shared" si="5"/>
        <v/>
      </c>
      <c r="CS103" s="264" t="str">
        <f t="shared" si="6"/>
        <v/>
      </c>
      <c r="DA103" s="432" t="str">
        <f>IFERROR(VLOOKUP(BZ103,bhpc_data[],22,FALSE),"")</f>
        <v/>
      </c>
      <c r="EE103" s="202" t="str" cm="1">
        <f t="array" ref="EE103">IFERROR(IF($EC$9="",IF($EC$11="",IF($EC$13="",INDEX(bhpc_data[sku],SMALL(MATCH(ROW(bhpc_data[sku]),ROW(bhpc_data[sku])),ROWS($A$15:A108)+$B$3)),INDEX(bhpc_data[sku],SMALL(IF(ISNUMBER(MATCH(bhpc_data[size1],$EC$13,0)),MATCH(ROW(bhpc_data[sku]),ROW(bhpc_data[sku])),""),ROWS($A$15:A108)+$B$3))),IF($EC$13="",INDEX(bhpc_data[sku],SMALL(IF(ISNUMBER(MATCH(bhpc_data[sex],$EC$11,0)),MATCH(ROW(bhpc_data[sku]),ROW(bhpc_data[sku])),""),ROWS($A$15:A108)+$B$3)),INDEX(bhpc_data[sku],SMALL(IF(ISNUMBER(MATCH(bhpc_data[sex],$EC$11,0)*MATCH(bhpc_data[size1],$EC$13,0)),MATCH(ROW(bhpc_data[sku]),ROW(bhpc_data[sku])),""),ROWS($A$15:A108)+$B$3)))),IF($EC$11="",IF($EC$13="",INDEX(bhpc_data[sku],SMALL(IF(ISNUMBER(MATCH(bhpc_data[category],$EC$9,0)),MATCH(ROW(bhpc_data[sku]),ROW(bhpc_data[sku])),""),ROWS($A$15:A108)+$B$3)),INDEX(bhpc_data[sku],SMALL(IF(ISNUMBER(MATCH(bhpc_data[category],$EC$9,0)*MATCH(bhpc_data[size1],$EC$13,0)),MATCH(ROW(bhpc_data[sku]),ROW(bhpc_data[sku])),""),ROWS($A$15:A108)+$B$3))),IF($EC$13="",INDEX(bhpc_data[sku],SMALL(IF(ISNUMBER(MATCH(bhpc_data[category],$EC$9,0)*MATCH(bhpc_data[sex],$EC$11,0)),MATCH(ROW(bhpc_data[sku]),ROW(bhpc_data[sku])),""),ROWS($A$15:A108)+$B$3)),INDEX(bhpc_data[sku],SMALL(IF(ISNUMBER(MATCH(bhpc_data[category],$EC$9,0)*MATCH(bhpc_data[sex],$EC$11,0)*MATCH(bhpc_data[size1],$EC$13,0)),MATCH(ROW(bhpc_data[sku]),ROW(bhpc_data[sku])),""),ROWS($A$15:A108)+$B$3))))),"")</f>
        <v>PT6021</v>
      </c>
      <c r="EF103" s="198" t="str" cm="1">
        <f t="array" ref="EF103">IFERROR(IF($EC$9="",IF($EC$11="",IF($EC$13="",INDEX(bhpc_data[description],SMALL(MATCH(ROW(bhpc_data[sku]),ROW(bhpc_data[sku])),ROWS($A$15:A108)+$B$3)),INDEX(bhpc_data[description],SMALL(IF(ISNUMBER(MATCH(bhpc_data[size1],$EC$13,0)),MATCH(ROW(bhpc_data[sku]),ROW(bhpc_data[sku])),""),ROWS($A$15:A108)+$B$3))),IF($EC$13="",INDEX(bhpc_data[description],SMALL(IF(ISNUMBER(MATCH(bhpc_data[sex],$EC$11,0)),MATCH(ROW(bhpc_data[sku]),ROW(bhpc_data[sku])),""),ROWS($A$15:A108)+$B$3)),INDEX(bhpc_data[description],SMALL(IF(ISNUMBER(MATCH(bhpc_data[sex],$EC$11,0)*MATCH(bhpc_data[size1],$EC$13,0)),MATCH(ROW(bhpc_data[sku]),ROW(bhpc_data[sku])),""),ROWS($A$15:A108)+$B$3)))),IF($EC$11="",IF($EC$13="",INDEX(bhpc_data[description],SMALL(IF(ISNUMBER(MATCH(bhpc_data[category],$EC$9,0)),MATCH(ROW(bhpc_data[sku]),ROW(bhpc_data[sku])),""),ROWS($A$15:A108)+$B$3)),INDEX(bhpc_data[description],SMALL(IF(ISNUMBER(MATCH(bhpc_data[category],$EC$9,0)*MATCH(bhpc_data[size1],$EC$13,0)),MATCH(ROW(bhpc_data[sku]),ROW(bhpc_data[sku])),""),ROWS($A$15:A108)+$B$3))),IF($EC$13="",INDEX(bhpc_data[description],SMALL(IF(ISNUMBER(MATCH(bhpc_data[category],$EC$9,0)*MATCH(bhpc_data[sex],$EC$11,0)),MATCH(ROW(bhpc_data[sku]),ROW(bhpc_data[sku])),""),ROWS($A$15:A108)+$B$3)),INDEX(bhpc_data[description],SMALL(IF(ISNUMBER(MATCH(bhpc_data[category],$EC$9,0)*MATCH(bhpc_data[sex],$EC$11,0)*MATCH(bhpc_data[size1],$EC$13,0)),MATCH(ROW(bhpc_data[sku]),ROW(bhpc_data[sku])),""),ROWS($A$15:A108)+$B$3))))),"")</f>
        <v>BHPC TESTERS ROYALE 100ML EDP MEN</v>
      </c>
      <c r="EG103" s="263">
        <f>IFERROR(IF(warehouse[[#This Row],[SKU]]="","",INDEX(inventory[ESISTENZA],MATCH(warehouse[[#This Row],[SKU]],inventory[ARTICOLO],0))),"")</f>
        <v>912</v>
      </c>
      <c r="EH103" s="328"/>
      <c r="EI103" s="328"/>
      <c r="EJ103" s="263"/>
      <c r="EK103" s="329"/>
    </row>
    <row r="104" spans="63:141" ht="15" customHeight="1" x14ac:dyDescent="0.35">
      <c r="BK104" s="450"/>
      <c r="BL104" s="451"/>
      <c r="BM104" s="452"/>
      <c r="BN104" s="451"/>
      <c r="BO104" s="452"/>
      <c r="BZ104" s="168"/>
      <c r="CA104" s="154" t="str">
        <f>IF(BZ104="","",INDEX(bhpc_data[description],MATCH(BZ104,bhpc_data[sku],0)))</f>
        <v/>
      </c>
      <c r="CB104" s="159"/>
      <c r="CC104" s="357"/>
      <c r="CD104" s="169"/>
      <c r="CE104" s="361"/>
      <c r="CF104" s="170"/>
      <c r="CG104" s="164" t="str">
        <f>IFERROR(ROUNDUP(CB104/INDEX(bhpc_data[units_per_carton],MATCH(BZ104,bhpc_data[sku],0)),0),"")</f>
        <v/>
      </c>
      <c r="CH104" s="165" t="str">
        <f>IFERROR(ROUNDUP(CD104/INDEX(bhpc_data[units_per_carton],MATCH(BZ104,bhpc_data[sku],0)),0),"")</f>
        <v/>
      </c>
      <c r="CI104" s="165" t="str">
        <f>IFERROR(ROUNDUP(CF104/INDEX(bhpc_data[units_per_carton],MATCH(BZ104,bhpc_data[sku])),0),"")</f>
        <v/>
      </c>
      <c r="CJ104" s="165" t="str">
        <f>IFERROR(((CB104+CD104+CF104)/INDEX(bhpc_data[units_per_carton],MATCH(BZ104,bhpc_data[sku],0)))*INDEX(bhpc_data[net_weight],MATCH(BZ104,bhpc_data[sku],0)),"")</f>
        <v/>
      </c>
      <c r="CK104" s="165" t="str">
        <f>IFERROR(((CB104+CD104+CF104)/INDEX(bhpc_data[units_per_carton],MATCH(BZ104,bhpc_data[sku],0)))*INDEX(bhpc_data[gross_weight],MATCH(BZ104,bhpc_data[sku],0)),"")</f>
        <v/>
      </c>
      <c r="CL104" s="180" t="str">
        <f>IFERROR((CB104+CD104+CF104)/INDEX(bhpc_data[units_per_carton],MATCH(BZ104,bhpc_data[sku],0))*INDEX(bhpc_data[lenght],MATCH(BZ104,bhpc_data[sku],0))*INDEX(bhpc_data[width],MATCH(BZ104,bhpc_data[sku],0))*INDEX(bhpc_data[height],MATCH(BZ104,bhpc_data[sku],0))/1000000000,"")</f>
        <v/>
      </c>
      <c r="CM104" s="189" t="str">
        <f>IFERROR(INDEX(bhpc_data[category],MATCH(BZ104,bhpc_data[sku],0)),"")</f>
        <v/>
      </c>
      <c r="CN104" s="189" t="str">
        <f>IFERROR(INDEX(bhpc_data[size1],MATCH(BZ104,bhpc_data[sku],0)),"")</f>
        <v/>
      </c>
      <c r="CO104" s="388" t="str">
        <f>IFERROR(INDEX(bhpc_data[hs_code],MATCH(BZ104,bhpc_data[sku],0)),"")</f>
        <v/>
      </c>
      <c r="CP104" s="377" t="str">
        <f>IFERROR(INDEX(inventory[ESISTENZA],MATCH(BZ104,inventory[ARTICOLO],0)),"")</f>
        <v/>
      </c>
      <c r="CQ104" s="364" t="str">
        <f>IFERROR(IF(BZ104="","",IF($BX$15="SALE",INDEX(inventory[COSTO UNITARIO],MATCH(BZ104,inventory[ARTICOLO],0)),IF($BX$15="SAMPLING",INDEX(inventory[COSTO UNITARIO],MATCH(BZ104,inventory[ARTICOLO],0)),""))),"")</f>
        <v/>
      </c>
      <c r="CR104" s="365" t="str">
        <f t="shared" si="5"/>
        <v/>
      </c>
      <c r="CS104" s="264" t="str">
        <f t="shared" si="6"/>
        <v/>
      </c>
      <c r="DA104" s="432" t="str">
        <f>IFERROR(VLOOKUP(BZ104,bhpc_data[],22,FALSE),"")</f>
        <v/>
      </c>
      <c r="EE104" s="202" t="str" cm="1">
        <f t="array" ref="EE104">IFERROR(IF($EC$9="",IF($EC$11="",IF($EC$13="",INDEX(bhpc_data[sku],SMALL(MATCH(ROW(bhpc_data[sku]),ROW(bhpc_data[sku])),ROWS($A$15:A109)+$B$3)),INDEX(bhpc_data[sku],SMALL(IF(ISNUMBER(MATCH(bhpc_data[size1],$EC$13,0)),MATCH(ROW(bhpc_data[sku]),ROW(bhpc_data[sku])),""),ROWS($A$15:A109)+$B$3))),IF($EC$13="",INDEX(bhpc_data[sku],SMALL(IF(ISNUMBER(MATCH(bhpc_data[sex],$EC$11,0)),MATCH(ROW(bhpc_data[sku]),ROW(bhpc_data[sku])),""),ROWS($A$15:A109)+$B$3)),INDEX(bhpc_data[sku],SMALL(IF(ISNUMBER(MATCH(bhpc_data[sex],$EC$11,0)*MATCH(bhpc_data[size1],$EC$13,0)),MATCH(ROW(bhpc_data[sku]),ROW(bhpc_data[sku])),""),ROWS($A$15:A109)+$B$3)))),IF($EC$11="",IF($EC$13="",INDEX(bhpc_data[sku],SMALL(IF(ISNUMBER(MATCH(bhpc_data[category],$EC$9,0)),MATCH(ROW(bhpc_data[sku]),ROW(bhpc_data[sku])),""),ROWS($A$15:A109)+$B$3)),INDEX(bhpc_data[sku],SMALL(IF(ISNUMBER(MATCH(bhpc_data[category],$EC$9,0)*MATCH(bhpc_data[size1],$EC$13,0)),MATCH(ROW(bhpc_data[sku]),ROW(bhpc_data[sku])),""),ROWS($A$15:A109)+$B$3))),IF($EC$13="",INDEX(bhpc_data[sku],SMALL(IF(ISNUMBER(MATCH(bhpc_data[category],$EC$9,0)*MATCH(bhpc_data[sex],$EC$11,0)),MATCH(ROW(bhpc_data[sku]),ROW(bhpc_data[sku])),""),ROWS($A$15:A109)+$B$3)),INDEX(bhpc_data[sku],SMALL(IF(ISNUMBER(MATCH(bhpc_data[category],$EC$9,0)*MATCH(bhpc_data[sex],$EC$11,0)*MATCH(bhpc_data[size1],$EC$13,0)),MATCH(ROW(bhpc_data[sku]),ROW(bhpc_data[sku])),""),ROWS($A$15:A109)+$B$3))))),"")</f>
        <v>X00TPM</v>
      </c>
      <c r="EF104" s="198" t="str" cm="1">
        <f t="array" ref="EF104">IFERROR(IF($EC$9="",IF($EC$11="",IF($EC$13="",INDEX(bhpc_data[description],SMALL(MATCH(ROW(bhpc_data[sku]),ROW(bhpc_data[sku])),ROWS($A$15:A109)+$B$3)),INDEX(bhpc_data[description],SMALL(IF(ISNUMBER(MATCH(bhpc_data[size1],$EC$13,0)),MATCH(ROW(bhpc_data[sku]),ROW(bhpc_data[sku])),""),ROWS($A$15:A109)+$B$3))),IF($EC$13="",INDEX(bhpc_data[description],SMALL(IF(ISNUMBER(MATCH(bhpc_data[sex],$EC$11,0)),MATCH(ROW(bhpc_data[sku]),ROW(bhpc_data[sku])),""),ROWS($A$15:A109)+$B$3)),INDEX(bhpc_data[description],SMALL(IF(ISNUMBER(MATCH(bhpc_data[sex],$EC$11,0)*MATCH(bhpc_data[size1],$EC$13,0)),MATCH(ROW(bhpc_data[sku]),ROW(bhpc_data[sku])),""),ROWS($A$15:A109)+$B$3)))),IF($EC$11="",IF($EC$13="",INDEX(bhpc_data[description],SMALL(IF(ISNUMBER(MATCH(bhpc_data[category],$EC$9,0)),MATCH(ROW(bhpc_data[sku]),ROW(bhpc_data[sku])),""),ROWS($A$15:A109)+$B$3)),INDEX(bhpc_data[description],SMALL(IF(ISNUMBER(MATCH(bhpc_data[category],$EC$9,0)*MATCH(bhpc_data[size1],$EC$13,0)),MATCH(ROW(bhpc_data[sku]),ROW(bhpc_data[sku])),""),ROWS($A$15:A109)+$B$3))),IF($EC$13="",INDEX(bhpc_data[description],SMALL(IF(ISNUMBER(MATCH(bhpc_data[category],$EC$9,0)*MATCH(bhpc_data[sex],$EC$11,0)),MATCH(ROW(bhpc_data[sku]),ROW(bhpc_data[sku])),""),ROWS($A$15:A109)+$B$3)),INDEX(bhpc_data[description],SMALL(IF(ISNUMBER(MATCH(bhpc_data[category],$EC$9,0)*MATCH(bhpc_data[sex],$EC$11,0)*MATCH(bhpc_data[size1],$EC$13,0)),MATCH(ROW(bhpc_data[sku]),ROW(bhpc_data[sku])),""),ROWS($A$15:A109)+$B$3))))),"")</f>
        <v>BHPC BOX TWIN PACK DEO MEN</v>
      </c>
      <c r="EG104" s="263">
        <f>IFERROR(IF(warehouse[[#This Row],[SKU]]="","",INDEX(inventory[ESISTENZA],MATCH(warehouse[[#This Row],[SKU]],inventory[ARTICOLO],0))),"")</f>
        <v>0</v>
      </c>
      <c r="EH104" s="328"/>
      <c r="EI104" s="328"/>
      <c r="EJ104" s="263"/>
      <c r="EK104" s="329"/>
    </row>
    <row r="105" spans="63:141" ht="15" customHeight="1" x14ac:dyDescent="0.35">
      <c r="BK105" s="450"/>
      <c r="BL105" s="451"/>
      <c r="BM105" s="452"/>
      <c r="BN105" s="451"/>
      <c r="BO105" s="452"/>
      <c r="BZ105" s="168"/>
      <c r="CA105" s="154" t="str">
        <f>IF(BZ105="","",INDEX(bhpc_data[description],MATCH(BZ105,bhpc_data[sku],0)))</f>
        <v/>
      </c>
      <c r="CB105" s="159"/>
      <c r="CC105" s="357"/>
      <c r="CD105" s="169"/>
      <c r="CE105" s="361"/>
      <c r="CF105" s="170"/>
      <c r="CG105" s="164" t="str">
        <f>IFERROR(ROUNDUP(CB105/INDEX(bhpc_data[units_per_carton],MATCH(BZ105,bhpc_data[sku],0)),0),"")</f>
        <v/>
      </c>
      <c r="CH105" s="165" t="str">
        <f>IFERROR(ROUNDUP(CD105/INDEX(bhpc_data[units_per_carton],MATCH(BZ105,bhpc_data[sku],0)),0),"")</f>
        <v/>
      </c>
      <c r="CI105" s="165" t="str">
        <f>IFERROR(ROUNDUP(CF105/INDEX(bhpc_data[units_per_carton],MATCH(BZ105,bhpc_data[sku])),0),"")</f>
        <v/>
      </c>
      <c r="CJ105" s="165" t="str">
        <f>IFERROR(((CB105+CD105+CF105)/INDEX(bhpc_data[units_per_carton],MATCH(BZ105,bhpc_data[sku],0)))*INDEX(bhpc_data[net_weight],MATCH(BZ105,bhpc_data[sku],0)),"")</f>
        <v/>
      </c>
      <c r="CK105" s="165" t="str">
        <f>IFERROR(((CB105+CD105+CF105)/INDEX(bhpc_data[units_per_carton],MATCH(BZ105,bhpc_data[sku],0)))*INDEX(bhpc_data[gross_weight],MATCH(BZ105,bhpc_data[sku],0)),"")</f>
        <v/>
      </c>
      <c r="CL105" s="180" t="str">
        <f>IFERROR((CB105+CD105+CF105)/INDEX(bhpc_data[units_per_carton],MATCH(BZ105,bhpc_data[sku],0))*INDEX(bhpc_data[lenght],MATCH(BZ105,bhpc_data[sku],0))*INDEX(bhpc_data[width],MATCH(BZ105,bhpc_data[sku],0))*INDEX(bhpc_data[height],MATCH(BZ105,bhpc_data[sku],0))/1000000000,"")</f>
        <v/>
      </c>
      <c r="CM105" s="189" t="str">
        <f>IFERROR(INDEX(bhpc_data[category],MATCH(BZ105,bhpc_data[sku],0)),"")</f>
        <v/>
      </c>
      <c r="CN105" s="189" t="str">
        <f>IFERROR(INDEX(bhpc_data[size1],MATCH(BZ105,bhpc_data[sku],0)),"")</f>
        <v/>
      </c>
      <c r="CO105" s="388" t="str">
        <f>IFERROR(INDEX(bhpc_data[hs_code],MATCH(BZ105,bhpc_data[sku],0)),"")</f>
        <v/>
      </c>
      <c r="CP105" s="377" t="str">
        <f>IFERROR(INDEX(inventory[ESISTENZA],MATCH(BZ105,inventory[ARTICOLO],0)),"")</f>
        <v/>
      </c>
      <c r="CQ105" s="364" t="str">
        <f>IFERROR(IF(BZ105="","",IF($BX$15="SALE",INDEX(inventory[COSTO UNITARIO],MATCH(BZ105,inventory[ARTICOLO],0)),IF($BX$15="SAMPLING",INDEX(inventory[COSTO UNITARIO],MATCH(BZ105,inventory[ARTICOLO],0)),""))),"")</f>
        <v/>
      </c>
      <c r="CR105" s="365" t="str">
        <f t="shared" si="5"/>
        <v/>
      </c>
      <c r="CS105" s="264" t="str">
        <f t="shared" si="6"/>
        <v/>
      </c>
      <c r="DA105" s="432" t="str">
        <f>IFERROR(VLOOKUP(BZ105,bhpc_data[],22,FALSE),"")</f>
        <v/>
      </c>
      <c r="EE105" s="202" t="str" cm="1">
        <f t="array" ref="EE105">IFERROR(IF($EC$9="",IF($EC$11="",IF($EC$13="",INDEX(bhpc_data[sku],SMALL(MATCH(ROW(bhpc_data[sku]),ROW(bhpc_data[sku])),ROWS($A$15:A110)+$B$3)),INDEX(bhpc_data[sku],SMALL(IF(ISNUMBER(MATCH(bhpc_data[size1],$EC$13,0)),MATCH(ROW(bhpc_data[sku]),ROW(bhpc_data[sku])),""),ROWS($A$15:A110)+$B$3))),IF($EC$13="",INDEX(bhpc_data[sku],SMALL(IF(ISNUMBER(MATCH(bhpc_data[sex],$EC$11,0)),MATCH(ROW(bhpc_data[sku]),ROW(bhpc_data[sku])),""),ROWS($A$15:A110)+$B$3)),INDEX(bhpc_data[sku],SMALL(IF(ISNUMBER(MATCH(bhpc_data[sex],$EC$11,0)*MATCH(bhpc_data[size1],$EC$13,0)),MATCH(ROW(bhpc_data[sku]),ROW(bhpc_data[sku])),""),ROWS($A$15:A110)+$B$3)))),IF($EC$11="",IF($EC$13="",INDEX(bhpc_data[sku],SMALL(IF(ISNUMBER(MATCH(bhpc_data[category],$EC$9,0)),MATCH(ROW(bhpc_data[sku]),ROW(bhpc_data[sku])),""),ROWS($A$15:A110)+$B$3)),INDEX(bhpc_data[sku],SMALL(IF(ISNUMBER(MATCH(bhpc_data[category],$EC$9,0)*MATCH(bhpc_data[size1],$EC$13,0)),MATCH(ROW(bhpc_data[sku]),ROW(bhpc_data[sku])),""),ROWS($A$15:A110)+$B$3))),IF($EC$13="",INDEX(bhpc_data[sku],SMALL(IF(ISNUMBER(MATCH(bhpc_data[category],$EC$9,0)*MATCH(bhpc_data[sex],$EC$11,0)),MATCH(ROW(bhpc_data[sku]),ROW(bhpc_data[sku])),""),ROWS($A$15:A110)+$B$3)),INDEX(bhpc_data[sku],SMALL(IF(ISNUMBER(MATCH(bhpc_data[category],$EC$9,0)*MATCH(bhpc_data[sex],$EC$11,0)*MATCH(bhpc_data[size1],$EC$13,0)),MATCH(ROW(bhpc_data[sku]),ROW(bhpc_data[sku])),""),ROWS($A$15:A110)+$B$3))))),"")</f>
        <v>X00TPW</v>
      </c>
      <c r="EF105" s="198" t="str" cm="1">
        <f t="array" ref="EF105">IFERROR(IF($EC$9="",IF($EC$11="",IF($EC$13="",INDEX(bhpc_data[description],SMALL(MATCH(ROW(bhpc_data[sku]),ROW(bhpc_data[sku])),ROWS($A$15:A110)+$B$3)),INDEX(bhpc_data[description],SMALL(IF(ISNUMBER(MATCH(bhpc_data[size1],$EC$13,0)),MATCH(ROW(bhpc_data[sku]),ROW(bhpc_data[sku])),""),ROWS($A$15:A110)+$B$3))),IF($EC$13="",INDEX(bhpc_data[description],SMALL(IF(ISNUMBER(MATCH(bhpc_data[sex],$EC$11,0)),MATCH(ROW(bhpc_data[sku]),ROW(bhpc_data[sku])),""),ROWS($A$15:A110)+$B$3)),INDEX(bhpc_data[description],SMALL(IF(ISNUMBER(MATCH(bhpc_data[sex],$EC$11,0)*MATCH(bhpc_data[size1],$EC$13,0)),MATCH(ROW(bhpc_data[sku]),ROW(bhpc_data[sku])),""),ROWS($A$15:A110)+$B$3)))),IF($EC$11="",IF($EC$13="",INDEX(bhpc_data[description],SMALL(IF(ISNUMBER(MATCH(bhpc_data[category],$EC$9,0)),MATCH(ROW(bhpc_data[sku]),ROW(bhpc_data[sku])),""),ROWS($A$15:A110)+$B$3)),INDEX(bhpc_data[description],SMALL(IF(ISNUMBER(MATCH(bhpc_data[category],$EC$9,0)*MATCH(bhpc_data[size1],$EC$13,0)),MATCH(ROW(bhpc_data[sku]),ROW(bhpc_data[sku])),""),ROWS($A$15:A110)+$B$3))),IF($EC$13="",INDEX(bhpc_data[description],SMALL(IF(ISNUMBER(MATCH(bhpc_data[category],$EC$9,0)*MATCH(bhpc_data[sex],$EC$11,0)),MATCH(ROW(bhpc_data[sku]),ROW(bhpc_data[sku])),""),ROWS($A$15:A110)+$B$3)),INDEX(bhpc_data[description],SMALL(IF(ISNUMBER(MATCH(bhpc_data[category],$EC$9,0)*MATCH(bhpc_data[sex],$EC$11,0)*MATCH(bhpc_data[size1],$EC$13,0)),MATCH(ROW(bhpc_data[sku]),ROW(bhpc_data[sku])),""),ROWS($A$15:A110)+$B$3))))),"")</f>
        <v>BHPC BOX TWIN PACK DEO WOMEN</v>
      </c>
      <c r="EG105" s="263">
        <f>IFERROR(IF(warehouse[[#This Row],[SKU]]="","",INDEX(inventory[ESISTENZA],MATCH(warehouse[[#This Row],[SKU]],inventory[ARTICOLO],0))),"")</f>
        <v>0</v>
      </c>
      <c r="EH105" s="328"/>
      <c r="EI105" s="328"/>
      <c r="EJ105" s="263"/>
      <c r="EK105" s="329"/>
    </row>
    <row r="106" spans="63:141" ht="15" customHeight="1" x14ac:dyDescent="0.35">
      <c r="BK106" s="450"/>
      <c r="BL106" s="451"/>
      <c r="BM106" s="452"/>
      <c r="BN106" s="451"/>
      <c r="BO106" s="452"/>
      <c r="BZ106" s="168"/>
      <c r="CA106" s="154" t="str">
        <f>IF(BZ106="","",INDEX(bhpc_data[description],MATCH(BZ106,bhpc_data[sku],0)))</f>
        <v/>
      </c>
      <c r="CB106" s="159"/>
      <c r="CC106" s="357"/>
      <c r="CD106" s="169"/>
      <c r="CE106" s="361"/>
      <c r="CF106" s="170"/>
      <c r="CG106" s="164" t="str">
        <f>IFERROR(ROUNDUP(CB106/INDEX(bhpc_data[units_per_carton],MATCH(BZ106,bhpc_data[sku],0)),0),"")</f>
        <v/>
      </c>
      <c r="CH106" s="165" t="str">
        <f>IFERROR(ROUNDUP(CD106/INDEX(bhpc_data[units_per_carton],MATCH(BZ106,bhpc_data[sku],0)),0),"")</f>
        <v/>
      </c>
      <c r="CI106" s="165" t="str">
        <f>IFERROR(ROUNDUP(CF106/INDEX(bhpc_data[units_per_carton],MATCH(BZ106,bhpc_data[sku])),0),"")</f>
        <v/>
      </c>
      <c r="CJ106" s="165" t="str">
        <f>IFERROR(((CB106+CD106+CF106)/INDEX(bhpc_data[units_per_carton],MATCH(BZ106,bhpc_data[sku],0)))*INDEX(bhpc_data[net_weight],MATCH(BZ106,bhpc_data[sku],0)),"")</f>
        <v/>
      </c>
      <c r="CK106" s="165" t="str">
        <f>IFERROR(((CB106+CD106+CF106)/INDEX(bhpc_data[units_per_carton],MATCH(BZ106,bhpc_data[sku],0)))*INDEX(bhpc_data[gross_weight],MATCH(BZ106,bhpc_data[sku],0)),"")</f>
        <v/>
      </c>
      <c r="CL106" s="180" t="str">
        <f>IFERROR((CB106+CD106+CF106)/INDEX(bhpc_data[units_per_carton],MATCH(BZ106,bhpc_data[sku],0))*INDEX(bhpc_data[lenght],MATCH(BZ106,bhpc_data[sku],0))*INDEX(bhpc_data[width],MATCH(BZ106,bhpc_data[sku],0))*INDEX(bhpc_data[height],MATCH(BZ106,bhpc_data[sku],0))/1000000000,"")</f>
        <v/>
      </c>
      <c r="CM106" s="189" t="str">
        <f>IFERROR(INDEX(bhpc_data[category],MATCH(BZ106,bhpc_data[sku],0)),"")</f>
        <v/>
      </c>
      <c r="CN106" s="189" t="str">
        <f>IFERROR(INDEX(bhpc_data[size1],MATCH(BZ106,bhpc_data[sku],0)),"")</f>
        <v/>
      </c>
      <c r="CO106" s="388" t="str">
        <f>IFERROR(INDEX(bhpc_data[hs_code],MATCH(BZ106,bhpc_data[sku],0)),"")</f>
        <v/>
      </c>
      <c r="CP106" s="377" t="str">
        <f>IFERROR(INDEX(inventory[ESISTENZA],MATCH(BZ106,inventory[ARTICOLO],0)),"")</f>
        <v/>
      </c>
      <c r="CQ106" s="364" t="str">
        <f>IFERROR(IF(BZ106="","",IF($BX$15="SALE",INDEX(inventory[COSTO UNITARIO],MATCH(BZ106,inventory[ARTICOLO],0)),IF($BX$15="SAMPLING",INDEX(inventory[COSTO UNITARIO],MATCH(BZ106,inventory[ARTICOLO],0)),""))),"")</f>
        <v/>
      </c>
      <c r="CR106" s="365" t="str">
        <f t="shared" ref="CR106:CR110" si="7">IFERROR(IF(BZ106="","",(CB106+CD106+CF106)*CQ106),"")</f>
        <v/>
      </c>
      <c r="CS106" s="264" t="str">
        <f t="shared" si="6"/>
        <v/>
      </c>
      <c r="DA106" s="432" t="str">
        <f>IFERROR(VLOOKUP(BZ106,bhpc_data[],22,FALSE),"")</f>
        <v/>
      </c>
      <c r="EE106" s="202" t="str" cm="1">
        <f t="array" ref="EE106">IFERROR(IF($EC$9="",IF($EC$11="",IF($EC$13="",INDEX(bhpc_data[sku],SMALL(MATCH(ROW(bhpc_data[sku]),ROW(bhpc_data[sku])),ROWS($A$15:A111)+$B$3)),INDEX(bhpc_data[sku],SMALL(IF(ISNUMBER(MATCH(bhpc_data[size1],$EC$13,0)),MATCH(ROW(bhpc_data[sku]),ROW(bhpc_data[sku])),""),ROWS($A$15:A111)+$B$3))),IF($EC$13="",INDEX(bhpc_data[sku],SMALL(IF(ISNUMBER(MATCH(bhpc_data[sex],$EC$11,0)),MATCH(ROW(bhpc_data[sku]),ROW(bhpc_data[sku])),""),ROWS($A$15:A111)+$B$3)),INDEX(bhpc_data[sku],SMALL(IF(ISNUMBER(MATCH(bhpc_data[sex],$EC$11,0)*MATCH(bhpc_data[size1],$EC$13,0)),MATCH(ROW(bhpc_data[sku]),ROW(bhpc_data[sku])),""),ROWS($A$15:A111)+$B$3)))),IF($EC$11="",IF($EC$13="",INDEX(bhpc_data[sku],SMALL(IF(ISNUMBER(MATCH(bhpc_data[category],$EC$9,0)),MATCH(ROW(bhpc_data[sku]),ROW(bhpc_data[sku])),""),ROWS($A$15:A111)+$B$3)),INDEX(bhpc_data[sku],SMALL(IF(ISNUMBER(MATCH(bhpc_data[category],$EC$9,0)*MATCH(bhpc_data[size1],$EC$13,0)),MATCH(ROW(bhpc_data[sku]),ROW(bhpc_data[sku])),""),ROWS($A$15:A111)+$B$3))),IF($EC$13="",INDEX(bhpc_data[sku],SMALL(IF(ISNUMBER(MATCH(bhpc_data[category],$EC$9,0)*MATCH(bhpc_data[sex],$EC$11,0)),MATCH(ROW(bhpc_data[sku]),ROW(bhpc_data[sku])),""),ROWS($A$15:A111)+$B$3)),INDEX(bhpc_data[sku],SMALL(IF(ISNUMBER(MATCH(bhpc_data[category],$EC$9,0)*MATCH(bhpc_data[sex],$EC$11,0)*MATCH(bhpc_data[size1],$EC$13,0)),MATCH(ROW(bhpc_data[sku]),ROW(bhpc_data[sku])),""),ROWS($A$15:A111)+$B$3))))),"")</f>
        <v>X05004</v>
      </c>
      <c r="EF106" s="198" t="str" cm="1">
        <f t="array" ref="EF106">IFERROR(IF($EC$9="",IF($EC$11="",IF($EC$13="",INDEX(bhpc_data[description],SMALL(MATCH(ROW(bhpc_data[sku]),ROW(bhpc_data[sku])),ROWS($A$15:A111)+$B$3)),INDEX(bhpc_data[description],SMALL(IF(ISNUMBER(MATCH(bhpc_data[size1],$EC$13,0)),MATCH(ROW(bhpc_data[sku]),ROW(bhpc_data[sku])),""),ROWS($A$15:A111)+$B$3))),IF($EC$13="",INDEX(bhpc_data[description],SMALL(IF(ISNUMBER(MATCH(bhpc_data[sex],$EC$11,0)),MATCH(ROW(bhpc_data[sku]),ROW(bhpc_data[sku])),""),ROWS($A$15:A111)+$B$3)),INDEX(bhpc_data[description],SMALL(IF(ISNUMBER(MATCH(bhpc_data[sex],$EC$11,0)*MATCH(bhpc_data[size1],$EC$13,0)),MATCH(ROW(bhpc_data[sku]),ROW(bhpc_data[sku])),""),ROWS($A$15:A111)+$B$3)))),IF($EC$11="",IF($EC$13="",INDEX(bhpc_data[description],SMALL(IF(ISNUMBER(MATCH(bhpc_data[category],$EC$9,0)),MATCH(ROW(bhpc_data[sku]),ROW(bhpc_data[sku])),""),ROWS($A$15:A111)+$B$3)),INDEX(bhpc_data[description],SMALL(IF(ISNUMBER(MATCH(bhpc_data[category],$EC$9,0)*MATCH(bhpc_data[size1],$EC$13,0)),MATCH(ROW(bhpc_data[sku]),ROW(bhpc_data[sku])),""),ROWS($A$15:A111)+$B$3))),IF($EC$13="",INDEX(bhpc_data[description],SMALL(IF(ISNUMBER(MATCH(bhpc_data[category],$EC$9,0)*MATCH(bhpc_data[sex],$EC$11,0)),MATCH(ROW(bhpc_data[sku]),ROW(bhpc_data[sku])),""),ROWS($A$15:A111)+$B$3)),INDEX(bhpc_data[description],SMALL(IF(ISNUMBER(MATCH(bhpc_data[category],$EC$9,0)*MATCH(bhpc_data[sex],$EC$11,0)*MATCH(bhpc_data[size1],$EC$13,0)),MATCH(ROW(bhpc_data[sku]),ROW(bhpc_data[sku])),""),ROWS($A$15:A111)+$B$3))))),"")</f>
        <v>BHPC GIFT BOX MEN NO.1 100ML</v>
      </c>
      <c r="EG106" s="263" t="str">
        <f>IFERROR(IF(warehouse[[#This Row],[SKU]]="","",INDEX(inventory[ESISTENZA],MATCH(warehouse[[#This Row],[SKU]],inventory[ARTICOLO],0))),"")</f>
        <v/>
      </c>
      <c r="EH106" s="328"/>
      <c r="EI106" s="328"/>
      <c r="EJ106" s="263"/>
      <c r="EK106" s="329"/>
    </row>
    <row r="107" spans="63:141" ht="15" customHeight="1" x14ac:dyDescent="0.35">
      <c r="BK107" s="450"/>
      <c r="BL107" s="451"/>
      <c r="BM107" s="452"/>
      <c r="BN107" s="451"/>
      <c r="BO107" s="452"/>
      <c r="BZ107" s="168"/>
      <c r="CA107" s="154" t="str">
        <f>IF(BZ107="","",INDEX(bhpc_data[description],MATCH(BZ107,bhpc_data[sku],0)))</f>
        <v/>
      </c>
      <c r="CB107" s="159"/>
      <c r="CC107" s="357"/>
      <c r="CD107" s="171"/>
      <c r="CE107" s="362"/>
      <c r="CF107" s="170"/>
      <c r="CG107" s="164" t="str">
        <f>IFERROR(ROUNDUP(CB107/INDEX(bhpc_data[units_per_carton],MATCH(BZ107,bhpc_data[sku],0)),0),"")</f>
        <v/>
      </c>
      <c r="CH107" s="165" t="str">
        <f>IFERROR(ROUNDUP(CD107/INDEX(bhpc_data[units_per_carton],MATCH(BZ107,bhpc_data[sku],0)),0),"")</f>
        <v/>
      </c>
      <c r="CI107" s="165" t="str">
        <f>IFERROR(ROUNDUP(CF107/INDEX(bhpc_data[units_per_carton],MATCH(BZ107,bhpc_data[sku])),0),"")</f>
        <v/>
      </c>
      <c r="CJ107" s="165" t="str">
        <f>IFERROR(((CB107+CD107+CF107)/INDEX(bhpc_data[units_per_carton],MATCH(BZ107,bhpc_data[sku],0)))*INDEX(bhpc_data[net_weight],MATCH(BZ107,bhpc_data[sku],0)),"")</f>
        <v/>
      </c>
      <c r="CK107" s="165" t="str">
        <f>IFERROR(((CB107+CD107+CF107)/INDEX(bhpc_data[units_per_carton],MATCH(BZ107,bhpc_data[sku],0)))*INDEX(bhpc_data[gross_weight],MATCH(BZ107,bhpc_data[sku],0)),"")</f>
        <v/>
      </c>
      <c r="CL107" s="180" t="str">
        <f>IFERROR((CB107+CD107+CF107)/INDEX(bhpc_data[units_per_carton],MATCH(BZ107,bhpc_data[sku],0))*INDEX(bhpc_data[lenght],MATCH(BZ107,bhpc_data[sku],0))*INDEX(bhpc_data[width],MATCH(BZ107,bhpc_data[sku],0))*INDEX(bhpc_data[height],MATCH(BZ107,bhpc_data[sku],0))/1000000000,"")</f>
        <v/>
      </c>
      <c r="CM107" s="189" t="str">
        <f>IFERROR(INDEX(bhpc_data[category],MATCH(BZ107,bhpc_data[sku],0)),"")</f>
        <v/>
      </c>
      <c r="CN107" s="189" t="str">
        <f>IFERROR(INDEX(bhpc_data[size1],MATCH(BZ107,bhpc_data[sku],0)),"")</f>
        <v/>
      </c>
      <c r="CO107" s="388" t="str">
        <f>IFERROR(INDEX(bhpc_data[hs_code],MATCH(BZ107,bhpc_data[sku],0)),"")</f>
        <v/>
      </c>
      <c r="CP107" s="377" t="str">
        <f>IFERROR(INDEX(inventory[ESISTENZA],MATCH(BZ107,inventory[ARTICOLO],0)),"")</f>
        <v/>
      </c>
      <c r="CQ107" s="364" t="str">
        <f>IFERROR(IF(BZ107="","",IF($BX$15="SALE",INDEX(inventory[COSTO UNITARIO],MATCH(BZ107,inventory[ARTICOLO],0)),IF($BX$15="SAMPLING",INDEX(inventory[COSTO UNITARIO],MATCH(BZ107,inventory[ARTICOLO],0)),""))),"")</f>
        <v/>
      </c>
      <c r="CR107" s="369" t="str">
        <f t="shared" si="7"/>
        <v/>
      </c>
      <c r="CS107" s="264" t="str">
        <f t="shared" si="6"/>
        <v/>
      </c>
      <c r="DA107" s="432" t="str">
        <f>IFERROR(VLOOKUP(BZ107,bhpc_data[],22,FALSE),"")</f>
        <v/>
      </c>
      <c r="EE107" s="202" t="str" cm="1">
        <f t="array" ref="EE107">IFERROR(IF($EC$9="",IF($EC$11="",IF($EC$13="",INDEX(bhpc_data[sku],SMALL(MATCH(ROW(bhpc_data[sku]),ROW(bhpc_data[sku])),ROWS($A$15:A112)+$B$3)),INDEX(bhpc_data[sku],SMALL(IF(ISNUMBER(MATCH(bhpc_data[size1],$EC$13,0)),MATCH(ROW(bhpc_data[sku]),ROW(bhpc_data[sku])),""),ROWS($A$15:A112)+$B$3))),IF($EC$13="",INDEX(bhpc_data[sku],SMALL(IF(ISNUMBER(MATCH(bhpc_data[sex],$EC$11,0)),MATCH(ROW(bhpc_data[sku]),ROW(bhpc_data[sku])),""),ROWS($A$15:A112)+$B$3)),INDEX(bhpc_data[sku],SMALL(IF(ISNUMBER(MATCH(bhpc_data[sex],$EC$11,0)*MATCH(bhpc_data[size1],$EC$13,0)),MATCH(ROW(bhpc_data[sku]),ROW(bhpc_data[sku])),""),ROWS($A$15:A112)+$B$3)))),IF($EC$11="",IF($EC$13="",INDEX(bhpc_data[sku],SMALL(IF(ISNUMBER(MATCH(bhpc_data[category],$EC$9,0)),MATCH(ROW(bhpc_data[sku]),ROW(bhpc_data[sku])),""),ROWS($A$15:A112)+$B$3)),INDEX(bhpc_data[sku],SMALL(IF(ISNUMBER(MATCH(bhpc_data[category],$EC$9,0)*MATCH(bhpc_data[size1],$EC$13,0)),MATCH(ROW(bhpc_data[sku]),ROW(bhpc_data[sku])),""),ROWS($A$15:A112)+$B$3))),IF($EC$13="",INDEX(bhpc_data[sku],SMALL(IF(ISNUMBER(MATCH(bhpc_data[category],$EC$9,0)*MATCH(bhpc_data[sex],$EC$11,0)),MATCH(ROW(bhpc_data[sku]),ROW(bhpc_data[sku])),""),ROWS($A$15:A112)+$B$3)),INDEX(bhpc_data[sku],SMALL(IF(ISNUMBER(MATCH(bhpc_data[category],$EC$9,0)*MATCH(bhpc_data[sex],$EC$11,0)*MATCH(bhpc_data[size1],$EC$13,0)),MATCH(ROW(bhpc_data[sku]),ROW(bhpc_data[sku])),""),ROWS($A$15:A112)+$B$3))))),"")</f>
        <v>X05005</v>
      </c>
      <c r="EF107" s="198" t="str" cm="1">
        <f t="array" ref="EF107">IFERROR(IF($EC$9="",IF($EC$11="",IF($EC$13="",INDEX(bhpc_data[description],SMALL(MATCH(ROW(bhpc_data[sku]),ROW(bhpc_data[sku])),ROWS($A$15:A112)+$B$3)),INDEX(bhpc_data[description],SMALL(IF(ISNUMBER(MATCH(bhpc_data[size1],$EC$13,0)),MATCH(ROW(bhpc_data[sku]),ROW(bhpc_data[sku])),""),ROWS($A$15:A112)+$B$3))),IF($EC$13="",INDEX(bhpc_data[description],SMALL(IF(ISNUMBER(MATCH(bhpc_data[sex],$EC$11,0)),MATCH(ROW(bhpc_data[sku]),ROW(bhpc_data[sku])),""),ROWS($A$15:A112)+$B$3)),INDEX(bhpc_data[description],SMALL(IF(ISNUMBER(MATCH(bhpc_data[sex],$EC$11,0)*MATCH(bhpc_data[size1],$EC$13,0)),MATCH(ROW(bhpc_data[sku]),ROW(bhpc_data[sku])),""),ROWS($A$15:A112)+$B$3)))),IF($EC$11="",IF($EC$13="",INDEX(bhpc_data[description],SMALL(IF(ISNUMBER(MATCH(bhpc_data[category],$EC$9,0)),MATCH(ROW(bhpc_data[sku]),ROW(bhpc_data[sku])),""),ROWS($A$15:A112)+$B$3)),INDEX(bhpc_data[description],SMALL(IF(ISNUMBER(MATCH(bhpc_data[category],$EC$9,0)*MATCH(bhpc_data[size1],$EC$13,0)),MATCH(ROW(bhpc_data[sku]),ROW(bhpc_data[sku])),""),ROWS($A$15:A112)+$B$3))),IF($EC$13="",INDEX(bhpc_data[description],SMALL(IF(ISNUMBER(MATCH(bhpc_data[category],$EC$9,0)*MATCH(bhpc_data[sex],$EC$11,0)),MATCH(ROW(bhpc_data[sku]),ROW(bhpc_data[sku])),""),ROWS($A$15:A112)+$B$3)),INDEX(bhpc_data[description],SMALL(IF(ISNUMBER(MATCH(bhpc_data[category],$EC$9,0)*MATCH(bhpc_data[sex],$EC$11,0)*MATCH(bhpc_data[size1],$EC$13,0)),MATCH(ROW(bhpc_data[sku]),ROW(bhpc_data[sku])),""),ROWS($A$15:A112)+$B$3))))),"")</f>
        <v>BHPC GIFT BOX MEN NO.9 100ML</v>
      </c>
      <c r="EG107" s="263" t="str">
        <f>IFERROR(IF(warehouse[[#This Row],[SKU]]="","",INDEX(inventory[ESISTENZA],MATCH(warehouse[[#This Row],[SKU]],inventory[ARTICOLO],0))),"")</f>
        <v/>
      </c>
      <c r="EH107" s="328"/>
      <c r="EI107" s="328"/>
      <c r="EJ107" s="263"/>
      <c r="EK107" s="329"/>
    </row>
    <row r="108" spans="63:141" ht="15" customHeight="1" x14ac:dyDescent="0.35">
      <c r="BK108" s="450"/>
      <c r="BL108" s="451"/>
      <c r="BM108" s="452"/>
      <c r="BN108" s="451"/>
      <c r="BO108" s="452"/>
      <c r="BZ108" s="168"/>
      <c r="CA108" s="154" t="str">
        <f>IF(BZ108="","",INDEX(bhpc_data[description],MATCH(BZ108,bhpc_data[sku],0)))</f>
        <v/>
      </c>
      <c r="CB108" s="159"/>
      <c r="CC108" s="357"/>
      <c r="CD108" s="171"/>
      <c r="CE108" s="362"/>
      <c r="CF108" s="170"/>
      <c r="CG108" s="164" t="str">
        <f>IFERROR(ROUNDUP(CB108/INDEX(bhpc_data[units_per_carton],MATCH(BZ108,bhpc_data[sku],0)),0),"")</f>
        <v/>
      </c>
      <c r="CH108" s="165" t="str">
        <f>IFERROR(ROUNDUP(CD108/INDEX(bhpc_data[units_per_carton],MATCH(BZ108,bhpc_data[sku],0)),0),"")</f>
        <v/>
      </c>
      <c r="CI108" s="165" t="str">
        <f>IFERROR(ROUNDUP(CF108/INDEX(bhpc_data[units_per_carton],MATCH(BZ108,bhpc_data[sku])),0),"")</f>
        <v/>
      </c>
      <c r="CJ108" s="165" t="str">
        <f>IFERROR(((CB108+CD108+CF108)/INDEX(bhpc_data[units_per_carton],MATCH(BZ108,bhpc_data[sku],0)))*INDEX(bhpc_data[net_weight],MATCH(BZ108,bhpc_data[sku],0)),"")</f>
        <v/>
      </c>
      <c r="CK108" s="165" t="str">
        <f>IFERROR(((CB108+CD108+CF108)/INDEX(bhpc_data[units_per_carton],MATCH(BZ108,bhpc_data[sku],0)))*INDEX(bhpc_data[gross_weight],MATCH(BZ108,bhpc_data[sku],0)),"")</f>
        <v/>
      </c>
      <c r="CL108" s="180" t="str">
        <f>IFERROR((CB108+CD108+CF108)/INDEX(bhpc_data[units_per_carton],MATCH(BZ108,bhpc_data[sku],0))*INDEX(bhpc_data[lenght],MATCH(BZ108,bhpc_data[sku],0))*INDEX(bhpc_data[width],MATCH(BZ108,bhpc_data[sku],0))*INDEX(bhpc_data[height],MATCH(BZ108,bhpc_data[sku],0))/1000000000,"")</f>
        <v/>
      </c>
      <c r="CM108" s="189" t="str">
        <f>IFERROR(INDEX(bhpc_data[category],MATCH(BZ108,bhpc_data[sku],0)),"")</f>
        <v/>
      </c>
      <c r="CN108" s="189" t="str">
        <f>IFERROR(INDEX(bhpc_data[size1],MATCH(BZ108,bhpc_data[sku],0)),"")</f>
        <v/>
      </c>
      <c r="CO108" s="388" t="str">
        <f>IFERROR(INDEX(bhpc_data[hs_code],MATCH(BZ108,bhpc_data[sku],0)),"")</f>
        <v/>
      </c>
      <c r="CP108" s="377" t="str">
        <f>IFERROR(INDEX(inventory[ESISTENZA],MATCH(BZ108,inventory[ARTICOLO],0)),"")</f>
        <v/>
      </c>
      <c r="CQ108" s="364" t="str">
        <f>IFERROR(IF(BZ108="","",IF($BX$15="SALE",INDEX(inventory[COSTO UNITARIO],MATCH(BZ108,inventory[ARTICOLO],0)),IF($BX$15="SAMPLING",INDEX(inventory[COSTO UNITARIO],MATCH(BZ108,inventory[ARTICOLO],0)),""))),"")</f>
        <v/>
      </c>
      <c r="CR108" s="369" t="str">
        <f t="shared" si="7"/>
        <v/>
      </c>
      <c r="CS108" s="264" t="str">
        <f t="shared" si="6"/>
        <v/>
      </c>
      <c r="DA108" s="432" t="str">
        <f>IFERROR(VLOOKUP(BZ108,bhpc_data[],22,FALSE),"")</f>
        <v/>
      </c>
      <c r="EE108" s="202" t="str" cm="1">
        <f t="array" ref="EE108">IFERROR(IF($EC$9="",IF($EC$11="",IF($EC$13="",INDEX(bhpc_data[sku],SMALL(MATCH(ROW(bhpc_data[sku]),ROW(bhpc_data[sku])),ROWS($A$15:A113)+$B$3)),INDEX(bhpc_data[sku],SMALL(IF(ISNUMBER(MATCH(bhpc_data[size1],$EC$13,0)),MATCH(ROW(bhpc_data[sku]),ROW(bhpc_data[sku])),""),ROWS($A$15:A113)+$B$3))),IF($EC$13="",INDEX(bhpc_data[sku],SMALL(IF(ISNUMBER(MATCH(bhpc_data[sex],$EC$11,0)),MATCH(ROW(bhpc_data[sku]),ROW(bhpc_data[sku])),""),ROWS($A$15:A113)+$B$3)),INDEX(bhpc_data[sku],SMALL(IF(ISNUMBER(MATCH(bhpc_data[sex],$EC$11,0)*MATCH(bhpc_data[size1],$EC$13,0)),MATCH(ROW(bhpc_data[sku]),ROW(bhpc_data[sku])),""),ROWS($A$15:A113)+$B$3)))),IF($EC$11="",IF($EC$13="",INDEX(bhpc_data[sku],SMALL(IF(ISNUMBER(MATCH(bhpc_data[category],$EC$9,0)),MATCH(ROW(bhpc_data[sku]),ROW(bhpc_data[sku])),""),ROWS($A$15:A113)+$B$3)),INDEX(bhpc_data[sku],SMALL(IF(ISNUMBER(MATCH(bhpc_data[category],$EC$9,0)*MATCH(bhpc_data[size1],$EC$13,0)),MATCH(ROW(bhpc_data[sku]),ROW(bhpc_data[sku])),""),ROWS($A$15:A113)+$B$3))),IF($EC$13="",INDEX(bhpc_data[sku],SMALL(IF(ISNUMBER(MATCH(bhpc_data[category],$EC$9,0)*MATCH(bhpc_data[sex],$EC$11,0)),MATCH(ROW(bhpc_data[sku]),ROW(bhpc_data[sku])),""),ROWS($A$15:A113)+$B$3)),INDEX(bhpc_data[sku],SMALL(IF(ISNUMBER(MATCH(bhpc_data[category],$EC$9,0)*MATCH(bhpc_data[sex],$EC$11,0)*MATCH(bhpc_data[size1],$EC$13,0)),MATCH(ROW(bhpc_data[sku]),ROW(bhpc_data[sku])),""),ROWS($A$15:A113)+$B$3))))),"")</f>
        <v>X05006</v>
      </c>
      <c r="EF108" s="198" t="str" cm="1">
        <f t="array" ref="EF108">IFERROR(IF($EC$9="",IF($EC$11="",IF($EC$13="",INDEX(bhpc_data[description],SMALL(MATCH(ROW(bhpc_data[sku]),ROW(bhpc_data[sku])),ROWS($A$15:A113)+$B$3)),INDEX(bhpc_data[description],SMALL(IF(ISNUMBER(MATCH(bhpc_data[size1],$EC$13,0)),MATCH(ROW(bhpc_data[sku]),ROW(bhpc_data[sku])),""),ROWS($A$15:A113)+$B$3))),IF($EC$13="",INDEX(bhpc_data[description],SMALL(IF(ISNUMBER(MATCH(bhpc_data[sex],$EC$11,0)),MATCH(ROW(bhpc_data[sku]),ROW(bhpc_data[sku])),""),ROWS($A$15:A113)+$B$3)),INDEX(bhpc_data[description],SMALL(IF(ISNUMBER(MATCH(bhpc_data[sex],$EC$11,0)*MATCH(bhpc_data[size1],$EC$13,0)),MATCH(ROW(bhpc_data[sku]),ROW(bhpc_data[sku])),""),ROWS($A$15:A113)+$B$3)))),IF($EC$11="",IF($EC$13="",INDEX(bhpc_data[description],SMALL(IF(ISNUMBER(MATCH(bhpc_data[category],$EC$9,0)),MATCH(ROW(bhpc_data[sku]),ROW(bhpc_data[sku])),""),ROWS($A$15:A113)+$B$3)),INDEX(bhpc_data[description],SMALL(IF(ISNUMBER(MATCH(bhpc_data[category],$EC$9,0)*MATCH(bhpc_data[size1],$EC$13,0)),MATCH(ROW(bhpc_data[sku]),ROW(bhpc_data[sku])),""),ROWS($A$15:A113)+$B$3))),IF($EC$13="",INDEX(bhpc_data[description],SMALL(IF(ISNUMBER(MATCH(bhpc_data[category],$EC$9,0)*MATCH(bhpc_data[sex],$EC$11,0)),MATCH(ROW(bhpc_data[sku]),ROW(bhpc_data[sku])),""),ROWS($A$15:A113)+$B$3)),INDEX(bhpc_data[description],SMALL(IF(ISNUMBER(MATCH(bhpc_data[category],$EC$9,0)*MATCH(bhpc_data[sex],$EC$11,0)*MATCH(bhpc_data[size1],$EC$13,0)),MATCH(ROW(bhpc_data[sku]),ROW(bhpc_data[sku])),""),ROWS($A$15:A113)+$B$3))))),"")</f>
        <v>BHPC GIFT BOX MEN NO.8 100ML</v>
      </c>
      <c r="EG108" s="263" t="str">
        <f>IFERROR(IF(warehouse[[#This Row],[SKU]]="","",INDEX(inventory[ESISTENZA],MATCH(warehouse[[#This Row],[SKU]],inventory[ARTICOLO],0))),"")</f>
        <v/>
      </c>
      <c r="EH108" s="328"/>
      <c r="EI108" s="328"/>
      <c r="EJ108" s="263"/>
      <c r="EK108" s="329"/>
    </row>
    <row r="109" spans="63:141" ht="15" customHeight="1" x14ac:dyDescent="0.35">
      <c r="BK109" s="450"/>
      <c r="BL109" s="451"/>
      <c r="BM109" s="452"/>
      <c r="BN109" s="451"/>
      <c r="BO109" s="452"/>
      <c r="BZ109" s="168"/>
      <c r="CA109" s="154" t="str">
        <f>IF(BZ109="","",INDEX(bhpc_data[description],MATCH(BZ109,bhpc_data[sku],0)))</f>
        <v/>
      </c>
      <c r="CB109" s="159"/>
      <c r="CC109" s="357"/>
      <c r="CD109" s="171"/>
      <c r="CE109" s="362"/>
      <c r="CF109" s="170"/>
      <c r="CG109" s="164" t="str">
        <f>IFERROR(ROUNDUP(CB109/INDEX(bhpc_data[units_per_carton],MATCH(BZ109,bhpc_data[sku],0)),0),"")</f>
        <v/>
      </c>
      <c r="CH109" s="165" t="str">
        <f>IFERROR(ROUNDUP(CD109/INDEX(bhpc_data[units_per_carton],MATCH(BZ109,bhpc_data[sku],0)),0),"")</f>
        <v/>
      </c>
      <c r="CI109" s="165" t="str">
        <f>IFERROR(ROUNDUP(CF109/INDEX(bhpc_data[units_per_carton],MATCH(BZ109,bhpc_data[sku])),0),"")</f>
        <v/>
      </c>
      <c r="CJ109" s="165" t="str">
        <f>IFERROR(((CB109+CD109+CF109)/INDEX(bhpc_data[units_per_carton],MATCH(BZ109,bhpc_data[sku],0)))*INDEX(bhpc_data[net_weight],MATCH(BZ109,bhpc_data[sku],0)),"")</f>
        <v/>
      </c>
      <c r="CK109" s="165" t="str">
        <f>IFERROR(((CB109+CD109+CF109)/INDEX(bhpc_data[units_per_carton],MATCH(BZ109,bhpc_data[sku],0)))*INDEX(bhpc_data[gross_weight],MATCH(BZ109,bhpc_data[sku],0)),"")</f>
        <v/>
      </c>
      <c r="CL109" s="180" t="str">
        <f>IFERROR((CB109+CD109+CF109)/INDEX(bhpc_data[units_per_carton],MATCH(BZ109,bhpc_data[sku],0))*INDEX(bhpc_data[lenght],MATCH(BZ109,bhpc_data[sku],0))*INDEX(bhpc_data[width],MATCH(BZ109,bhpc_data[sku],0))*INDEX(bhpc_data[height],MATCH(BZ109,bhpc_data[sku],0))/1000000000,"")</f>
        <v/>
      </c>
      <c r="CM109" s="189" t="str">
        <f>IFERROR(INDEX(bhpc_data[category],MATCH(BZ109,bhpc_data[sku],0)),"")</f>
        <v/>
      </c>
      <c r="CN109" s="189" t="str">
        <f>IFERROR(INDEX(bhpc_data[size1],MATCH(BZ109,bhpc_data[sku],0)),"")</f>
        <v/>
      </c>
      <c r="CO109" s="388" t="str">
        <f>IFERROR(INDEX(bhpc_data[hs_code],MATCH(BZ109,bhpc_data[sku],0)),"")</f>
        <v/>
      </c>
      <c r="CP109" s="377" t="str">
        <f>IFERROR(INDEX(inventory[ESISTENZA],MATCH(BZ109,inventory[ARTICOLO],0)),"")</f>
        <v/>
      </c>
      <c r="CQ109" s="364" t="str">
        <f>IFERROR(IF(BZ109="","",IF($BX$15="SALE",INDEX(inventory[COSTO UNITARIO],MATCH(BZ109,inventory[ARTICOLO],0)),IF($BX$15="SAMPLING",INDEX(inventory[COSTO UNITARIO],MATCH(BZ109,inventory[ARTICOLO],0)),""))),"")</f>
        <v/>
      </c>
      <c r="CR109" s="369" t="str">
        <f t="shared" si="7"/>
        <v/>
      </c>
      <c r="CS109" s="264" t="str">
        <f t="shared" si="6"/>
        <v/>
      </c>
      <c r="DA109" s="432" t="str">
        <f>IFERROR(VLOOKUP(BZ109,bhpc_data[],22,FALSE),"")</f>
        <v/>
      </c>
      <c r="EE109" s="202" t="str" cm="1">
        <f t="array" ref="EE109">IFERROR(IF($EC$9="",IF($EC$11="",IF($EC$13="",INDEX(bhpc_data[sku],SMALL(MATCH(ROW(bhpc_data[sku]),ROW(bhpc_data[sku])),ROWS($A$15:A114)+$B$3)),INDEX(bhpc_data[sku],SMALL(IF(ISNUMBER(MATCH(bhpc_data[size1],$EC$13,0)),MATCH(ROW(bhpc_data[sku]),ROW(bhpc_data[sku])),""),ROWS($A$15:A114)+$B$3))),IF($EC$13="",INDEX(bhpc_data[sku],SMALL(IF(ISNUMBER(MATCH(bhpc_data[sex],$EC$11,0)),MATCH(ROW(bhpc_data[sku]),ROW(bhpc_data[sku])),""),ROWS($A$15:A114)+$B$3)),INDEX(bhpc_data[sku],SMALL(IF(ISNUMBER(MATCH(bhpc_data[sex],$EC$11,0)*MATCH(bhpc_data[size1],$EC$13,0)),MATCH(ROW(bhpc_data[sku]),ROW(bhpc_data[sku])),""),ROWS($A$15:A114)+$B$3)))),IF($EC$11="",IF($EC$13="",INDEX(bhpc_data[sku],SMALL(IF(ISNUMBER(MATCH(bhpc_data[category],$EC$9,0)),MATCH(ROW(bhpc_data[sku]),ROW(bhpc_data[sku])),""),ROWS($A$15:A114)+$B$3)),INDEX(bhpc_data[sku],SMALL(IF(ISNUMBER(MATCH(bhpc_data[category],$EC$9,0)*MATCH(bhpc_data[size1],$EC$13,0)),MATCH(ROW(bhpc_data[sku]),ROW(bhpc_data[sku])),""),ROWS($A$15:A114)+$B$3))),IF($EC$13="",INDEX(bhpc_data[sku],SMALL(IF(ISNUMBER(MATCH(bhpc_data[category],$EC$9,0)*MATCH(bhpc_data[sex],$EC$11,0)),MATCH(ROW(bhpc_data[sku]),ROW(bhpc_data[sku])),""),ROWS($A$15:A114)+$B$3)),INDEX(bhpc_data[sku],SMALL(IF(ISNUMBER(MATCH(bhpc_data[category],$EC$9,0)*MATCH(bhpc_data[sex],$EC$11,0)*MATCH(bhpc_data[size1],$EC$13,0)),MATCH(ROW(bhpc_data[sku]),ROW(bhpc_data[sku])),""),ROWS($A$15:A114)+$B$3))))),"")</f>
        <v>X05007</v>
      </c>
      <c r="EF109" s="198" t="str" cm="1">
        <f t="array" ref="EF109">IFERROR(IF($EC$9="",IF($EC$11="",IF($EC$13="",INDEX(bhpc_data[description],SMALL(MATCH(ROW(bhpc_data[sku]),ROW(bhpc_data[sku])),ROWS($A$15:A114)+$B$3)),INDEX(bhpc_data[description],SMALL(IF(ISNUMBER(MATCH(bhpc_data[size1],$EC$13,0)),MATCH(ROW(bhpc_data[sku]),ROW(bhpc_data[sku])),""),ROWS($A$15:A114)+$B$3))),IF($EC$13="",INDEX(bhpc_data[description],SMALL(IF(ISNUMBER(MATCH(bhpc_data[sex],$EC$11,0)),MATCH(ROW(bhpc_data[sku]),ROW(bhpc_data[sku])),""),ROWS($A$15:A114)+$B$3)),INDEX(bhpc_data[description],SMALL(IF(ISNUMBER(MATCH(bhpc_data[sex],$EC$11,0)*MATCH(bhpc_data[size1],$EC$13,0)),MATCH(ROW(bhpc_data[sku]),ROW(bhpc_data[sku])),""),ROWS($A$15:A114)+$B$3)))),IF($EC$11="",IF($EC$13="",INDEX(bhpc_data[description],SMALL(IF(ISNUMBER(MATCH(bhpc_data[category],$EC$9,0)),MATCH(ROW(bhpc_data[sku]),ROW(bhpc_data[sku])),""),ROWS($A$15:A114)+$B$3)),INDEX(bhpc_data[description],SMALL(IF(ISNUMBER(MATCH(bhpc_data[category],$EC$9,0)*MATCH(bhpc_data[size1],$EC$13,0)),MATCH(ROW(bhpc_data[sku]),ROW(bhpc_data[sku])),""),ROWS($A$15:A114)+$B$3))),IF($EC$13="",INDEX(bhpc_data[description],SMALL(IF(ISNUMBER(MATCH(bhpc_data[category],$EC$9,0)*MATCH(bhpc_data[sex],$EC$11,0)),MATCH(ROW(bhpc_data[sku]),ROW(bhpc_data[sku])),""),ROWS($A$15:A114)+$B$3)),INDEX(bhpc_data[description],SMALL(IF(ISNUMBER(MATCH(bhpc_data[category],$EC$9,0)*MATCH(bhpc_data[sex],$EC$11,0)*MATCH(bhpc_data[size1],$EC$13,0)),MATCH(ROW(bhpc_data[sku]),ROW(bhpc_data[sku])),""),ROWS($A$15:A114)+$B$3))))),"")</f>
        <v>BHPC GIFT BOX MEN NO.2 100ML</v>
      </c>
      <c r="EG109" s="263" t="str">
        <f>IFERROR(IF(warehouse[[#This Row],[SKU]]="","",INDEX(inventory[ESISTENZA],MATCH(warehouse[[#This Row],[SKU]],inventory[ARTICOLO],0))),"")</f>
        <v/>
      </c>
      <c r="EH109" s="328"/>
      <c r="EI109" s="328"/>
      <c r="EJ109" s="263"/>
      <c r="EK109" s="329"/>
    </row>
    <row r="110" spans="63:141" ht="15" customHeight="1" thickBot="1" x14ac:dyDescent="0.4">
      <c r="BK110" s="450"/>
      <c r="BL110" s="451"/>
      <c r="BM110" s="452"/>
      <c r="BN110" s="451"/>
      <c r="BO110" s="452"/>
      <c r="BZ110" s="172"/>
      <c r="CA110" s="155" t="str">
        <f>IF(BZ110="","",INDEX(bhpc_data[description],MATCH(BZ110,bhpc_data[sku],0)))</f>
        <v/>
      </c>
      <c r="CB110" s="173"/>
      <c r="CC110" s="359"/>
      <c r="CD110" s="174"/>
      <c r="CE110" s="363"/>
      <c r="CF110" s="175"/>
      <c r="CG110" s="176" t="str">
        <f>IFERROR(ROUNDUP(CB110/INDEX(bhpc_data[units_per_carton],MATCH(BZ110,bhpc_data[sku],0)),0),"")</f>
        <v/>
      </c>
      <c r="CH110" s="177" t="str">
        <f>IFERROR(ROUNDUP(CD110/INDEX(bhpc_data[units_per_carton],MATCH(BZ110,bhpc_data[sku],0)),0),"")</f>
        <v/>
      </c>
      <c r="CI110" s="177" t="str">
        <f>IFERROR(ROUNDUP(CF110/INDEX(bhpc_data[units_per_carton],MATCH(BZ110,bhpc_data[sku])),0),"")</f>
        <v/>
      </c>
      <c r="CJ110" s="178" t="str">
        <f>IFERROR(((CB110+CD110+CF110)/INDEX(bhpc_data[units_per_carton],MATCH(BZ110,bhpc_data[sku],0)))*INDEX(bhpc_data[net_weight],MATCH(BZ110,bhpc_data[sku],0)),"")</f>
        <v/>
      </c>
      <c r="CK110" s="178" t="str">
        <f>IFERROR(((CB110+CD110+CF110)/INDEX(bhpc_data[units_per_carton],MATCH(BZ110,bhpc_data[sku],0)))*INDEX(bhpc_data[gross_weight],MATCH(BZ110,bhpc_data[sku],0)),"")</f>
        <v/>
      </c>
      <c r="CL110" s="181" t="str">
        <f>IFERROR((CB110+CD110+CF110)/INDEX(bhpc_data[units_per_carton],MATCH(BZ110,bhpc_data[sku],0))*INDEX(bhpc_data[lenght],MATCH(BZ110,bhpc_data[sku],0))*INDEX(bhpc_data[width],MATCH(BZ110,bhpc_data[sku],0))*INDEX(bhpc_data[height],MATCH(BZ110,bhpc_data[sku],0))/1000000000,"")</f>
        <v/>
      </c>
      <c r="CM110" s="190" t="str">
        <f>IFERROR(INDEX(bhpc_data[category],MATCH(BZ110,bhpc_data[sku],0)),"")</f>
        <v/>
      </c>
      <c r="CN110" s="190" t="str">
        <f>IFERROR(INDEX(bhpc_data[size1],MATCH(BZ110,bhpc_data[sku],0)),"")</f>
        <v/>
      </c>
      <c r="CO110" s="389" t="str">
        <f>IFERROR(INDEX(bhpc_data[hs_code],MATCH(BZ110,bhpc_data[sku],0)),"")</f>
        <v/>
      </c>
      <c r="CP110" s="378" t="str">
        <f>IFERROR(INDEX(inventory[ESISTENZA],MATCH(BZ110,inventory[ARTICOLO],0)),"")</f>
        <v/>
      </c>
      <c r="CQ110" s="370" t="str">
        <f>IFERROR(IF(BZ110="","",IF($BX$15="SALE",INDEX(inventory[COSTO UNITARIO],MATCH(BZ110,inventory[ARTICOLO],0)),IF($BX$15="SAMPLING",INDEX(inventory[COSTO UNITARIO],MATCH(BZ110,inventory[ARTICOLO],0)),""))),"")</f>
        <v/>
      </c>
      <c r="CR110" s="371" t="str">
        <f t="shared" si="7"/>
        <v/>
      </c>
      <c r="CS110" s="265" t="str">
        <f t="shared" si="6"/>
        <v/>
      </c>
      <c r="DA110" s="432" t="str">
        <f>IFERROR(VLOOKUP(BZ110,bhpc_data[],22,FALSE),"")</f>
        <v/>
      </c>
      <c r="EE110" s="202" t="str" cm="1">
        <f t="array" ref="EE110">IFERROR(IF($EC$9="",IF($EC$11="",IF($EC$13="",INDEX(bhpc_data[sku],SMALL(MATCH(ROW(bhpc_data[sku]),ROW(bhpc_data[sku])),ROWS($A$15:A115)+$B$3)),INDEX(bhpc_data[sku],SMALL(IF(ISNUMBER(MATCH(bhpc_data[size1],$EC$13,0)),MATCH(ROW(bhpc_data[sku]),ROW(bhpc_data[sku])),""),ROWS($A$15:A115)+$B$3))),IF($EC$13="",INDEX(bhpc_data[sku],SMALL(IF(ISNUMBER(MATCH(bhpc_data[sex],$EC$11,0)),MATCH(ROW(bhpc_data[sku]),ROW(bhpc_data[sku])),""),ROWS($A$15:A115)+$B$3)),INDEX(bhpc_data[sku],SMALL(IF(ISNUMBER(MATCH(bhpc_data[sex],$EC$11,0)*MATCH(bhpc_data[size1],$EC$13,0)),MATCH(ROW(bhpc_data[sku]),ROW(bhpc_data[sku])),""),ROWS($A$15:A115)+$B$3)))),IF($EC$11="",IF($EC$13="",INDEX(bhpc_data[sku],SMALL(IF(ISNUMBER(MATCH(bhpc_data[category],$EC$9,0)),MATCH(ROW(bhpc_data[sku]),ROW(bhpc_data[sku])),""),ROWS($A$15:A115)+$B$3)),INDEX(bhpc_data[sku],SMALL(IF(ISNUMBER(MATCH(bhpc_data[category],$EC$9,0)*MATCH(bhpc_data[size1],$EC$13,0)),MATCH(ROW(bhpc_data[sku]),ROW(bhpc_data[sku])),""),ROWS($A$15:A115)+$B$3))),IF($EC$13="",INDEX(bhpc_data[sku],SMALL(IF(ISNUMBER(MATCH(bhpc_data[category],$EC$9,0)*MATCH(bhpc_data[sex],$EC$11,0)),MATCH(ROW(bhpc_data[sku]),ROW(bhpc_data[sku])),""),ROWS($A$15:A115)+$B$3)),INDEX(bhpc_data[sku],SMALL(IF(ISNUMBER(MATCH(bhpc_data[category],$EC$9,0)*MATCH(bhpc_data[sex],$EC$11,0)*MATCH(bhpc_data[size1],$EC$13,0)),MATCH(ROW(bhpc_data[sku]),ROW(bhpc_data[sku])),""),ROWS($A$15:A115)+$B$3))))),"")</f>
        <v>X05008</v>
      </c>
      <c r="EF110" s="198" t="str" cm="1">
        <f t="array" ref="EF110">IFERROR(IF($EC$9="",IF($EC$11="",IF($EC$13="",INDEX(bhpc_data[description],SMALL(MATCH(ROW(bhpc_data[sku]),ROW(bhpc_data[sku])),ROWS($A$15:A115)+$B$3)),INDEX(bhpc_data[description],SMALL(IF(ISNUMBER(MATCH(bhpc_data[size1],$EC$13,0)),MATCH(ROW(bhpc_data[sku]),ROW(bhpc_data[sku])),""),ROWS($A$15:A115)+$B$3))),IF($EC$13="",INDEX(bhpc_data[description],SMALL(IF(ISNUMBER(MATCH(bhpc_data[sex],$EC$11,0)),MATCH(ROW(bhpc_data[sku]),ROW(bhpc_data[sku])),""),ROWS($A$15:A115)+$B$3)),INDEX(bhpc_data[description],SMALL(IF(ISNUMBER(MATCH(bhpc_data[sex],$EC$11,0)*MATCH(bhpc_data[size1],$EC$13,0)),MATCH(ROW(bhpc_data[sku]),ROW(bhpc_data[sku])),""),ROWS($A$15:A115)+$B$3)))),IF($EC$11="",IF($EC$13="",INDEX(bhpc_data[description],SMALL(IF(ISNUMBER(MATCH(bhpc_data[category],$EC$9,0)),MATCH(ROW(bhpc_data[sku]),ROW(bhpc_data[sku])),""),ROWS($A$15:A115)+$B$3)),INDEX(bhpc_data[description],SMALL(IF(ISNUMBER(MATCH(bhpc_data[category],$EC$9,0)*MATCH(bhpc_data[size1],$EC$13,0)),MATCH(ROW(bhpc_data[sku]),ROW(bhpc_data[sku])),""),ROWS($A$15:A115)+$B$3))),IF($EC$13="",INDEX(bhpc_data[description],SMALL(IF(ISNUMBER(MATCH(bhpc_data[category],$EC$9,0)*MATCH(bhpc_data[sex],$EC$11,0)),MATCH(ROW(bhpc_data[sku]),ROW(bhpc_data[sku])),""),ROWS($A$15:A115)+$B$3)),INDEX(bhpc_data[description],SMALL(IF(ISNUMBER(MATCH(bhpc_data[category],$EC$9,0)*MATCH(bhpc_data[sex],$EC$11,0)*MATCH(bhpc_data[size1],$EC$13,0)),MATCH(ROW(bhpc_data[sku]),ROW(bhpc_data[sku])),""),ROWS($A$15:A115)+$B$3))))),"")</f>
        <v>BHPC GIFT BOX MEN NO.1 50ML</v>
      </c>
      <c r="EG110" s="263" t="str">
        <f>IFERROR(IF(warehouse[[#This Row],[SKU]]="","",INDEX(inventory[ESISTENZA],MATCH(warehouse[[#This Row],[SKU]],inventory[ARTICOLO],0))),"")</f>
        <v/>
      </c>
      <c r="EH110" s="328"/>
      <c r="EI110" s="328"/>
      <c r="EJ110" s="263"/>
      <c r="EK110" s="329"/>
    </row>
    <row r="111" spans="63:141" x14ac:dyDescent="0.35">
      <c r="BK111" s="450"/>
      <c r="BL111" s="451"/>
      <c r="BM111" s="452"/>
      <c r="BN111" s="451"/>
      <c r="BO111" s="452"/>
      <c r="EE111" s="202" t="str" cm="1">
        <f t="array" ref="EE111">IFERROR(IF($EC$9="",IF($EC$11="",IF($EC$13="",INDEX(bhpc_data[sku],SMALL(MATCH(ROW(bhpc_data[sku]),ROW(bhpc_data[sku])),ROWS($A$15:A116)+$B$3)),INDEX(bhpc_data[sku],SMALL(IF(ISNUMBER(MATCH(bhpc_data[size1],$EC$13,0)),MATCH(ROW(bhpc_data[sku]),ROW(bhpc_data[sku])),""),ROWS($A$15:A116)+$B$3))),IF($EC$13="",INDEX(bhpc_data[sku],SMALL(IF(ISNUMBER(MATCH(bhpc_data[sex],$EC$11,0)),MATCH(ROW(bhpc_data[sku]),ROW(bhpc_data[sku])),""),ROWS($A$15:A116)+$B$3)),INDEX(bhpc_data[sku],SMALL(IF(ISNUMBER(MATCH(bhpc_data[sex],$EC$11,0)*MATCH(bhpc_data[size1],$EC$13,0)),MATCH(ROW(bhpc_data[sku]),ROW(bhpc_data[sku])),""),ROWS($A$15:A116)+$B$3)))),IF($EC$11="",IF($EC$13="",INDEX(bhpc_data[sku],SMALL(IF(ISNUMBER(MATCH(bhpc_data[category],$EC$9,0)),MATCH(ROW(bhpc_data[sku]),ROW(bhpc_data[sku])),""),ROWS($A$15:A116)+$B$3)),INDEX(bhpc_data[sku],SMALL(IF(ISNUMBER(MATCH(bhpc_data[category],$EC$9,0)*MATCH(bhpc_data[size1],$EC$13,0)),MATCH(ROW(bhpc_data[sku]),ROW(bhpc_data[sku])),""),ROWS($A$15:A116)+$B$3))),IF($EC$13="",INDEX(bhpc_data[sku],SMALL(IF(ISNUMBER(MATCH(bhpc_data[category],$EC$9,0)*MATCH(bhpc_data[sex],$EC$11,0)),MATCH(ROW(bhpc_data[sku]),ROW(bhpc_data[sku])),""),ROWS($A$15:A116)+$B$3)),INDEX(bhpc_data[sku],SMALL(IF(ISNUMBER(MATCH(bhpc_data[category],$EC$9,0)*MATCH(bhpc_data[sex],$EC$11,0)*MATCH(bhpc_data[size1],$EC$13,0)),MATCH(ROW(bhpc_data[sku]),ROW(bhpc_data[sku])),""),ROWS($A$15:A116)+$B$3))))),"")</f>
        <v>X05009</v>
      </c>
      <c r="EF111" s="198" t="str" cm="1">
        <f t="array" ref="EF111">IFERROR(IF($EC$9="",IF($EC$11="",IF($EC$13="",INDEX(bhpc_data[description],SMALL(MATCH(ROW(bhpc_data[sku]),ROW(bhpc_data[sku])),ROWS($A$15:A116)+$B$3)),INDEX(bhpc_data[description],SMALL(IF(ISNUMBER(MATCH(bhpc_data[size1],$EC$13,0)),MATCH(ROW(bhpc_data[sku]),ROW(bhpc_data[sku])),""),ROWS($A$15:A116)+$B$3))),IF($EC$13="",INDEX(bhpc_data[description],SMALL(IF(ISNUMBER(MATCH(bhpc_data[sex],$EC$11,0)),MATCH(ROW(bhpc_data[sku]),ROW(bhpc_data[sku])),""),ROWS($A$15:A116)+$B$3)),INDEX(bhpc_data[description],SMALL(IF(ISNUMBER(MATCH(bhpc_data[sex],$EC$11,0)*MATCH(bhpc_data[size1],$EC$13,0)),MATCH(ROW(bhpc_data[sku]),ROW(bhpc_data[sku])),""),ROWS($A$15:A116)+$B$3)))),IF($EC$11="",IF($EC$13="",INDEX(bhpc_data[description],SMALL(IF(ISNUMBER(MATCH(bhpc_data[category],$EC$9,0)),MATCH(ROW(bhpc_data[sku]),ROW(bhpc_data[sku])),""),ROWS($A$15:A116)+$B$3)),INDEX(bhpc_data[description],SMALL(IF(ISNUMBER(MATCH(bhpc_data[category],$EC$9,0)*MATCH(bhpc_data[size1],$EC$13,0)),MATCH(ROW(bhpc_data[sku]),ROW(bhpc_data[sku])),""),ROWS($A$15:A116)+$B$3))),IF($EC$13="",INDEX(bhpc_data[description],SMALL(IF(ISNUMBER(MATCH(bhpc_data[category],$EC$9,0)*MATCH(bhpc_data[sex],$EC$11,0)),MATCH(ROW(bhpc_data[sku]),ROW(bhpc_data[sku])),""),ROWS($A$15:A116)+$B$3)),INDEX(bhpc_data[description],SMALL(IF(ISNUMBER(MATCH(bhpc_data[category],$EC$9,0)*MATCH(bhpc_data[sex],$EC$11,0)*MATCH(bhpc_data[size1],$EC$13,0)),MATCH(ROW(bhpc_data[sku]),ROW(bhpc_data[sku])),""),ROWS($A$15:A116)+$B$3))))),"")</f>
        <v>BHPC GIFT BOX MEN NO.9 50ML</v>
      </c>
      <c r="EG111" s="263" t="str">
        <f>IFERROR(IF(warehouse[[#This Row],[SKU]]="","",INDEX(inventory[ESISTENZA],MATCH(warehouse[[#This Row],[SKU]],inventory[ARTICOLO],0))),"")</f>
        <v/>
      </c>
      <c r="EH111" s="328"/>
      <c r="EI111" s="328"/>
      <c r="EJ111" s="263"/>
      <c r="EK111" s="329"/>
    </row>
    <row r="112" spans="63:141" x14ac:dyDescent="0.35">
      <c r="BK112" s="450"/>
      <c r="BL112" s="451"/>
      <c r="BM112" s="452"/>
      <c r="BN112" s="451"/>
      <c r="BO112" s="452"/>
      <c r="EE112" s="202" t="str" cm="1">
        <f t="array" ref="EE112">IFERROR(IF($EC$9="",IF($EC$11="",IF($EC$13="",INDEX(bhpc_data[sku],SMALL(MATCH(ROW(bhpc_data[sku]),ROW(bhpc_data[sku])),ROWS($A$15:A117)+$B$3)),INDEX(bhpc_data[sku],SMALL(IF(ISNUMBER(MATCH(bhpc_data[size1],$EC$13,0)),MATCH(ROW(bhpc_data[sku]),ROW(bhpc_data[sku])),""),ROWS($A$15:A117)+$B$3))),IF($EC$13="",INDEX(bhpc_data[sku],SMALL(IF(ISNUMBER(MATCH(bhpc_data[sex],$EC$11,0)),MATCH(ROW(bhpc_data[sku]),ROW(bhpc_data[sku])),""),ROWS($A$15:A117)+$B$3)),INDEX(bhpc_data[sku],SMALL(IF(ISNUMBER(MATCH(bhpc_data[sex],$EC$11,0)*MATCH(bhpc_data[size1],$EC$13,0)),MATCH(ROW(bhpc_data[sku]),ROW(bhpc_data[sku])),""),ROWS($A$15:A117)+$B$3)))),IF($EC$11="",IF($EC$13="",INDEX(bhpc_data[sku],SMALL(IF(ISNUMBER(MATCH(bhpc_data[category],$EC$9,0)),MATCH(ROW(bhpc_data[sku]),ROW(bhpc_data[sku])),""),ROWS($A$15:A117)+$B$3)),INDEX(bhpc_data[sku],SMALL(IF(ISNUMBER(MATCH(bhpc_data[category],$EC$9,0)*MATCH(bhpc_data[size1],$EC$13,0)),MATCH(ROW(bhpc_data[sku]),ROW(bhpc_data[sku])),""),ROWS($A$15:A117)+$B$3))),IF($EC$13="",INDEX(bhpc_data[sku],SMALL(IF(ISNUMBER(MATCH(bhpc_data[category],$EC$9,0)*MATCH(bhpc_data[sex],$EC$11,0)),MATCH(ROW(bhpc_data[sku]),ROW(bhpc_data[sku])),""),ROWS($A$15:A117)+$B$3)),INDEX(bhpc_data[sku],SMALL(IF(ISNUMBER(MATCH(bhpc_data[category],$EC$9,0)*MATCH(bhpc_data[sex],$EC$11,0)*MATCH(bhpc_data[size1],$EC$13,0)),MATCH(ROW(bhpc_data[sku]),ROW(bhpc_data[sku])),""),ROWS($A$15:A117)+$B$3))))),"")</f>
        <v>X05010</v>
      </c>
      <c r="EF112" s="198" t="str" cm="1">
        <f t="array" ref="EF112">IFERROR(IF($EC$9="",IF($EC$11="",IF($EC$13="",INDEX(bhpc_data[description],SMALL(MATCH(ROW(bhpc_data[sku]),ROW(bhpc_data[sku])),ROWS($A$15:A117)+$B$3)),INDEX(bhpc_data[description],SMALL(IF(ISNUMBER(MATCH(bhpc_data[size1],$EC$13,0)),MATCH(ROW(bhpc_data[sku]),ROW(bhpc_data[sku])),""),ROWS($A$15:A117)+$B$3))),IF($EC$13="",INDEX(bhpc_data[description],SMALL(IF(ISNUMBER(MATCH(bhpc_data[sex],$EC$11,0)),MATCH(ROW(bhpc_data[sku]),ROW(bhpc_data[sku])),""),ROWS($A$15:A117)+$B$3)),INDEX(bhpc_data[description],SMALL(IF(ISNUMBER(MATCH(bhpc_data[sex],$EC$11,0)*MATCH(bhpc_data[size1],$EC$13,0)),MATCH(ROW(bhpc_data[sku]),ROW(bhpc_data[sku])),""),ROWS($A$15:A117)+$B$3)))),IF($EC$11="",IF($EC$13="",INDEX(bhpc_data[description],SMALL(IF(ISNUMBER(MATCH(bhpc_data[category],$EC$9,0)),MATCH(ROW(bhpc_data[sku]),ROW(bhpc_data[sku])),""),ROWS($A$15:A117)+$B$3)),INDEX(bhpc_data[description],SMALL(IF(ISNUMBER(MATCH(bhpc_data[category],$EC$9,0)*MATCH(bhpc_data[size1],$EC$13,0)),MATCH(ROW(bhpc_data[sku]),ROW(bhpc_data[sku])),""),ROWS($A$15:A117)+$B$3))),IF($EC$13="",INDEX(bhpc_data[description],SMALL(IF(ISNUMBER(MATCH(bhpc_data[category],$EC$9,0)*MATCH(bhpc_data[sex],$EC$11,0)),MATCH(ROW(bhpc_data[sku]),ROW(bhpc_data[sku])),""),ROWS($A$15:A117)+$B$3)),INDEX(bhpc_data[description],SMALL(IF(ISNUMBER(MATCH(bhpc_data[category],$EC$9,0)*MATCH(bhpc_data[sex],$EC$11,0)*MATCH(bhpc_data[size1],$EC$13,0)),MATCH(ROW(bhpc_data[sku]),ROW(bhpc_data[sku])),""),ROWS($A$15:A117)+$B$3))))),"")</f>
        <v>BHPC GIFT BOX MEN NO.8 50ML</v>
      </c>
      <c r="EG112" s="263" t="str">
        <f>IFERROR(IF(warehouse[[#This Row],[SKU]]="","",INDEX(inventory[ESISTENZA],MATCH(warehouse[[#This Row],[SKU]],inventory[ARTICOLO],0))),"")</f>
        <v/>
      </c>
      <c r="EH112" s="328"/>
      <c r="EI112" s="328"/>
      <c r="EJ112" s="263"/>
      <c r="EK112" s="329"/>
    </row>
    <row r="113" spans="63:141" x14ac:dyDescent="0.35">
      <c r="BK113" s="450"/>
      <c r="BL113" s="451"/>
      <c r="BM113" s="452"/>
      <c r="BN113" s="451"/>
      <c r="BO113" s="452"/>
      <c r="EE113" s="202" t="str" cm="1">
        <f t="array" ref="EE113">IFERROR(IF($EC$9="",IF($EC$11="",IF($EC$13="",INDEX(bhpc_data[sku],SMALL(MATCH(ROW(bhpc_data[sku]),ROW(bhpc_data[sku])),ROWS($A$15:A118)+$B$3)),INDEX(bhpc_data[sku],SMALL(IF(ISNUMBER(MATCH(bhpc_data[size1],$EC$13,0)),MATCH(ROW(bhpc_data[sku]),ROW(bhpc_data[sku])),""),ROWS($A$15:A118)+$B$3))),IF($EC$13="",INDEX(bhpc_data[sku],SMALL(IF(ISNUMBER(MATCH(bhpc_data[sex],$EC$11,0)),MATCH(ROW(bhpc_data[sku]),ROW(bhpc_data[sku])),""),ROWS($A$15:A118)+$B$3)),INDEX(bhpc_data[sku],SMALL(IF(ISNUMBER(MATCH(bhpc_data[sex],$EC$11,0)*MATCH(bhpc_data[size1],$EC$13,0)),MATCH(ROW(bhpc_data[sku]),ROW(bhpc_data[sku])),""),ROWS($A$15:A118)+$B$3)))),IF($EC$11="",IF($EC$13="",INDEX(bhpc_data[sku],SMALL(IF(ISNUMBER(MATCH(bhpc_data[category],$EC$9,0)),MATCH(ROW(bhpc_data[sku]),ROW(bhpc_data[sku])),""),ROWS($A$15:A118)+$B$3)),INDEX(bhpc_data[sku],SMALL(IF(ISNUMBER(MATCH(bhpc_data[category],$EC$9,0)*MATCH(bhpc_data[size1],$EC$13,0)),MATCH(ROW(bhpc_data[sku]),ROW(bhpc_data[sku])),""),ROWS($A$15:A118)+$B$3))),IF($EC$13="",INDEX(bhpc_data[sku],SMALL(IF(ISNUMBER(MATCH(bhpc_data[category],$EC$9,0)*MATCH(bhpc_data[sex],$EC$11,0)),MATCH(ROW(bhpc_data[sku]),ROW(bhpc_data[sku])),""),ROWS($A$15:A118)+$B$3)),INDEX(bhpc_data[sku],SMALL(IF(ISNUMBER(MATCH(bhpc_data[category],$EC$9,0)*MATCH(bhpc_data[sex],$EC$11,0)*MATCH(bhpc_data[size1],$EC$13,0)),MATCH(ROW(bhpc_data[sku]),ROW(bhpc_data[sku])),""),ROWS($A$15:A118)+$B$3))))),"")</f>
        <v>X05011</v>
      </c>
      <c r="EF113" s="198" t="str" cm="1">
        <f t="array" ref="EF113">IFERROR(IF($EC$9="",IF($EC$11="",IF($EC$13="",INDEX(bhpc_data[description],SMALL(MATCH(ROW(bhpc_data[sku]),ROW(bhpc_data[sku])),ROWS($A$15:A118)+$B$3)),INDEX(bhpc_data[description],SMALL(IF(ISNUMBER(MATCH(bhpc_data[size1],$EC$13,0)),MATCH(ROW(bhpc_data[sku]),ROW(bhpc_data[sku])),""),ROWS($A$15:A118)+$B$3))),IF($EC$13="",INDEX(bhpc_data[description],SMALL(IF(ISNUMBER(MATCH(bhpc_data[sex],$EC$11,0)),MATCH(ROW(bhpc_data[sku]),ROW(bhpc_data[sku])),""),ROWS($A$15:A118)+$B$3)),INDEX(bhpc_data[description],SMALL(IF(ISNUMBER(MATCH(bhpc_data[sex],$EC$11,0)*MATCH(bhpc_data[size1],$EC$13,0)),MATCH(ROW(bhpc_data[sku]),ROW(bhpc_data[sku])),""),ROWS($A$15:A118)+$B$3)))),IF($EC$11="",IF($EC$13="",INDEX(bhpc_data[description],SMALL(IF(ISNUMBER(MATCH(bhpc_data[category],$EC$9,0)),MATCH(ROW(bhpc_data[sku]),ROW(bhpc_data[sku])),""),ROWS($A$15:A118)+$B$3)),INDEX(bhpc_data[description],SMALL(IF(ISNUMBER(MATCH(bhpc_data[category],$EC$9,0)*MATCH(bhpc_data[size1],$EC$13,0)),MATCH(ROW(bhpc_data[sku]),ROW(bhpc_data[sku])),""),ROWS($A$15:A118)+$B$3))),IF($EC$13="",INDEX(bhpc_data[description],SMALL(IF(ISNUMBER(MATCH(bhpc_data[category],$EC$9,0)*MATCH(bhpc_data[sex],$EC$11,0)),MATCH(ROW(bhpc_data[sku]),ROW(bhpc_data[sku])),""),ROWS($A$15:A118)+$B$3)),INDEX(bhpc_data[description],SMALL(IF(ISNUMBER(MATCH(bhpc_data[category],$EC$9,0)*MATCH(bhpc_data[sex],$EC$11,0)*MATCH(bhpc_data[size1],$EC$13,0)),MATCH(ROW(bhpc_data[sku]),ROW(bhpc_data[sku])),""),ROWS($A$15:A118)+$B$3))))),"")</f>
        <v>BHPC GIFT BOX MEN NO.2 50ML</v>
      </c>
      <c r="EG113" s="263" t="str">
        <f>IFERROR(IF(warehouse[[#This Row],[SKU]]="","",INDEX(inventory[ESISTENZA],MATCH(warehouse[[#This Row],[SKU]],inventory[ARTICOLO],0))),"")</f>
        <v/>
      </c>
      <c r="EH113" s="328"/>
      <c r="EI113" s="328"/>
      <c r="EJ113" s="263"/>
      <c r="EK113" s="329"/>
    </row>
    <row r="114" spans="63:141" x14ac:dyDescent="0.35">
      <c r="BK114" s="450"/>
      <c r="BL114" s="451"/>
      <c r="BM114" s="452"/>
      <c r="BN114" s="451"/>
      <c r="BO114" s="452"/>
      <c r="EE114" s="202" t="str" cm="1">
        <f t="array" ref="EE114">IFERROR(IF($EC$9="",IF($EC$11="",IF($EC$13="",INDEX(bhpc_data[sku],SMALL(MATCH(ROW(bhpc_data[sku]),ROW(bhpc_data[sku])),ROWS($A$15:A119)+$B$3)),INDEX(bhpc_data[sku],SMALL(IF(ISNUMBER(MATCH(bhpc_data[size1],$EC$13,0)),MATCH(ROW(bhpc_data[sku]),ROW(bhpc_data[sku])),""),ROWS($A$15:A119)+$B$3))),IF($EC$13="",INDEX(bhpc_data[sku],SMALL(IF(ISNUMBER(MATCH(bhpc_data[sex],$EC$11,0)),MATCH(ROW(bhpc_data[sku]),ROW(bhpc_data[sku])),""),ROWS($A$15:A119)+$B$3)),INDEX(bhpc_data[sku],SMALL(IF(ISNUMBER(MATCH(bhpc_data[sex],$EC$11,0)*MATCH(bhpc_data[size1],$EC$13,0)),MATCH(ROW(bhpc_data[sku]),ROW(bhpc_data[sku])),""),ROWS($A$15:A119)+$B$3)))),IF($EC$11="",IF($EC$13="",INDEX(bhpc_data[sku],SMALL(IF(ISNUMBER(MATCH(bhpc_data[category],$EC$9,0)),MATCH(ROW(bhpc_data[sku]),ROW(bhpc_data[sku])),""),ROWS($A$15:A119)+$B$3)),INDEX(bhpc_data[sku],SMALL(IF(ISNUMBER(MATCH(bhpc_data[category],$EC$9,0)*MATCH(bhpc_data[size1],$EC$13,0)),MATCH(ROW(bhpc_data[sku]),ROW(bhpc_data[sku])),""),ROWS($A$15:A119)+$B$3))),IF($EC$13="",INDEX(bhpc_data[sku],SMALL(IF(ISNUMBER(MATCH(bhpc_data[category],$EC$9,0)*MATCH(bhpc_data[sex],$EC$11,0)),MATCH(ROW(bhpc_data[sku]),ROW(bhpc_data[sku])),""),ROWS($A$15:A119)+$B$3)),INDEX(bhpc_data[sku],SMALL(IF(ISNUMBER(MATCH(bhpc_data[category],$EC$9,0)*MATCH(bhpc_data[sex],$EC$11,0)*MATCH(bhpc_data[size1],$EC$13,0)),MATCH(ROW(bhpc_data[sku]),ROW(bhpc_data[sku])),""),ROWS($A$15:A119)+$B$3))))),"")</f>
        <v>X05028</v>
      </c>
      <c r="EF114" s="198" t="str" cm="1">
        <f t="array" ref="EF114">IFERROR(IF($EC$9="",IF($EC$11="",IF($EC$13="",INDEX(bhpc_data[description],SMALL(MATCH(ROW(bhpc_data[sku]),ROW(bhpc_data[sku])),ROWS($A$15:A119)+$B$3)),INDEX(bhpc_data[description],SMALL(IF(ISNUMBER(MATCH(bhpc_data[size1],$EC$13,0)),MATCH(ROW(bhpc_data[sku]),ROW(bhpc_data[sku])),""),ROWS($A$15:A119)+$B$3))),IF($EC$13="",INDEX(bhpc_data[description],SMALL(IF(ISNUMBER(MATCH(bhpc_data[sex],$EC$11,0)),MATCH(ROW(bhpc_data[sku]),ROW(bhpc_data[sku])),""),ROWS($A$15:A119)+$B$3)),INDEX(bhpc_data[description],SMALL(IF(ISNUMBER(MATCH(bhpc_data[sex],$EC$11,0)*MATCH(bhpc_data[size1],$EC$13,0)),MATCH(ROW(bhpc_data[sku]),ROW(bhpc_data[sku])),""),ROWS($A$15:A119)+$B$3)))),IF($EC$11="",IF($EC$13="",INDEX(bhpc_data[description],SMALL(IF(ISNUMBER(MATCH(bhpc_data[category],$EC$9,0)),MATCH(ROW(bhpc_data[sku]),ROW(bhpc_data[sku])),""),ROWS($A$15:A119)+$B$3)),INDEX(bhpc_data[description],SMALL(IF(ISNUMBER(MATCH(bhpc_data[category],$EC$9,0)*MATCH(bhpc_data[size1],$EC$13,0)),MATCH(ROW(bhpc_data[sku]),ROW(bhpc_data[sku])),""),ROWS($A$15:A119)+$B$3))),IF($EC$13="",INDEX(bhpc_data[description],SMALL(IF(ISNUMBER(MATCH(bhpc_data[category],$EC$9,0)*MATCH(bhpc_data[sex],$EC$11,0)),MATCH(ROW(bhpc_data[sku]),ROW(bhpc_data[sku])),""),ROWS($A$15:A119)+$B$3)),INDEX(bhpc_data[description],SMALL(IF(ISNUMBER(MATCH(bhpc_data[category],$EC$9,0)*MATCH(bhpc_data[sex],$EC$11,0)*MATCH(bhpc_data[size1],$EC$13,0)),MATCH(ROW(bhpc_data[sku]),ROW(bhpc_data[sku])),""),ROWS($A$15:A119)+$B$3))))),"")</f>
        <v>BHPC GIFT BOX WOMEN NO.1 50ML</v>
      </c>
      <c r="EG114" s="263" t="str">
        <f>IFERROR(IF(warehouse[[#This Row],[SKU]]="","",INDEX(inventory[ESISTENZA],MATCH(warehouse[[#This Row],[SKU]],inventory[ARTICOLO],0))),"")</f>
        <v/>
      </c>
      <c r="EH114" s="328"/>
      <c r="EI114" s="328"/>
      <c r="EJ114" s="263"/>
      <c r="EK114" s="329"/>
    </row>
    <row r="115" spans="63:141" x14ac:dyDescent="0.35">
      <c r="BK115" s="450"/>
      <c r="BL115" s="451"/>
      <c r="BM115" s="452"/>
      <c r="BN115" s="451"/>
      <c r="BO115" s="452"/>
      <c r="EE115" s="202" t="str" cm="1">
        <f t="array" ref="EE115">IFERROR(IF($EC$9="",IF($EC$11="",IF($EC$13="",INDEX(bhpc_data[sku],SMALL(MATCH(ROW(bhpc_data[sku]),ROW(bhpc_data[sku])),ROWS($A$15:A120)+$B$3)),INDEX(bhpc_data[sku],SMALL(IF(ISNUMBER(MATCH(bhpc_data[size1],$EC$13,0)),MATCH(ROW(bhpc_data[sku]),ROW(bhpc_data[sku])),""),ROWS($A$15:A120)+$B$3))),IF($EC$13="",INDEX(bhpc_data[sku],SMALL(IF(ISNUMBER(MATCH(bhpc_data[sex],$EC$11,0)),MATCH(ROW(bhpc_data[sku]),ROW(bhpc_data[sku])),""),ROWS($A$15:A120)+$B$3)),INDEX(bhpc_data[sku],SMALL(IF(ISNUMBER(MATCH(bhpc_data[sex],$EC$11,0)*MATCH(bhpc_data[size1],$EC$13,0)),MATCH(ROW(bhpc_data[sku]),ROW(bhpc_data[sku])),""),ROWS($A$15:A120)+$B$3)))),IF($EC$11="",IF($EC$13="",INDEX(bhpc_data[sku],SMALL(IF(ISNUMBER(MATCH(bhpc_data[category],$EC$9,0)),MATCH(ROW(bhpc_data[sku]),ROW(bhpc_data[sku])),""),ROWS($A$15:A120)+$B$3)),INDEX(bhpc_data[sku],SMALL(IF(ISNUMBER(MATCH(bhpc_data[category],$EC$9,0)*MATCH(bhpc_data[size1],$EC$13,0)),MATCH(ROW(bhpc_data[sku]),ROW(bhpc_data[sku])),""),ROWS($A$15:A120)+$B$3))),IF($EC$13="",INDEX(bhpc_data[sku],SMALL(IF(ISNUMBER(MATCH(bhpc_data[category],$EC$9,0)*MATCH(bhpc_data[sex],$EC$11,0)),MATCH(ROW(bhpc_data[sku]),ROW(bhpc_data[sku])),""),ROWS($A$15:A120)+$B$3)),INDEX(bhpc_data[sku],SMALL(IF(ISNUMBER(MATCH(bhpc_data[category],$EC$9,0)*MATCH(bhpc_data[sex],$EC$11,0)*MATCH(bhpc_data[size1],$EC$13,0)),MATCH(ROW(bhpc_data[sku]),ROW(bhpc_data[sku])),""),ROWS($A$15:A120)+$B$3))))),"")</f>
        <v>X05029</v>
      </c>
      <c r="EF115" s="198" t="str" cm="1">
        <f t="array" ref="EF115">IFERROR(IF($EC$9="",IF($EC$11="",IF($EC$13="",INDEX(bhpc_data[description],SMALL(MATCH(ROW(bhpc_data[sku]),ROW(bhpc_data[sku])),ROWS($A$15:A120)+$B$3)),INDEX(bhpc_data[description],SMALL(IF(ISNUMBER(MATCH(bhpc_data[size1],$EC$13,0)),MATCH(ROW(bhpc_data[sku]),ROW(bhpc_data[sku])),""),ROWS($A$15:A120)+$B$3))),IF($EC$13="",INDEX(bhpc_data[description],SMALL(IF(ISNUMBER(MATCH(bhpc_data[sex],$EC$11,0)),MATCH(ROW(bhpc_data[sku]),ROW(bhpc_data[sku])),""),ROWS($A$15:A120)+$B$3)),INDEX(bhpc_data[description],SMALL(IF(ISNUMBER(MATCH(bhpc_data[sex],$EC$11,0)*MATCH(bhpc_data[size1],$EC$13,0)),MATCH(ROW(bhpc_data[sku]),ROW(bhpc_data[sku])),""),ROWS($A$15:A120)+$B$3)))),IF($EC$11="",IF($EC$13="",INDEX(bhpc_data[description],SMALL(IF(ISNUMBER(MATCH(bhpc_data[category],$EC$9,0)),MATCH(ROW(bhpc_data[sku]),ROW(bhpc_data[sku])),""),ROWS($A$15:A120)+$B$3)),INDEX(bhpc_data[description],SMALL(IF(ISNUMBER(MATCH(bhpc_data[category],$EC$9,0)*MATCH(bhpc_data[size1],$EC$13,0)),MATCH(ROW(bhpc_data[sku]),ROW(bhpc_data[sku])),""),ROWS($A$15:A120)+$B$3))),IF($EC$13="",INDEX(bhpc_data[description],SMALL(IF(ISNUMBER(MATCH(bhpc_data[category],$EC$9,0)*MATCH(bhpc_data[sex],$EC$11,0)),MATCH(ROW(bhpc_data[sku]),ROW(bhpc_data[sku])),""),ROWS($A$15:A120)+$B$3)),INDEX(bhpc_data[description],SMALL(IF(ISNUMBER(MATCH(bhpc_data[category],$EC$9,0)*MATCH(bhpc_data[sex],$EC$11,0)*MATCH(bhpc_data[size1],$EC$13,0)),MATCH(ROW(bhpc_data[sku]),ROW(bhpc_data[sku])),""),ROWS($A$15:A120)+$B$3))))),"")</f>
        <v>BHPC GIFT BOX WOMEN NO.9 50ML</v>
      </c>
      <c r="EG115" s="263" t="str">
        <f>IFERROR(IF(warehouse[[#This Row],[SKU]]="","",INDEX(inventory[ESISTENZA],MATCH(warehouse[[#This Row],[SKU]],inventory[ARTICOLO],0))),"")</f>
        <v/>
      </c>
      <c r="EH115" s="328"/>
      <c r="EI115" s="328"/>
      <c r="EJ115" s="263"/>
      <c r="EK115" s="329"/>
    </row>
    <row r="116" spans="63:141" x14ac:dyDescent="0.35">
      <c r="BK116" s="450"/>
      <c r="BL116" s="451"/>
      <c r="BM116" s="452"/>
      <c r="BN116" s="451"/>
      <c r="BO116" s="452"/>
      <c r="EE116" s="202" t="str" cm="1">
        <f t="array" ref="EE116">IFERROR(IF($EC$9="",IF($EC$11="",IF($EC$13="",INDEX(bhpc_data[sku],SMALL(MATCH(ROW(bhpc_data[sku]),ROW(bhpc_data[sku])),ROWS($A$15:A121)+$B$3)),INDEX(bhpc_data[sku],SMALL(IF(ISNUMBER(MATCH(bhpc_data[size1],$EC$13,0)),MATCH(ROW(bhpc_data[sku]),ROW(bhpc_data[sku])),""),ROWS($A$15:A121)+$B$3))),IF($EC$13="",INDEX(bhpc_data[sku],SMALL(IF(ISNUMBER(MATCH(bhpc_data[sex],$EC$11,0)),MATCH(ROW(bhpc_data[sku]),ROW(bhpc_data[sku])),""),ROWS($A$15:A121)+$B$3)),INDEX(bhpc_data[sku],SMALL(IF(ISNUMBER(MATCH(bhpc_data[sex],$EC$11,0)*MATCH(bhpc_data[size1],$EC$13,0)),MATCH(ROW(bhpc_data[sku]),ROW(bhpc_data[sku])),""),ROWS($A$15:A121)+$B$3)))),IF($EC$11="",IF($EC$13="",INDEX(bhpc_data[sku],SMALL(IF(ISNUMBER(MATCH(bhpc_data[category],$EC$9,0)),MATCH(ROW(bhpc_data[sku]),ROW(bhpc_data[sku])),""),ROWS($A$15:A121)+$B$3)),INDEX(bhpc_data[sku],SMALL(IF(ISNUMBER(MATCH(bhpc_data[category],$EC$9,0)*MATCH(bhpc_data[size1],$EC$13,0)),MATCH(ROW(bhpc_data[sku]),ROW(bhpc_data[sku])),""),ROWS($A$15:A121)+$B$3))),IF($EC$13="",INDEX(bhpc_data[sku],SMALL(IF(ISNUMBER(MATCH(bhpc_data[category],$EC$9,0)*MATCH(bhpc_data[sex],$EC$11,0)),MATCH(ROW(bhpc_data[sku]),ROW(bhpc_data[sku])),""),ROWS($A$15:A121)+$B$3)),INDEX(bhpc_data[sku],SMALL(IF(ISNUMBER(MATCH(bhpc_data[category],$EC$9,0)*MATCH(bhpc_data[sex],$EC$11,0)*MATCH(bhpc_data[size1],$EC$13,0)),MATCH(ROW(bhpc_data[sku]),ROW(bhpc_data[sku])),""),ROWS($A$15:A121)+$B$3))))),"")</f>
        <v>X05030</v>
      </c>
      <c r="EF116" s="198" t="str" cm="1">
        <f t="array" ref="EF116">IFERROR(IF($EC$9="",IF($EC$11="",IF($EC$13="",INDEX(bhpc_data[description],SMALL(MATCH(ROW(bhpc_data[sku]),ROW(bhpc_data[sku])),ROWS($A$15:A121)+$B$3)),INDEX(bhpc_data[description],SMALL(IF(ISNUMBER(MATCH(bhpc_data[size1],$EC$13,0)),MATCH(ROW(bhpc_data[sku]),ROW(bhpc_data[sku])),""),ROWS($A$15:A121)+$B$3))),IF($EC$13="",INDEX(bhpc_data[description],SMALL(IF(ISNUMBER(MATCH(bhpc_data[sex],$EC$11,0)),MATCH(ROW(bhpc_data[sku]),ROW(bhpc_data[sku])),""),ROWS($A$15:A121)+$B$3)),INDEX(bhpc_data[description],SMALL(IF(ISNUMBER(MATCH(bhpc_data[sex],$EC$11,0)*MATCH(bhpc_data[size1],$EC$13,0)),MATCH(ROW(bhpc_data[sku]),ROW(bhpc_data[sku])),""),ROWS($A$15:A121)+$B$3)))),IF($EC$11="",IF($EC$13="",INDEX(bhpc_data[description],SMALL(IF(ISNUMBER(MATCH(bhpc_data[category],$EC$9,0)),MATCH(ROW(bhpc_data[sku]),ROW(bhpc_data[sku])),""),ROWS($A$15:A121)+$B$3)),INDEX(bhpc_data[description],SMALL(IF(ISNUMBER(MATCH(bhpc_data[category],$EC$9,0)*MATCH(bhpc_data[size1],$EC$13,0)),MATCH(ROW(bhpc_data[sku]),ROW(bhpc_data[sku])),""),ROWS($A$15:A121)+$B$3))),IF($EC$13="",INDEX(bhpc_data[description],SMALL(IF(ISNUMBER(MATCH(bhpc_data[category],$EC$9,0)*MATCH(bhpc_data[sex],$EC$11,0)),MATCH(ROW(bhpc_data[sku]),ROW(bhpc_data[sku])),""),ROWS($A$15:A121)+$B$3)),INDEX(bhpc_data[description],SMALL(IF(ISNUMBER(MATCH(bhpc_data[category],$EC$9,0)*MATCH(bhpc_data[sex],$EC$11,0)*MATCH(bhpc_data[size1],$EC$13,0)),MATCH(ROW(bhpc_data[sku]),ROW(bhpc_data[sku])),""),ROWS($A$15:A121)+$B$3))))),"")</f>
        <v>BHPC GIFT BOX WOMEN NO.8 50ML</v>
      </c>
      <c r="EG116" s="263" t="str">
        <f>IFERROR(IF(warehouse[[#This Row],[SKU]]="","",INDEX(inventory[ESISTENZA],MATCH(warehouse[[#This Row],[SKU]],inventory[ARTICOLO],0))),"")</f>
        <v/>
      </c>
      <c r="EH116" s="328"/>
      <c r="EI116" s="328"/>
      <c r="EJ116" s="263"/>
      <c r="EK116" s="329"/>
    </row>
    <row r="117" spans="63:141" x14ac:dyDescent="0.35">
      <c r="BK117" s="450"/>
      <c r="BL117" s="451"/>
      <c r="BM117" s="452"/>
      <c r="BN117" s="451"/>
      <c r="BO117" s="452"/>
      <c r="EE117" s="202" t="str" cm="1">
        <f t="array" ref="EE117">IFERROR(IF($EC$9="",IF($EC$11="",IF($EC$13="",INDEX(bhpc_data[sku],SMALL(MATCH(ROW(bhpc_data[sku]),ROW(bhpc_data[sku])),ROWS($A$15:A122)+$B$3)),INDEX(bhpc_data[sku],SMALL(IF(ISNUMBER(MATCH(bhpc_data[size1],$EC$13,0)),MATCH(ROW(bhpc_data[sku]),ROW(bhpc_data[sku])),""),ROWS($A$15:A122)+$B$3))),IF($EC$13="",INDEX(bhpc_data[sku],SMALL(IF(ISNUMBER(MATCH(bhpc_data[sex],$EC$11,0)),MATCH(ROW(bhpc_data[sku]),ROW(bhpc_data[sku])),""),ROWS($A$15:A122)+$B$3)),INDEX(bhpc_data[sku],SMALL(IF(ISNUMBER(MATCH(bhpc_data[sex],$EC$11,0)*MATCH(bhpc_data[size1],$EC$13,0)),MATCH(ROW(bhpc_data[sku]),ROW(bhpc_data[sku])),""),ROWS($A$15:A122)+$B$3)))),IF($EC$11="",IF($EC$13="",INDEX(bhpc_data[sku],SMALL(IF(ISNUMBER(MATCH(bhpc_data[category],$EC$9,0)),MATCH(ROW(bhpc_data[sku]),ROW(bhpc_data[sku])),""),ROWS($A$15:A122)+$B$3)),INDEX(bhpc_data[sku],SMALL(IF(ISNUMBER(MATCH(bhpc_data[category],$EC$9,0)*MATCH(bhpc_data[size1],$EC$13,0)),MATCH(ROW(bhpc_data[sku]),ROW(bhpc_data[sku])),""),ROWS($A$15:A122)+$B$3))),IF($EC$13="",INDEX(bhpc_data[sku],SMALL(IF(ISNUMBER(MATCH(bhpc_data[category],$EC$9,0)*MATCH(bhpc_data[sex],$EC$11,0)),MATCH(ROW(bhpc_data[sku]),ROW(bhpc_data[sku])),""),ROWS($A$15:A122)+$B$3)),INDEX(bhpc_data[sku],SMALL(IF(ISNUMBER(MATCH(bhpc_data[category],$EC$9,0)*MATCH(bhpc_data[sex],$EC$11,0)*MATCH(bhpc_data[size1],$EC$13,0)),MATCH(ROW(bhpc_data[sku]),ROW(bhpc_data[sku])),""),ROWS($A$15:A122)+$B$3))))),"")</f>
        <v>X05031</v>
      </c>
      <c r="EF117" s="198" t="str" cm="1">
        <f t="array" ref="EF117">IFERROR(IF($EC$9="",IF($EC$11="",IF($EC$13="",INDEX(bhpc_data[description],SMALL(MATCH(ROW(bhpc_data[sku]),ROW(bhpc_data[sku])),ROWS($A$15:A122)+$B$3)),INDEX(bhpc_data[description],SMALL(IF(ISNUMBER(MATCH(bhpc_data[size1],$EC$13,0)),MATCH(ROW(bhpc_data[sku]),ROW(bhpc_data[sku])),""),ROWS($A$15:A122)+$B$3))),IF($EC$13="",INDEX(bhpc_data[description],SMALL(IF(ISNUMBER(MATCH(bhpc_data[sex],$EC$11,0)),MATCH(ROW(bhpc_data[sku]),ROW(bhpc_data[sku])),""),ROWS($A$15:A122)+$B$3)),INDEX(bhpc_data[description],SMALL(IF(ISNUMBER(MATCH(bhpc_data[sex],$EC$11,0)*MATCH(bhpc_data[size1],$EC$13,0)),MATCH(ROW(bhpc_data[sku]),ROW(bhpc_data[sku])),""),ROWS($A$15:A122)+$B$3)))),IF($EC$11="",IF($EC$13="",INDEX(bhpc_data[description],SMALL(IF(ISNUMBER(MATCH(bhpc_data[category],$EC$9,0)),MATCH(ROW(bhpc_data[sku]),ROW(bhpc_data[sku])),""),ROWS($A$15:A122)+$B$3)),INDEX(bhpc_data[description],SMALL(IF(ISNUMBER(MATCH(bhpc_data[category],$EC$9,0)*MATCH(bhpc_data[size1],$EC$13,0)),MATCH(ROW(bhpc_data[sku]),ROW(bhpc_data[sku])),""),ROWS($A$15:A122)+$B$3))),IF($EC$13="",INDEX(bhpc_data[description],SMALL(IF(ISNUMBER(MATCH(bhpc_data[category],$EC$9,0)*MATCH(bhpc_data[sex],$EC$11,0)),MATCH(ROW(bhpc_data[sku]),ROW(bhpc_data[sku])),""),ROWS($A$15:A122)+$B$3)),INDEX(bhpc_data[description],SMALL(IF(ISNUMBER(MATCH(bhpc_data[category],$EC$9,0)*MATCH(bhpc_data[sex],$EC$11,0)*MATCH(bhpc_data[size1],$EC$13,0)),MATCH(ROW(bhpc_data[sku]),ROW(bhpc_data[sku])),""),ROWS($A$15:A122)+$B$3))))),"")</f>
        <v>BHPC GIFT BOX WOMEN NO.2 50ML</v>
      </c>
      <c r="EG117" s="263" t="str">
        <f>IFERROR(IF(warehouse[[#This Row],[SKU]]="","",INDEX(inventory[ESISTENZA],MATCH(warehouse[[#This Row],[SKU]],inventory[ARTICOLO],0))),"")</f>
        <v/>
      </c>
      <c r="EH117" s="328"/>
      <c r="EI117" s="328"/>
      <c r="EJ117" s="263"/>
      <c r="EK117" s="329"/>
    </row>
    <row r="118" spans="63:141" x14ac:dyDescent="0.35">
      <c r="BK118" s="450"/>
      <c r="BL118" s="451"/>
      <c r="BM118" s="452"/>
      <c r="BN118" s="451"/>
      <c r="BO118" s="452"/>
      <c r="EE118" s="202" t="str" cm="1">
        <f t="array" ref="EE118">IFERROR(IF($EC$9="",IF($EC$11="",IF($EC$13="",INDEX(bhpc_data[sku],SMALL(MATCH(ROW(bhpc_data[sku]),ROW(bhpc_data[sku])),ROWS($A$15:A123)+$B$3)),INDEX(bhpc_data[sku],SMALL(IF(ISNUMBER(MATCH(bhpc_data[size1],$EC$13,0)),MATCH(ROW(bhpc_data[sku]),ROW(bhpc_data[sku])),""),ROWS($A$15:A123)+$B$3))),IF($EC$13="",INDEX(bhpc_data[sku],SMALL(IF(ISNUMBER(MATCH(bhpc_data[sex],$EC$11,0)),MATCH(ROW(bhpc_data[sku]),ROW(bhpc_data[sku])),""),ROWS($A$15:A123)+$B$3)),INDEX(bhpc_data[sku],SMALL(IF(ISNUMBER(MATCH(bhpc_data[sex],$EC$11,0)*MATCH(bhpc_data[size1],$EC$13,0)),MATCH(ROW(bhpc_data[sku]),ROW(bhpc_data[sku])),""),ROWS($A$15:A123)+$B$3)))),IF($EC$11="",IF($EC$13="",INDEX(bhpc_data[sku],SMALL(IF(ISNUMBER(MATCH(bhpc_data[category],$EC$9,0)),MATCH(ROW(bhpc_data[sku]),ROW(bhpc_data[sku])),""),ROWS($A$15:A123)+$B$3)),INDEX(bhpc_data[sku],SMALL(IF(ISNUMBER(MATCH(bhpc_data[category],$EC$9,0)*MATCH(bhpc_data[size1],$EC$13,0)),MATCH(ROW(bhpc_data[sku]),ROW(bhpc_data[sku])),""),ROWS($A$15:A123)+$B$3))),IF($EC$13="",INDEX(bhpc_data[sku],SMALL(IF(ISNUMBER(MATCH(bhpc_data[category],$EC$9,0)*MATCH(bhpc_data[sex],$EC$11,0)),MATCH(ROW(bhpc_data[sku]),ROW(bhpc_data[sku])),""),ROWS($A$15:A123)+$B$3)),INDEX(bhpc_data[sku],SMALL(IF(ISNUMBER(MATCH(bhpc_data[category],$EC$9,0)*MATCH(bhpc_data[sex],$EC$11,0)*MATCH(bhpc_data[size1],$EC$13,0)),MATCH(ROW(bhpc_data[sku]),ROW(bhpc_data[sku])),""),ROWS($A$15:A123)+$B$3))))),"")</f>
        <v>X05050</v>
      </c>
      <c r="EF118" s="198" t="str" cm="1">
        <f t="array" ref="EF118">IFERROR(IF($EC$9="",IF($EC$11="",IF($EC$13="",INDEX(bhpc_data[description],SMALL(MATCH(ROW(bhpc_data[sku]),ROW(bhpc_data[sku])),ROWS($A$15:A123)+$B$3)),INDEX(bhpc_data[description],SMALL(IF(ISNUMBER(MATCH(bhpc_data[size1],$EC$13,0)),MATCH(ROW(bhpc_data[sku]),ROW(bhpc_data[sku])),""),ROWS($A$15:A123)+$B$3))),IF($EC$13="",INDEX(bhpc_data[description],SMALL(IF(ISNUMBER(MATCH(bhpc_data[sex],$EC$11,0)),MATCH(ROW(bhpc_data[sku]),ROW(bhpc_data[sku])),""),ROWS($A$15:A123)+$B$3)),INDEX(bhpc_data[description],SMALL(IF(ISNUMBER(MATCH(bhpc_data[sex],$EC$11,0)*MATCH(bhpc_data[size1],$EC$13,0)),MATCH(ROW(bhpc_data[sku]),ROW(bhpc_data[sku])),""),ROWS($A$15:A123)+$B$3)))),IF($EC$11="",IF($EC$13="",INDEX(bhpc_data[description],SMALL(IF(ISNUMBER(MATCH(bhpc_data[category],$EC$9,0)),MATCH(ROW(bhpc_data[sku]),ROW(bhpc_data[sku])),""),ROWS($A$15:A123)+$B$3)),INDEX(bhpc_data[description],SMALL(IF(ISNUMBER(MATCH(bhpc_data[category],$EC$9,0)*MATCH(bhpc_data[size1],$EC$13,0)),MATCH(ROW(bhpc_data[sku]),ROW(bhpc_data[sku])),""),ROWS($A$15:A123)+$B$3))),IF($EC$13="",INDEX(bhpc_data[description],SMALL(IF(ISNUMBER(MATCH(bhpc_data[category],$EC$9,0)*MATCH(bhpc_data[sex],$EC$11,0)),MATCH(ROW(bhpc_data[sku]),ROW(bhpc_data[sku])),""),ROWS($A$15:A123)+$B$3)),INDEX(bhpc_data[description],SMALL(IF(ISNUMBER(MATCH(bhpc_data[category],$EC$9,0)*MATCH(bhpc_data[sex],$EC$11,0)*MATCH(bhpc_data[size1],$EC$13,0)),MATCH(ROW(bhpc_data[sku]),ROW(bhpc_data[sku])),""),ROWS($A$15:A123)+$B$3))))),"")</f>
        <v>BHPC GIFT BOX WOMEN NO.1 100ML</v>
      </c>
      <c r="EG118" s="263" t="str">
        <f>IFERROR(IF(warehouse[[#This Row],[SKU]]="","",INDEX(inventory[ESISTENZA],MATCH(warehouse[[#This Row],[SKU]],inventory[ARTICOLO],0))),"")</f>
        <v/>
      </c>
      <c r="EH118" s="328"/>
      <c r="EI118" s="328"/>
      <c r="EJ118" s="263"/>
      <c r="EK118" s="329"/>
    </row>
    <row r="119" spans="63:141" x14ac:dyDescent="0.35">
      <c r="BK119" s="450"/>
      <c r="BL119" s="451"/>
      <c r="BM119" s="452"/>
      <c r="BN119" s="451"/>
      <c r="BO119" s="452"/>
      <c r="EE119" s="202" t="str" cm="1">
        <f t="array" ref="EE119">IFERROR(IF($EC$9="",IF($EC$11="",IF($EC$13="",INDEX(bhpc_data[sku],SMALL(MATCH(ROW(bhpc_data[sku]),ROW(bhpc_data[sku])),ROWS($A$15:A124)+$B$3)),INDEX(bhpc_data[sku],SMALL(IF(ISNUMBER(MATCH(bhpc_data[size1],$EC$13,0)),MATCH(ROW(bhpc_data[sku]),ROW(bhpc_data[sku])),""),ROWS($A$15:A124)+$B$3))),IF($EC$13="",INDEX(bhpc_data[sku],SMALL(IF(ISNUMBER(MATCH(bhpc_data[sex],$EC$11,0)),MATCH(ROW(bhpc_data[sku]),ROW(bhpc_data[sku])),""),ROWS($A$15:A124)+$B$3)),INDEX(bhpc_data[sku],SMALL(IF(ISNUMBER(MATCH(bhpc_data[sex],$EC$11,0)*MATCH(bhpc_data[size1],$EC$13,0)),MATCH(ROW(bhpc_data[sku]),ROW(bhpc_data[sku])),""),ROWS($A$15:A124)+$B$3)))),IF($EC$11="",IF($EC$13="",INDEX(bhpc_data[sku],SMALL(IF(ISNUMBER(MATCH(bhpc_data[category],$EC$9,0)),MATCH(ROW(bhpc_data[sku]),ROW(bhpc_data[sku])),""),ROWS($A$15:A124)+$B$3)),INDEX(bhpc_data[sku],SMALL(IF(ISNUMBER(MATCH(bhpc_data[category],$EC$9,0)*MATCH(bhpc_data[size1],$EC$13,0)),MATCH(ROW(bhpc_data[sku]),ROW(bhpc_data[sku])),""),ROWS($A$15:A124)+$B$3))),IF($EC$13="",INDEX(bhpc_data[sku],SMALL(IF(ISNUMBER(MATCH(bhpc_data[category],$EC$9,0)*MATCH(bhpc_data[sex],$EC$11,0)),MATCH(ROW(bhpc_data[sku]),ROW(bhpc_data[sku])),""),ROWS($A$15:A124)+$B$3)),INDEX(bhpc_data[sku],SMALL(IF(ISNUMBER(MATCH(bhpc_data[category],$EC$9,0)*MATCH(bhpc_data[sex],$EC$11,0)*MATCH(bhpc_data[size1],$EC$13,0)),MATCH(ROW(bhpc_data[sku]),ROW(bhpc_data[sku])),""),ROWS($A$15:A124)+$B$3))))),"")</f>
        <v>X05051</v>
      </c>
      <c r="EF119" s="198" t="str" cm="1">
        <f t="array" ref="EF119">IFERROR(IF($EC$9="",IF($EC$11="",IF($EC$13="",INDEX(bhpc_data[description],SMALL(MATCH(ROW(bhpc_data[sku]),ROW(bhpc_data[sku])),ROWS($A$15:A124)+$B$3)),INDEX(bhpc_data[description],SMALL(IF(ISNUMBER(MATCH(bhpc_data[size1],$EC$13,0)),MATCH(ROW(bhpc_data[sku]),ROW(bhpc_data[sku])),""),ROWS($A$15:A124)+$B$3))),IF($EC$13="",INDEX(bhpc_data[description],SMALL(IF(ISNUMBER(MATCH(bhpc_data[sex],$EC$11,0)),MATCH(ROW(bhpc_data[sku]),ROW(bhpc_data[sku])),""),ROWS($A$15:A124)+$B$3)),INDEX(bhpc_data[description],SMALL(IF(ISNUMBER(MATCH(bhpc_data[sex],$EC$11,0)*MATCH(bhpc_data[size1],$EC$13,0)),MATCH(ROW(bhpc_data[sku]),ROW(bhpc_data[sku])),""),ROWS($A$15:A124)+$B$3)))),IF($EC$11="",IF($EC$13="",INDEX(bhpc_data[description],SMALL(IF(ISNUMBER(MATCH(bhpc_data[category],$EC$9,0)),MATCH(ROW(bhpc_data[sku]),ROW(bhpc_data[sku])),""),ROWS($A$15:A124)+$B$3)),INDEX(bhpc_data[description],SMALL(IF(ISNUMBER(MATCH(bhpc_data[category],$EC$9,0)*MATCH(bhpc_data[size1],$EC$13,0)),MATCH(ROW(bhpc_data[sku]),ROW(bhpc_data[sku])),""),ROWS($A$15:A124)+$B$3))),IF($EC$13="",INDEX(bhpc_data[description],SMALL(IF(ISNUMBER(MATCH(bhpc_data[category],$EC$9,0)*MATCH(bhpc_data[sex],$EC$11,0)),MATCH(ROW(bhpc_data[sku]),ROW(bhpc_data[sku])),""),ROWS($A$15:A124)+$B$3)),INDEX(bhpc_data[description],SMALL(IF(ISNUMBER(MATCH(bhpc_data[category],$EC$9,0)*MATCH(bhpc_data[sex],$EC$11,0)*MATCH(bhpc_data[size1],$EC$13,0)),MATCH(ROW(bhpc_data[sku]),ROW(bhpc_data[sku])),""),ROWS($A$15:A124)+$B$3))))),"")</f>
        <v>BHPC GIFT BOX WOMEN NO.9 100ML</v>
      </c>
      <c r="EG119" s="263" t="str">
        <f>IFERROR(IF(warehouse[[#This Row],[SKU]]="","",INDEX(inventory[ESISTENZA],MATCH(warehouse[[#This Row],[SKU]],inventory[ARTICOLO],0))),"")</f>
        <v/>
      </c>
      <c r="EH119" s="328"/>
      <c r="EI119" s="328"/>
      <c r="EJ119" s="263"/>
      <c r="EK119" s="329"/>
    </row>
    <row r="120" spans="63:141" x14ac:dyDescent="0.35">
      <c r="BK120" s="450"/>
      <c r="BL120" s="451"/>
      <c r="BM120" s="452"/>
      <c r="BN120" s="451"/>
      <c r="BO120" s="452"/>
      <c r="EE120" s="202" t="str" cm="1">
        <f t="array" ref="EE120">IFERROR(IF($EC$9="",IF($EC$11="",IF($EC$13="",INDEX(bhpc_data[sku],SMALL(MATCH(ROW(bhpc_data[sku]),ROW(bhpc_data[sku])),ROWS($A$15:A125)+$B$3)),INDEX(bhpc_data[sku],SMALL(IF(ISNUMBER(MATCH(bhpc_data[size1],$EC$13,0)),MATCH(ROW(bhpc_data[sku]),ROW(bhpc_data[sku])),""),ROWS($A$15:A125)+$B$3))),IF($EC$13="",INDEX(bhpc_data[sku],SMALL(IF(ISNUMBER(MATCH(bhpc_data[sex],$EC$11,0)),MATCH(ROW(bhpc_data[sku]),ROW(bhpc_data[sku])),""),ROWS($A$15:A125)+$B$3)),INDEX(bhpc_data[sku],SMALL(IF(ISNUMBER(MATCH(bhpc_data[sex],$EC$11,0)*MATCH(bhpc_data[size1],$EC$13,0)),MATCH(ROW(bhpc_data[sku]),ROW(bhpc_data[sku])),""),ROWS($A$15:A125)+$B$3)))),IF($EC$11="",IF($EC$13="",INDEX(bhpc_data[sku],SMALL(IF(ISNUMBER(MATCH(bhpc_data[category],$EC$9,0)),MATCH(ROW(bhpc_data[sku]),ROW(bhpc_data[sku])),""),ROWS($A$15:A125)+$B$3)),INDEX(bhpc_data[sku],SMALL(IF(ISNUMBER(MATCH(bhpc_data[category],$EC$9,0)*MATCH(bhpc_data[size1],$EC$13,0)),MATCH(ROW(bhpc_data[sku]),ROW(bhpc_data[sku])),""),ROWS($A$15:A125)+$B$3))),IF($EC$13="",INDEX(bhpc_data[sku],SMALL(IF(ISNUMBER(MATCH(bhpc_data[category],$EC$9,0)*MATCH(bhpc_data[sex],$EC$11,0)),MATCH(ROW(bhpc_data[sku]),ROW(bhpc_data[sku])),""),ROWS($A$15:A125)+$B$3)),INDEX(bhpc_data[sku],SMALL(IF(ISNUMBER(MATCH(bhpc_data[category],$EC$9,0)*MATCH(bhpc_data[sex],$EC$11,0)*MATCH(bhpc_data[size1],$EC$13,0)),MATCH(ROW(bhpc_data[sku]),ROW(bhpc_data[sku])),""),ROWS($A$15:A125)+$B$3))))),"")</f>
        <v>X05052</v>
      </c>
      <c r="EF120" s="198" t="str" cm="1">
        <f t="array" ref="EF120">IFERROR(IF($EC$9="",IF($EC$11="",IF($EC$13="",INDEX(bhpc_data[description],SMALL(MATCH(ROW(bhpc_data[sku]),ROW(bhpc_data[sku])),ROWS($A$15:A125)+$B$3)),INDEX(bhpc_data[description],SMALL(IF(ISNUMBER(MATCH(bhpc_data[size1],$EC$13,0)),MATCH(ROW(bhpc_data[sku]),ROW(bhpc_data[sku])),""),ROWS($A$15:A125)+$B$3))),IF($EC$13="",INDEX(bhpc_data[description],SMALL(IF(ISNUMBER(MATCH(bhpc_data[sex],$EC$11,0)),MATCH(ROW(bhpc_data[sku]),ROW(bhpc_data[sku])),""),ROWS($A$15:A125)+$B$3)),INDEX(bhpc_data[description],SMALL(IF(ISNUMBER(MATCH(bhpc_data[sex],$EC$11,0)*MATCH(bhpc_data[size1],$EC$13,0)),MATCH(ROW(bhpc_data[sku]),ROW(bhpc_data[sku])),""),ROWS($A$15:A125)+$B$3)))),IF($EC$11="",IF($EC$13="",INDEX(bhpc_data[description],SMALL(IF(ISNUMBER(MATCH(bhpc_data[category],$EC$9,0)),MATCH(ROW(bhpc_data[sku]),ROW(bhpc_data[sku])),""),ROWS($A$15:A125)+$B$3)),INDEX(bhpc_data[description],SMALL(IF(ISNUMBER(MATCH(bhpc_data[category],$EC$9,0)*MATCH(bhpc_data[size1],$EC$13,0)),MATCH(ROW(bhpc_data[sku]),ROW(bhpc_data[sku])),""),ROWS($A$15:A125)+$B$3))),IF($EC$13="",INDEX(bhpc_data[description],SMALL(IF(ISNUMBER(MATCH(bhpc_data[category],$EC$9,0)*MATCH(bhpc_data[sex],$EC$11,0)),MATCH(ROW(bhpc_data[sku]),ROW(bhpc_data[sku])),""),ROWS($A$15:A125)+$B$3)),INDEX(bhpc_data[description],SMALL(IF(ISNUMBER(MATCH(bhpc_data[category],$EC$9,0)*MATCH(bhpc_data[sex],$EC$11,0)*MATCH(bhpc_data[size1],$EC$13,0)),MATCH(ROW(bhpc_data[sku]),ROW(bhpc_data[sku])),""),ROWS($A$15:A125)+$B$3))))),"")</f>
        <v>BHPC GIFT BOX WOMEN NO.8 100ML</v>
      </c>
      <c r="EG120" s="263" t="str">
        <f>IFERROR(IF(warehouse[[#This Row],[SKU]]="","",INDEX(inventory[ESISTENZA],MATCH(warehouse[[#This Row],[SKU]],inventory[ARTICOLO],0))),"")</f>
        <v/>
      </c>
      <c r="EH120" s="328"/>
      <c r="EI120" s="328"/>
      <c r="EJ120" s="263"/>
      <c r="EK120" s="329"/>
    </row>
    <row r="121" spans="63:141" x14ac:dyDescent="0.35">
      <c r="BK121" s="450"/>
      <c r="BL121" s="451"/>
      <c r="BM121" s="452"/>
      <c r="BN121" s="451"/>
      <c r="BO121" s="452"/>
      <c r="EE121" s="202" t="str" cm="1">
        <f t="array" ref="EE121">IFERROR(IF($EC$9="",IF($EC$11="",IF($EC$13="",INDEX(bhpc_data[sku],SMALL(MATCH(ROW(bhpc_data[sku]),ROW(bhpc_data[sku])),ROWS($A$15:A126)+$B$3)),INDEX(bhpc_data[sku],SMALL(IF(ISNUMBER(MATCH(bhpc_data[size1],$EC$13,0)),MATCH(ROW(bhpc_data[sku]),ROW(bhpc_data[sku])),""),ROWS($A$15:A126)+$B$3))),IF($EC$13="",INDEX(bhpc_data[sku],SMALL(IF(ISNUMBER(MATCH(bhpc_data[sex],$EC$11,0)),MATCH(ROW(bhpc_data[sku]),ROW(bhpc_data[sku])),""),ROWS($A$15:A126)+$B$3)),INDEX(bhpc_data[sku],SMALL(IF(ISNUMBER(MATCH(bhpc_data[sex],$EC$11,0)*MATCH(bhpc_data[size1],$EC$13,0)),MATCH(ROW(bhpc_data[sku]),ROW(bhpc_data[sku])),""),ROWS($A$15:A126)+$B$3)))),IF($EC$11="",IF($EC$13="",INDEX(bhpc_data[sku],SMALL(IF(ISNUMBER(MATCH(bhpc_data[category],$EC$9,0)),MATCH(ROW(bhpc_data[sku]),ROW(bhpc_data[sku])),""),ROWS($A$15:A126)+$B$3)),INDEX(bhpc_data[sku],SMALL(IF(ISNUMBER(MATCH(bhpc_data[category],$EC$9,0)*MATCH(bhpc_data[size1],$EC$13,0)),MATCH(ROW(bhpc_data[sku]),ROW(bhpc_data[sku])),""),ROWS($A$15:A126)+$B$3))),IF($EC$13="",INDEX(bhpc_data[sku],SMALL(IF(ISNUMBER(MATCH(bhpc_data[category],$EC$9,0)*MATCH(bhpc_data[sex],$EC$11,0)),MATCH(ROW(bhpc_data[sku]),ROW(bhpc_data[sku])),""),ROWS($A$15:A126)+$B$3)),INDEX(bhpc_data[sku],SMALL(IF(ISNUMBER(MATCH(bhpc_data[category],$EC$9,0)*MATCH(bhpc_data[sex],$EC$11,0)*MATCH(bhpc_data[size1],$EC$13,0)),MATCH(ROW(bhpc_data[sku]),ROW(bhpc_data[sku])),""),ROWS($A$15:A126)+$B$3))))),"")</f>
        <v>X05053</v>
      </c>
      <c r="EF121" s="198" t="str" cm="1">
        <f t="array" ref="EF121">IFERROR(IF($EC$9="",IF($EC$11="",IF($EC$13="",INDEX(bhpc_data[description],SMALL(MATCH(ROW(bhpc_data[sku]),ROW(bhpc_data[sku])),ROWS($A$15:A126)+$B$3)),INDEX(bhpc_data[description],SMALL(IF(ISNUMBER(MATCH(bhpc_data[size1],$EC$13,0)),MATCH(ROW(bhpc_data[sku]),ROW(bhpc_data[sku])),""),ROWS($A$15:A126)+$B$3))),IF($EC$13="",INDEX(bhpc_data[description],SMALL(IF(ISNUMBER(MATCH(bhpc_data[sex],$EC$11,0)),MATCH(ROW(bhpc_data[sku]),ROW(bhpc_data[sku])),""),ROWS($A$15:A126)+$B$3)),INDEX(bhpc_data[description],SMALL(IF(ISNUMBER(MATCH(bhpc_data[sex],$EC$11,0)*MATCH(bhpc_data[size1],$EC$13,0)),MATCH(ROW(bhpc_data[sku]),ROW(bhpc_data[sku])),""),ROWS($A$15:A126)+$B$3)))),IF($EC$11="",IF($EC$13="",INDEX(bhpc_data[description],SMALL(IF(ISNUMBER(MATCH(bhpc_data[category],$EC$9,0)),MATCH(ROW(bhpc_data[sku]),ROW(bhpc_data[sku])),""),ROWS($A$15:A126)+$B$3)),INDEX(bhpc_data[description],SMALL(IF(ISNUMBER(MATCH(bhpc_data[category],$EC$9,0)*MATCH(bhpc_data[size1],$EC$13,0)),MATCH(ROW(bhpc_data[sku]),ROW(bhpc_data[sku])),""),ROWS($A$15:A126)+$B$3))),IF($EC$13="",INDEX(bhpc_data[description],SMALL(IF(ISNUMBER(MATCH(bhpc_data[category],$EC$9,0)*MATCH(bhpc_data[sex],$EC$11,0)),MATCH(ROW(bhpc_data[sku]),ROW(bhpc_data[sku])),""),ROWS($A$15:A126)+$B$3)),INDEX(bhpc_data[description],SMALL(IF(ISNUMBER(MATCH(bhpc_data[category],$EC$9,0)*MATCH(bhpc_data[sex],$EC$11,0)*MATCH(bhpc_data[size1],$EC$13,0)),MATCH(ROW(bhpc_data[sku]),ROW(bhpc_data[sku])),""),ROWS($A$15:A126)+$B$3))))),"")</f>
        <v>BHPC GIFT BOX WOMEN NO.2 100ML</v>
      </c>
      <c r="EG121" s="263" t="str">
        <f>IFERROR(IF(warehouse[[#This Row],[SKU]]="","",INDEX(inventory[ESISTENZA],MATCH(warehouse[[#This Row],[SKU]],inventory[ARTICOLO],0))),"")</f>
        <v/>
      </c>
      <c r="EH121" s="328"/>
      <c r="EI121" s="328"/>
      <c r="EJ121" s="263"/>
      <c r="EK121" s="329"/>
    </row>
    <row r="122" spans="63:141" x14ac:dyDescent="0.35">
      <c r="BK122" s="450"/>
      <c r="BL122" s="451"/>
      <c r="BM122" s="452"/>
      <c r="BN122" s="451"/>
      <c r="BO122" s="452"/>
      <c r="EE122" s="202" t="str" cm="1">
        <f t="array" ref="EE122">IFERROR(IF($EC$9="",IF($EC$11="",IF($EC$13="",INDEX(bhpc_data[sku],SMALL(MATCH(ROW(bhpc_data[sku]),ROW(bhpc_data[sku])),ROWS($A$15:A127)+$B$3)),INDEX(bhpc_data[sku],SMALL(IF(ISNUMBER(MATCH(bhpc_data[size1],$EC$13,0)),MATCH(ROW(bhpc_data[sku]),ROW(bhpc_data[sku])),""),ROWS($A$15:A127)+$B$3))),IF($EC$13="",INDEX(bhpc_data[sku],SMALL(IF(ISNUMBER(MATCH(bhpc_data[sex],$EC$11,0)),MATCH(ROW(bhpc_data[sku]),ROW(bhpc_data[sku])),""),ROWS($A$15:A127)+$B$3)),INDEX(bhpc_data[sku],SMALL(IF(ISNUMBER(MATCH(bhpc_data[sex],$EC$11,0)*MATCH(bhpc_data[size1],$EC$13,0)),MATCH(ROW(bhpc_data[sku]),ROW(bhpc_data[sku])),""),ROWS($A$15:A127)+$B$3)))),IF($EC$11="",IF($EC$13="",INDEX(bhpc_data[sku],SMALL(IF(ISNUMBER(MATCH(bhpc_data[category],$EC$9,0)),MATCH(ROW(bhpc_data[sku]),ROW(bhpc_data[sku])),""),ROWS($A$15:A127)+$B$3)),INDEX(bhpc_data[sku],SMALL(IF(ISNUMBER(MATCH(bhpc_data[category],$EC$9,0)*MATCH(bhpc_data[size1],$EC$13,0)),MATCH(ROW(bhpc_data[sku]),ROW(bhpc_data[sku])),""),ROWS($A$15:A127)+$B$3))),IF($EC$13="",INDEX(bhpc_data[sku],SMALL(IF(ISNUMBER(MATCH(bhpc_data[category],$EC$9,0)*MATCH(bhpc_data[sex],$EC$11,0)),MATCH(ROW(bhpc_data[sku]),ROW(bhpc_data[sku])),""),ROWS($A$15:A127)+$B$3)),INDEX(bhpc_data[sku],SMALL(IF(ISNUMBER(MATCH(bhpc_data[category],$EC$9,0)*MATCH(bhpc_data[sex],$EC$11,0)*MATCH(bhpc_data[size1],$EC$13,0)),MATCH(ROW(bhpc_data[sku]),ROW(bhpc_data[sku])),""),ROWS($A$15:A127)+$B$3))))),"")</f>
        <v>X05068</v>
      </c>
      <c r="EF122" s="198" t="str" cm="1">
        <f t="array" ref="EF122">IFERROR(IF($EC$9="",IF($EC$11="",IF($EC$13="",INDEX(bhpc_data[description],SMALL(MATCH(ROW(bhpc_data[sku]),ROW(bhpc_data[sku])),ROWS($A$15:A127)+$B$3)),INDEX(bhpc_data[description],SMALL(IF(ISNUMBER(MATCH(bhpc_data[size1],$EC$13,0)),MATCH(ROW(bhpc_data[sku]),ROW(bhpc_data[sku])),""),ROWS($A$15:A127)+$B$3))),IF($EC$13="",INDEX(bhpc_data[description],SMALL(IF(ISNUMBER(MATCH(bhpc_data[sex],$EC$11,0)),MATCH(ROW(bhpc_data[sku]),ROW(bhpc_data[sku])),""),ROWS($A$15:A127)+$B$3)),INDEX(bhpc_data[description],SMALL(IF(ISNUMBER(MATCH(bhpc_data[sex],$EC$11,0)*MATCH(bhpc_data[size1],$EC$13,0)),MATCH(ROW(bhpc_data[sku]),ROW(bhpc_data[sku])),""),ROWS($A$15:A127)+$B$3)))),IF($EC$11="",IF($EC$13="",INDEX(bhpc_data[description],SMALL(IF(ISNUMBER(MATCH(bhpc_data[category],$EC$9,0)),MATCH(ROW(bhpc_data[sku]),ROW(bhpc_data[sku])),""),ROWS($A$15:A127)+$B$3)),INDEX(bhpc_data[description],SMALL(IF(ISNUMBER(MATCH(bhpc_data[category],$EC$9,0)*MATCH(bhpc_data[size1],$EC$13,0)),MATCH(ROW(bhpc_data[sku]),ROW(bhpc_data[sku])),""),ROWS($A$15:A127)+$B$3))),IF($EC$13="",INDEX(bhpc_data[description],SMALL(IF(ISNUMBER(MATCH(bhpc_data[category],$EC$9,0)*MATCH(bhpc_data[sex],$EC$11,0)),MATCH(ROW(bhpc_data[sku]),ROW(bhpc_data[sku])),""),ROWS($A$15:A127)+$B$3)),INDEX(bhpc_data[description],SMALL(IF(ISNUMBER(MATCH(bhpc_data[category],$EC$9,0)*MATCH(bhpc_data[sex],$EC$11,0)*MATCH(bhpc_data[size1],$EC$13,0)),MATCH(ROW(bhpc_data[sku]),ROW(bhpc_data[sku])),""),ROWS($A$15:A127)+$B$3))))),"")</f>
        <v>BHPC GS BOX MEN</v>
      </c>
      <c r="EG122" s="263" t="str">
        <f>IFERROR(IF(warehouse[[#This Row],[SKU]]="","",INDEX(inventory[ESISTENZA],MATCH(warehouse[[#This Row],[SKU]],inventory[ARTICOLO],0))),"")</f>
        <v/>
      </c>
      <c r="EH122" s="328"/>
      <c r="EI122" s="328"/>
      <c r="EJ122" s="263"/>
      <c r="EK122" s="329"/>
    </row>
    <row r="123" spans="63:141" x14ac:dyDescent="0.35">
      <c r="BK123" s="450"/>
      <c r="BL123" s="451"/>
      <c r="BM123" s="452"/>
      <c r="BN123" s="451"/>
      <c r="BO123" s="452"/>
      <c r="EE123" s="202" t="str" cm="1">
        <f t="array" ref="EE123">IFERROR(IF($EC$9="",IF($EC$11="",IF($EC$13="",INDEX(bhpc_data[sku],SMALL(MATCH(ROW(bhpc_data[sku]),ROW(bhpc_data[sku])),ROWS($A$15:A128)+$B$3)),INDEX(bhpc_data[sku],SMALL(IF(ISNUMBER(MATCH(bhpc_data[size1],$EC$13,0)),MATCH(ROW(bhpc_data[sku]),ROW(bhpc_data[sku])),""),ROWS($A$15:A128)+$B$3))),IF($EC$13="",INDEX(bhpc_data[sku],SMALL(IF(ISNUMBER(MATCH(bhpc_data[sex],$EC$11,0)),MATCH(ROW(bhpc_data[sku]),ROW(bhpc_data[sku])),""),ROWS($A$15:A128)+$B$3)),INDEX(bhpc_data[sku],SMALL(IF(ISNUMBER(MATCH(bhpc_data[sex],$EC$11,0)*MATCH(bhpc_data[size1],$EC$13,0)),MATCH(ROW(bhpc_data[sku]),ROW(bhpc_data[sku])),""),ROWS($A$15:A128)+$B$3)))),IF($EC$11="",IF($EC$13="",INDEX(bhpc_data[sku],SMALL(IF(ISNUMBER(MATCH(bhpc_data[category],$EC$9,0)),MATCH(ROW(bhpc_data[sku]),ROW(bhpc_data[sku])),""),ROWS($A$15:A128)+$B$3)),INDEX(bhpc_data[sku],SMALL(IF(ISNUMBER(MATCH(bhpc_data[category],$EC$9,0)*MATCH(bhpc_data[size1],$EC$13,0)),MATCH(ROW(bhpc_data[sku]),ROW(bhpc_data[sku])),""),ROWS($A$15:A128)+$B$3))),IF($EC$13="",INDEX(bhpc_data[sku],SMALL(IF(ISNUMBER(MATCH(bhpc_data[category],$EC$9,0)*MATCH(bhpc_data[sex],$EC$11,0)),MATCH(ROW(bhpc_data[sku]),ROW(bhpc_data[sku])),""),ROWS($A$15:A128)+$B$3)),INDEX(bhpc_data[sku],SMALL(IF(ISNUMBER(MATCH(bhpc_data[category],$EC$9,0)*MATCH(bhpc_data[sex],$EC$11,0)*MATCH(bhpc_data[size1],$EC$13,0)),MATCH(ROW(bhpc_data[sku]),ROW(bhpc_data[sku])),""),ROWS($A$15:A128)+$B$3))))),"")</f>
        <v>X05072</v>
      </c>
      <c r="EF123" s="198" t="str" cm="1">
        <f t="array" ref="EF123">IFERROR(IF($EC$9="",IF($EC$11="",IF($EC$13="",INDEX(bhpc_data[description],SMALL(MATCH(ROW(bhpc_data[sku]),ROW(bhpc_data[sku])),ROWS($A$15:A128)+$B$3)),INDEX(bhpc_data[description],SMALL(IF(ISNUMBER(MATCH(bhpc_data[size1],$EC$13,0)),MATCH(ROW(bhpc_data[sku]),ROW(bhpc_data[sku])),""),ROWS($A$15:A128)+$B$3))),IF($EC$13="",INDEX(bhpc_data[description],SMALL(IF(ISNUMBER(MATCH(bhpc_data[sex],$EC$11,0)),MATCH(ROW(bhpc_data[sku]),ROW(bhpc_data[sku])),""),ROWS($A$15:A128)+$B$3)),INDEX(bhpc_data[description],SMALL(IF(ISNUMBER(MATCH(bhpc_data[sex],$EC$11,0)*MATCH(bhpc_data[size1],$EC$13,0)),MATCH(ROW(bhpc_data[sku]),ROW(bhpc_data[sku])),""),ROWS($A$15:A128)+$B$3)))),IF($EC$11="",IF($EC$13="",INDEX(bhpc_data[description],SMALL(IF(ISNUMBER(MATCH(bhpc_data[category],$EC$9,0)),MATCH(ROW(bhpc_data[sku]),ROW(bhpc_data[sku])),""),ROWS($A$15:A128)+$B$3)),INDEX(bhpc_data[description],SMALL(IF(ISNUMBER(MATCH(bhpc_data[category],$EC$9,0)*MATCH(bhpc_data[size1],$EC$13,0)),MATCH(ROW(bhpc_data[sku]),ROW(bhpc_data[sku])),""),ROWS($A$15:A128)+$B$3))),IF($EC$13="",INDEX(bhpc_data[description],SMALL(IF(ISNUMBER(MATCH(bhpc_data[category],$EC$9,0)*MATCH(bhpc_data[sex],$EC$11,0)),MATCH(ROW(bhpc_data[sku]),ROW(bhpc_data[sku])),""),ROWS($A$15:A128)+$B$3)),INDEX(bhpc_data[description],SMALL(IF(ISNUMBER(MATCH(bhpc_data[category],$EC$9,0)*MATCH(bhpc_data[sex],$EC$11,0)*MATCH(bhpc_data[size1],$EC$13,0)),MATCH(ROW(bhpc_data[sku]),ROW(bhpc_data[sku])),""),ROWS($A$15:A128)+$B$3))))),"")</f>
        <v>BHPC GS BOX WOMEN</v>
      </c>
      <c r="EG123" s="263" t="str">
        <f>IFERROR(IF(warehouse[[#This Row],[SKU]]="","",INDEX(inventory[ESISTENZA],MATCH(warehouse[[#This Row],[SKU]],inventory[ARTICOLO],0))),"")</f>
        <v/>
      </c>
      <c r="EH123" s="328"/>
      <c r="EI123" s="328"/>
      <c r="EJ123" s="263"/>
      <c r="EK123" s="329"/>
    </row>
    <row r="124" spans="63:141" x14ac:dyDescent="0.35">
      <c r="BK124" s="450"/>
      <c r="BL124" s="451"/>
      <c r="BM124" s="452"/>
      <c r="BN124" s="451"/>
      <c r="BO124" s="452"/>
      <c r="EE124" s="202" t="str" cm="1">
        <f t="array" ref="EE124">IFERROR(IF($EC$9="",IF($EC$11="",IF($EC$13="",INDEX(bhpc_data[sku],SMALL(MATCH(ROW(bhpc_data[sku]),ROW(bhpc_data[sku])),ROWS($A$15:A129)+$B$3)),INDEX(bhpc_data[sku],SMALL(IF(ISNUMBER(MATCH(bhpc_data[size1],$EC$13,0)),MATCH(ROW(bhpc_data[sku]),ROW(bhpc_data[sku])),""),ROWS($A$15:A129)+$B$3))),IF($EC$13="",INDEX(bhpc_data[sku],SMALL(IF(ISNUMBER(MATCH(bhpc_data[sex],$EC$11,0)),MATCH(ROW(bhpc_data[sku]),ROW(bhpc_data[sku])),""),ROWS($A$15:A129)+$B$3)),INDEX(bhpc_data[sku],SMALL(IF(ISNUMBER(MATCH(bhpc_data[sex],$EC$11,0)*MATCH(bhpc_data[size1],$EC$13,0)),MATCH(ROW(bhpc_data[sku]),ROW(bhpc_data[sku])),""),ROWS($A$15:A129)+$B$3)))),IF($EC$11="",IF($EC$13="",INDEX(bhpc_data[sku],SMALL(IF(ISNUMBER(MATCH(bhpc_data[category],$EC$9,0)),MATCH(ROW(bhpc_data[sku]),ROW(bhpc_data[sku])),""),ROWS($A$15:A129)+$B$3)),INDEX(bhpc_data[sku],SMALL(IF(ISNUMBER(MATCH(bhpc_data[category],$EC$9,0)*MATCH(bhpc_data[size1],$EC$13,0)),MATCH(ROW(bhpc_data[sku]),ROW(bhpc_data[sku])),""),ROWS($A$15:A129)+$B$3))),IF($EC$13="",INDEX(bhpc_data[sku],SMALL(IF(ISNUMBER(MATCH(bhpc_data[category],$EC$9,0)*MATCH(bhpc_data[sex],$EC$11,0)),MATCH(ROW(bhpc_data[sku]),ROW(bhpc_data[sku])),""),ROWS($A$15:A129)+$B$3)),INDEX(bhpc_data[sku],SMALL(IF(ISNUMBER(MATCH(bhpc_data[category],$EC$9,0)*MATCH(bhpc_data[sex],$EC$11,0)*MATCH(bhpc_data[size1],$EC$13,0)),MATCH(ROW(bhpc_data[sku]),ROW(bhpc_data[sku])),""),ROWS($A$15:A129)+$B$3))))),"")</f>
        <v>X06012</v>
      </c>
      <c r="EF124" s="198" t="str" cm="1">
        <f t="array" ref="EF124">IFERROR(IF($EC$9="",IF($EC$11="",IF($EC$13="",INDEX(bhpc_data[description],SMALL(MATCH(ROW(bhpc_data[sku]),ROW(bhpc_data[sku])),ROWS($A$15:A129)+$B$3)),INDEX(bhpc_data[description],SMALL(IF(ISNUMBER(MATCH(bhpc_data[size1],$EC$13,0)),MATCH(ROW(bhpc_data[sku]),ROW(bhpc_data[sku])),""),ROWS($A$15:A129)+$B$3))),IF($EC$13="",INDEX(bhpc_data[description],SMALL(IF(ISNUMBER(MATCH(bhpc_data[sex],$EC$11,0)),MATCH(ROW(bhpc_data[sku]),ROW(bhpc_data[sku])),""),ROWS($A$15:A129)+$B$3)),INDEX(bhpc_data[description],SMALL(IF(ISNUMBER(MATCH(bhpc_data[sex],$EC$11,0)*MATCH(bhpc_data[size1],$EC$13,0)),MATCH(ROW(bhpc_data[sku]),ROW(bhpc_data[sku])),""),ROWS($A$15:A129)+$B$3)))),IF($EC$11="",IF($EC$13="",INDEX(bhpc_data[description],SMALL(IF(ISNUMBER(MATCH(bhpc_data[category],$EC$9,0)),MATCH(ROW(bhpc_data[sku]),ROW(bhpc_data[sku])),""),ROWS($A$15:A129)+$B$3)),INDEX(bhpc_data[description],SMALL(IF(ISNUMBER(MATCH(bhpc_data[category],$EC$9,0)*MATCH(bhpc_data[size1],$EC$13,0)),MATCH(ROW(bhpc_data[sku]),ROW(bhpc_data[sku])),""),ROWS($A$15:A129)+$B$3))),IF($EC$13="",INDEX(bhpc_data[description],SMALL(IF(ISNUMBER(MATCH(bhpc_data[category],$EC$9,0)*MATCH(bhpc_data[sex],$EC$11,0)),MATCH(ROW(bhpc_data[sku]),ROW(bhpc_data[sku])),""),ROWS($A$15:A129)+$B$3)),INDEX(bhpc_data[description],SMALL(IF(ISNUMBER(MATCH(bhpc_data[category],$EC$9,0)*MATCH(bhpc_data[sex],$EC$11,0)*MATCH(bhpc_data[size1],$EC$13,0)),MATCH(ROW(bhpc_data[sku]),ROW(bhpc_data[sku])),""),ROWS($A$15:A129)+$B$3))))),"")</f>
        <v>BHPC BOX TROPHY+DEO300ML</v>
      </c>
      <c r="EG124" s="263" t="str">
        <f>IFERROR(IF(warehouse[[#This Row],[SKU]]="","",INDEX(inventory[ESISTENZA],MATCH(warehouse[[#This Row],[SKU]],inventory[ARTICOLO],0))),"")</f>
        <v/>
      </c>
      <c r="EH124" s="328"/>
      <c r="EI124" s="328"/>
      <c r="EJ124" s="263"/>
      <c r="EK124" s="329"/>
    </row>
    <row r="125" spans="63:141" x14ac:dyDescent="0.35">
      <c r="BK125" s="450"/>
      <c r="BL125" s="451"/>
      <c r="BM125" s="452"/>
      <c r="BN125" s="451"/>
      <c r="BO125" s="452"/>
      <c r="EE125" s="202" t="str" cm="1">
        <f t="array" ref="EE125">IFERROR(IF($EC$9="",IF($EC$11="",IF($EC$13="",INDEX(bhpc_data[sku],SMALL(MATCH(ROW(bhpc_data[sku]),ROW(bhpc_data[sku])),ROWS($A$15:A130)+$B$3)),INDEX(bhpc_data[sku],SMALL(IF(ISNUMBER(MATCH(bhpc_data[size1],$EC$13,0)),MATCH(ROW(bhpc_data[sku]),ROW(bhpc_data[sku])),""),ROWS($A$15:A130)+$B$3))),IF($EC$13="",INDEX(bhpc_data[sku],SMALL(IF(ISNUMBER(MATCH(bhpc_data[sex],$EC$11,0)),MATCH(ROW(bhpc_data[sku]),ROW(bhpc_data[sku])),""),ROWS($A$15:A130)+$B$3)),INDEX(bhpc_data[sku],SMALL(IF(ISNUMBER(MATCH(bhpc_data[sex],$EC$11,0)*MATCH(bhpc_data[size1],$EC$13,0)),MATCH(ROW(bhpc_data[sku]),ROW(bhpc_data[sku])),""),ROWS($A$15:A130)+$B$3)))),IF($EC$11="",IF($EC$13="",INDEX(bhpc_data[sku],SMALL(IF(ISNUMBER(MATCH(bhpc_data[category],$EC$9,0)),MATCH(ROW(bhpc_data[sku]),ROW(bhpc_data[sku])),""),ROWS($A$15:A130)+$B$3)),INDEX(bhpc_data[sku],SMALL(IF(ISNUMBER(MATCH(bhpc_data[category],$EC$9,0)*MATCH(bhpc_data[size1],$EC$13,0)),MATCH(ROW(bhpc_data[sku]),ROW(bhpc_data[sku])),""),ROWS($A$15:A130)+$B$3))),IF($EC$13="",INDEX(bhpc_data[sku],SMALL(IF(ISNUMBER(MATCH(bhpc_data[category],$EC$9,0)*MATCH(bhpc_data[sex],$EC$11,0)),MATCH(ROW(bhpc_data[sku]),ROW(bhpc_data[sku])),""),ROWS($A$15:A130)+$B$3)),INDEX(bhpc_data[sku],SMALL(IF(ISNUMBER(MATCH(bhpc_data[category],$EC$9,0)*MATCH(bhpc_data[sex],$EC$11,0)*MATCH(bhpc_data[size1],$EC$13,0)),MATCH(ROW(bhpc_data[sku]),ROW(bhpc_data[sku])),""),ROWS($A$15:A130)+$B$3))))),"")</f>
        <v>X0SP4M</v>
      </c>
      <c r="EF125" s="198" t="str" cm="1">
        <f t="array" ref="EF125">IFERROR(IF($EC$9="",IF($EC$11="",IF($EC$13="",INDEX(bhpc_data[description],SMALL(MATCH(ROW(bhpc_data[sku]),ROW(bhpc_data[sku])),ROWS($A$15:A130)+$B$3)),INDEX(bhpc_data[description],SMALL(IF(ISNUMBER(MATCH(bhpc_data[size1],$EC$13,0)),MATCH(ROW(bhpc_data[sku]),ROW(bhpc_data[sku])),""),ROWS($A$15:A130)+$B$3))),IF($EC$13="",INDEX(bhpc_data[description],SMALL(IF(ISNUMBER(MATCH(bhpc_data[sex],$EC$11,0)),MATCH(ROW(bhpc_data[sku]),ROW(bhpc_data[sku])),""),ROWS($A$15:A130)+$B$3)),INDEX(bhpc_data[description],SMALL(IF(ISNUMBER(MATCH(bhpc_data[sex],$EC$11,0)*MATCH(bhpc_data[size1],$EC$13,0)),MATCH(ROW(bhpc_data[sku]),ROW(bhpc_data[sku])),""),ROWS($A$15:A130)+$B$3)))),IF($EC$11="",IF($EC$13="",INDEX(bhpc_data[description],SMALL(IF(ISNUMBER(MATCH(bhpc_data[category],$EC$9,0)),MATCH(ROW(bhpc_data[sku]),ROW(bhpc_data[sku])),""),ROWS($A$15:A130)+$B$3)),INDEX(bhpc_data[description],SMALL(IF(ISNUMBER(MATCH(bhpc_data[category],$EC$9,0)*MATCH(bhpc_data[size1],$EC$13,0)),MATCH(ROW(bhpc_data[sku]),ROW(bhpc_data[sku])),""),ROWS($A$15:A130)+$B$3))),IF($EC$13="",INDEX(bhpc_data[description],SMALL(IF(ISNUMBER(MATCH(bhpc_data[category],$EC$9,0)*MATCH(bhpc_data[sex],$EC$11,0)),MATCH(ROW(bhpc_data[sku]),ROW(bhpc_data[sku])),""),ROWS($A$15:A130)+$B$3)),INDEX(bhpc_data[description],SMALL(IF(ISNUMBER(MATCH(bhpc_data[category],$EC$9,0)*MATCH(bhpc_data[sex],$EC$11,0)*MATCH(bhpc_data[size1],$EC$13,0)),MATCH(ROW(bhpc_data[sku]),ROW(bhpc_data[sku])),""),ROWS($A$15:A130)+$B$3))))),"")</f>
        <v>BHPC BOX SERIES 4 DEO MEN</v>
      </c>
      <c r="EG125" s="263">
        <f>IFERROR(IF(warehouse[[#This Row],[SKU]]="","",INDEX(inventory[ESISTENZA],MATCH(warehouse[[#This Row],[SKU]],inventory[ARTICOLO],0))),"")</f>
        <v>0</v>
      </c>
      <c r="EH125" s="328"/>
      <c r="EI125" s="328"/>
      <c r="EJ125" s="263"/>
      <c r="EK125" s="329"/>
    </row>
    <row r="126" spans="63:141" x14ac:dyDescent="0.35">
      <c r="BK126" s="450"/>
      <c r="BL126" s="451"/>
      <c r="BM126" s="452"/>
      <c r="BN126" s="451"/>
      <c r="BO126" s="452"/>
      <c r="EE126" s="202" t="str" cm="1">
        <f t="array" ref="EE126">IFERROR(IF($EC$9="",IF($EC$11="",IF($EC$13="",INDEX(bhpc_data[sku],SMALL(MATCH(ROW(bhpc_data[sku]),ROW(bhpc_data[sku])),ROWS($A$15:A131)+$B$3)),INDEX(bhpc_data[sku],SMALL(IF(ISNUMBER(MATCH(bhpc_data[size1],$EC$13,0)),MATCH(ROW(bhpc_data[sku]),ROW(bhpc_data[sku])),""),ROWS($A$15:A131)+$B$3))),IF($EC$13="",INDEX(bhpc_data[sku],SMALL(IF(ISNUMBER(MATCH(bhpc_data[sex],$EC$11,0)),MATCH(ROW(bhpc_data[sku]),ROW(bhpc_data[sku])),""),ROWS($A$15:A131)+$B$3)),INDEX(bhpc_data[sku],SMALL(IF(ISNUMBER(MATCH(bhpc_data[sex],$EC$11,0)*MATCH(bhpc_data[size1],$EC$13,0)),MATCH(ROW(bhpc_data[sku]),ROW(bhpc_data[sku])),""),ROWS($A$15:A131)+$B$3)))),IF($EC$11="",IF($EC$13="",INDEX(bhpc_data[sku],SMALL(IF(ISNUMBER(MATCH(bhpc_data[category],$EC$9,0)),MATCH(ROW(bhpc_data[sku]),ROW(bhpc_data[sku])),""),ROWS($A$15:A131)+$B$3)),INDEX(bhpc_data[sku],SMALL(IF(ISNUMBER(MATCH(bhpc_data[category],$EC$9,0)*MATCH(bhpc_data[size1],$EC$13,0)),MATCH(ROW(bhpc_data[sku]),ROW(bhpc_data[sku])),""),ROWS($A$15:A131)+$B$3))),IF($EC$13="",INDEX(bhpc_data[sku],SMALL(IF(ISNUMBER(MATCH(bhpc_data[category],$EC$9,0)*MATCH(bhpc_data[sex],$EC$11,0)),MATCH(ROW(bhpc_data[sku]),ROW(bhpc_data[sku])),""),ROWS($A$15:A131)+$B$3)),INDEX(bhpc_data[sku],SMALL(IF(ISNUMBER(MATCH(bhpc_data[category],$EC$9,0)*MATCH(bhpc_data[sex],$EC$11,0)*MATCH(bhpc_data[size1],$EC$13,0)),MATCH(ROW(bhpc_data[sku]),ROW(bhpc_data[sku])),""),ROWS($A$15:A131)+$B$3))))),"")</f>
        <v>X0SP4W</v>
      </c>
      <c r="EF126" s="198" t="str" cm="1">
        <f t="array" ref="EF126">IFERROR(IF($EC$9="",IF($EC$11="",IF($EC$13="",INDEX(bhpc_data[description],SMALL(MATCH(ROW(bhpc_data[sku]),ROW(bhpc_data[sku])),ROWS($A$15:A131)+$B$3)),INDEX(bhpc_data[description],SMALL(IF(ISNUMBER(MATCH(bhpc_data[size1],$EC$13,0)),MATCH(ROW(bhpc_data[sku]),ROW(bhpc_data[sku])),""),ROWS($A$15:A131)+$B$3))),IF($EC$13="",INDEX(bhpc_data[description],SMALL(IF(ISNUMBER(MATCH(bhpc_data[sex],$EC$11,0)),MATCH(ROW(bhpc_data[sku]),ROW(bhpc_data[sku])),""),ROWS($A$15:A131)+$B$3)),INDEX(bhpc_data[description],SMALL(IF(ISNUMBER(MATCH(bhpc_data[sex],$EC$11,0)*MATCH(bhpc_data[size1],$EC$13,0)),MATCH(ROW(bhpc_data[sku]),ROW(bhpc_data[sku])),""),ROWS($A$15:A131)+$B$3)))),IF($EC$11="",IF($EC$13="",INDEX(bhpc_data[description],SMALL(IF(ISNUMBER(MATCH(bhpc_data[category],$EC$9,0)),MATCH(ROW(bhpc_data[sku]),ROW(bhpc_data[sku])),""),ROWS($A$15:A131)+$B$3)),INDEX(bhpc_data[description],SMALL(IF(ISNUMBER(MATCH(bhpc_data[category],$EC$9,0)*MATCH(bhpc_data[size1],$EC$13,0)),MATCH(ROW(bhpc_data[sku]),ROW(bhpc_data[sku])),""),ROWS($A$15:A131)+$B$3))),IF($EC$13="",INDEX(bhpc_data[description],SMALL(IF(ISNUMBER(MATCH(bhpc_data[category],$EC$9,0)*MATCH(bhpc_data[sex],$EC$11,0)),MATCH(ROW(bhpc_data[sku]),ROW(bhpc_data[sku])),""),ROWS($A$15:A131)+$B$3)),INDEX(bhpc_data[description],SMALL(IF(ISNUMBER(MATCH(bhpc_data[category],$EC$9,0)*MATCH(bhpc_data[sex],$EC$11,0)*MATCH(bhpc_data[size1],$EC$13,0)),MATCH(ROW(bhpc_data[sku]),ROW(bhpc_data[sku])),""),ROWS($A$15:A131)+$B$3))))),"")</f>
        <v>BHPC BOX SERIES 4 DEO WOMEN</v>
      </c>
      <c r="EG126" s="263">
        <f>IFERROR(IF(warehouse[[#This Row],[SKU]]="","",INDEX(inventory[ESISTENZA],MATCH(warehouse[[#This Row],[SKU]],inventory[ARTICOLO],0))),"")</f>
        <v>0</v>
      </c>
      <c r="EH126" s="328"/>
      <c r="EI126" s="328"/>
      <c r="EJ126" s="263"/>
      <c r="EK126" s="329"/>
    </row>
    <row r="127" spans="63:141" x14ac:dyDescent="0.35">
      <c r="BK127" s="450"/>
      <c r="BL127" s="451"/>
      <c r="BM127" s="452"/>
      <c r="BN127" s="451"/>
      <c r="BO127" s="452"/>
      <c r="EE127" s="202" t="str" cm="1">
        <f t="array" ref="EE127">IFERROR(IF($EC$9="",IF($EC$11="",IF($EC$13="",INDEX(bhpc_data[sku],SMALL(MATCH(ROW(bhpc_data[sku]),ROW(bhpc_data[sku])),ROWS($A$15:A132)+$B$3)),INDEX(bhpc_data[sku],SMALL(IF(ISNUMBER(MATCH(bhpc_data[size1],$EC$13,0)),MATCH(ROW(bhpc_data[sku]),ROW(bhpc_data[sku])),""),ROWS($A$15:A132)+$B$3))),IF($EC$13="",INDEX(bhpc_data[sku],SMALL(IF(ISNUMBER(MATCH(bhpc_data[sex],$EC$11,0)),MATCH(ROW(bhpc_data[sku]),ROW(bhpc_data[sku])),""),ROWS($A$15:A132)+$B$3)),INDEX(bhpc_data[sku],SMALL(IF(ISNUMBER(MATCH(bhpc_data[sex],$EC$11,0)*MATCH(bhpc_data[size1],$EC$13,0)),MATCH(ROW(bhpc_data[sku]),ROW(bhpc_data[sku])),""),ROWS($A$15:A132)+$B$3)))),IF($EC$11="",IF($EC$13="",INDEX(bhpc_data[sku],SMALL(IF(ISNUMBER(MATCH(bhpc_data[category],$EC$9,0)),MATCH(ROW(bhpc_data[sku]),ROW(bhpc_data[sku])),""),ROWS($A$15:A132)+$B$3)),INDEX(bhpc_data[sku],SMALL(IF(ISNUMBER(MATCH(bhpc_data[category],$EC$9,0)*MATCH(bhpc_data[size1],$EC$13,0)),MATCH(ROW(bhpc_data[sku]),ROW(bhpc_data[sku])),""),ROWS($A$15:A132)+$B$3))),IF($EC$13="",INDEX(bhpc_data[sku],SMALL(IF(ISNUMBER(MATCH(bhpc_data[category],$EC$9,0)*MATCH(bhpc_data[sex],$EC$11,0)),MATCH(ROW(bhpc_data[sku]),ROW(bhpc_data[sku])),""),ROWS($A$15:A132)+$B$3)),INDEX(bhpc_data[sku],SMALL(IF(ISNUMBER(MATCH(bhpc_data[category],$EC$9,0)*MATCH(bhpc_data[sex],$EC$11,0)*MATCH(bhpc_data[size1],$EC$13,0)),MATCH(ROW(bhpc_data[sku]),ROW(bhpc_data[sku])),""),ROWS($A$15:A132)+$B$3))))),"")</f>
        <v>X0TRFM</v>
      </c>
      <c r="EF127" s="198" t="str" cm="1">
        <f t="array" ref="EF127">IFERROR(IF($EC$9="",IF($EC$11="",IF($EC$13="",INDEX(bhpc_data[description],SMALL(MATCH(ROW(bhpc_data[sku]),ROW(bhpc_data[sku])),ROWS($A$15:A132)+$B$3)),INDEX(bhpc_data[description],SMALL(IF(ISNUMBER(MATCH(bhpc_data[size1],$EC$13,0)),MATCH(ROW(bhpc_data[sku]),ROW(bhpc_data[sku])),""),ROWS($A$15:A132)+$B$3))),IF($EC$13="",INDEX(bhpc_data[description],SMALL(IF(ISNUMBER(MATCH(bhpc_data[sex],$EC$11,0)),MATCH(ROW(bhpc_data[sku]),ROW(bhpc_data[sku])),""),ROWS($A$15:A132)+$B$3)),INDEX(bhpc_data[description],SMALL(IF(ISNUMBER(MATCH(bhpc_data[sex],$EC$11,0)*MATCH(bhpc_data[size1],$EC$13,0)),MATCH(ROW(bhpc_data[sku]),ROW(bhpc_data[sku])),""),ROWS($A$15:A132)+$B$3)))),IF($EC$11="",IF($EC$13="",INDEX(bhpc_data[description],SMALL(IF(ISNUMBER(MATCH(bhpc_data[category],$EC$9,0)),MATCH(ROW(bhpc_data[sku]),ROW(bhpc_data[sku])),""),ROWS($A$15:A132)+$B$3)),INDEX(bhpc_data[description],SMALL(IF(ISNUMBER(MATCH(bhpc_data[category],$EC$9,0)*MATCH(bhpc_data[size1],$EC$13,0)),MATCH(ROW(bhpc_data[sku]),ROW(bhpc_data[sku])),""),ROWS($A$15:A132)+$B$3))),IF($EC$13="",INDEX(bhpc_data[description],SMALL(IF(ISNUMBER(MATCH(bhpc_data[category],$EC$9,0)*MATCH(bhpc_data[sex],$EC$11,0)),MATCH(ROW(bhpc_data[sku]),ROW(bhpc_data[sku])),""),ROWS($A$15:A132)+$B$3)),INDEX(bhpc_data[description],SMALL(IF(ISNUMBER(MATCH(bhpc_data[category],$EC$9,0)*MATCH(bhpc_data[sex],$EC$11,0)*MATCH(bhpc_data[size1],$EC$13,0)),MATCH(ROW(bhpc_data[sku]),ROW(bhpc_data[sku])),""),ROWS($A$15:A132)+$B$3))))),"")</f>
        <v>BHPC TRAY GIFT BOX MEN 50ML</v>
      </c>
      <c r="EG127" s="263" t="str">
        <f>IFERROR(IF(warehouse[[#This Row],[SKU]]="","",INDEX(inventory[ESISTENZA],MATCH(warehouse[[#This Row],[SKU]],inventory[ARTICOLO],0))),"")</f>
        <v/>
      </c>
      <c r="EH127" s="328"/>
      <c r="EI127" s="328"/>
      <c r="EJ127" s="263"/>
      <c r="EK127" s="329"/>
    </row>
    <row r="128" spans="63:141" x14ac:dyDescent="0.35">
      <c r="BK128" s="450"/>
      <c r="BL128" s="451"/>
      <c r="BM128" s="452"/>
      <c r="BN128" s="451"/>
      <c r="BO128" s="452"/>
      <c r="EE128" s="202" t="str" cm="1">
        <f t="array" ref="EE128">IFERROR(IF($EC$9="",IF($EC$11="",IF($EC$13="",INDEX(bhpc_data[sku],SMALL(MATCH(ROW(bhpc_data[sku]),ROW(bhpc_data[sku])),ROWS($A$15:A133)+$B$3)),INDEX(bhpc_data[sku],SMALL(IF(ISNUMBER(MATCH(bhpc_data[size1],$EC$13,0)),MATCH(ROW(bhpc_data[sku]),ROW(bhpc_data[sku])),""),ROWS($A$15:A133)+$B$3))),IF($EC$13="",INDEX(bhpc_data[sku],SMALL(IF(ISNUMBER(MATCH(bhpc_data[sex],$EC$11,0)),MATCH(ROW(bhpc_data[sku]),ROW(bhpc_data[sku])),""),ROWS($A$15:A133)+$B$3)),INDEX(bhpc_data[sku],SMALL(IF(ISNUMBER(MATCH(bhpc_data[sex],$EC$11,0)*MATCH(bhpc_data[size1],$EC$13,0)),MATCH(ROW(bhpc_data[sku]),ROW(bhpc_data[sku])),""),ROWS($A$15:A133)+$B$3)))),IF($EC$11="",IF($EC$13="",INDEX(bhpc_data[sku],SMALL(IF(ISNUMBER(MATCH(bhpc_data[category],$EC$9,0)),MATCH(ROW(bhpc_data[sku]),ROW(bhpc_data[sku])),""),ROWS($A$15:A133)+$B$3)),INDEX(bhpc_data[sku],SMALL(IF(ISNUMBER(MATCH(bhpc_data[category],$EC$9,0)*MATCH(bhpc_data[size1],$EC$13,0)),MATCH(ROW(bhpc_data[sku]),ROW(bhpc_data[sku])),""),ROWS($A$15:A133)+$B$3))),IF($EC$13="",INDEX(bhpc_data[sku],SMALL(IF(ISNUMBER(MATCH(bhpc_data[category],$EC$9,0)*MATCH(bhpc_data[sex],$EC$11,0)),MATCH(ROW(bhpc_data[sku]),ROW(bhpc_data[sku])),""),ROWS($A$15:A133)+$B$3)),INDEX(bhpc_data[sku],SMALL(IF(ISNUMBER(MATCH(bhpc_data[category],$EC$9,0)*MATCH(bhpc_data[sex],$EC$11,0)*MATCH(bhpc_data[size1],$EC$13,0)),MATCH(ROW(bhpc_data[sku]),ROW(bhpc_data[sku])),""),ROWS($A$15:A133)+$B$3))))),"")</f>
        <v>X0TRFW</v>
      </c>
      <c r="EF128" s="198" t="str" cm="1">
        <f t="array" ref="EF128">IFERROR(IF($EC$9="",IF($EC$11="",IF($EC$13="",INDEX(bhpc_data[description],SMALL(MATCH(ROW(bhpc_data[sku]),ROW(bhpc_data[sku])),ROWS($A$15:A133)+$B$3)),INDEX(bhpc_data[description],SMALL(IF(ISNUMBER(MATCH(bhpc_data[size1],$EC$13,0)),MATCH(ROW(bhpc_data[sku]),ROW(bhpc_data[sku])),""),ROWS($A$15:A133)+$B$3))),IF($EC$13="",INDEX(bhpc_data[description],SMALL(IF(ISNUMBER(MATCH(bhpc_data[sex],$EC$11,0)),MATCH(ROW(bhpc_data[sku]),ROW(bhpc_data[sku])),""),ROWS($A$15:A133)+$B$3)),INDEX(bhpc_data[description],SMALL(IF(ISNUMBER(MATCH(bhpc_data[sex],$EC$11,0)*MATCH(bhpc_data[size1],$EC$13,0)),MATCH(ROW(bhpc_data[sku]),ROW(bhpc_data[sku])),""),ROWS($A$15:A133)+$B$3)))),IF($EC$11="",IF($EC$13="",INDEX(bhpc_data[description],SMALL(IF(ISNUMBER(MATCH(bhpc_data[category],$EC$9,0)),MATCH(ROW(bhpc_data[sku]),ROW(bhpc_data[sku])),""),ROWS($A$15:A133)+$B$3)),INDEX(bhpc_data[description],SMALL(IF(ISNUMBER(MATCH(bhpc_data[category],$EC$9,0)*MATCH(bhpc_data[size1],$EC$13,0)),MATCH(ROW(bhpc_data[sku]),ROW(bhpc_data[sku])),""),ROWS($A$15:A133)+$B$3))),IF($EC$13="",INDEX(bhpc_data[description],SMALL(IF(ISNUMBER(MATCH(bhpc_data[category],$EC$9,0)*MATCH(bhpc_data[sex],$EC$11,0)),MATCH(ROW(bhpc_data[sku]),ROW(bhpc_data[sku])),""),ROWS($A$15:A133)+$B$3)),INDEX(bhpc_data[description],SMALL(IF(ISNUMBER(MATCH(bhpc_data[category],$EC$9,0)*MATCH(bhpc_data[sex],$EC$11,0)*MATCH(bhpc_data[size1],$EC$13,0)),MATCH(ROW(bhpc_data[sku]),ROW(bhpc_data[sku])),""),ROWS($A$15:A133)+$B$3))))),"")</f>
        <v>BHPC TRAY GIFT BOX WOMEN 50ML</v>
      </c>
      <c r="EG128" s="263" t="str">
        <f>IFERROR(IF(warehouse[[#This Row],[SKU]]="","",INDEX(inventory[ESISTENZA],MATCH(warehouse[[#This Row],[SKU]],inventory[ARTICOLO],0))),"")</f>
        <v/>
      </c>
      <c r="EH128" s="328"/>
      <c r="EI128" s="328"/>
      <c r="EJ128" s="263"/>
      <c r="EK128" s="329"/>
    </row>
    <row r="129" spans="63:141" x14ac:dyDescent="0.35">
      <c r="BK129" s="450"/>
      <c r="BL129" s="451"/>
      <c r="BM129" s="452"/>
      <c r="BN129" s="451"/>
      <c r="BO129" s="452"/>
      <c r="EE129" s="202" t="str" cm="1">
        <f t="array" ref="EE129">IFERROR(IF($EC$9="",IF($EC$11="",IF($EC$13="",INDEX(bhpc_data[sku],SMALL(MATCH(ROW(bhpc_data[sku]),ROW(bhpc_data[sku])),ROWS($A$15:A134)+$B$3)),INDEX(bhpc_data[sku],SMALL(IF(ISNUMBER(MATCH(bhpc_data[size1],$EC$13,0)),MATCH(ROW(bhpc_data[sku]),ROW(bhpc_data[sku])),""),ROWS($A$15:A134)+$B$3))),IF($EC$13="",INDEX(bhpc_data[sku],SMALL(IF(ISNUMBER(MATCH(bhpc_data[sex],$EC$11,0)),MATCH(ROW(bhpc_data[sku]),ROW(bhpc_data[sku])),""),ROWS($A$15:A134)+$B$3)),INDEX(bhpc_data[sku],SMALL(IF(ISNUMBER(MATCH(bhpc_data[sex],$EC$11,0)*MATCH(bhpc_data[size1],$EC$13,0)),MATCH(ROW(bhpc_data[sku]),ROW(bhpc_data[sku])),""),ROWS($A$15:A134)+$B$3)))),IF($EC$11="",IF($EC$13="",INDEX(bhpc_data[sku],SMALL(IF(ISNUMBER(MATCH(bhpc_data[category],$EC$9,0)),MATCH(ROW(bhpc_data[sku]),ROW(bhpc_data[sku])),""),ROWS($A$15:A134)+$B$3)),INDEX(bhpc_data[sku],SMALL(IF(ISNUMBER(MATCH(bhpc_data[category],$EC$9,0)*MATCH(bhpc_data[size1],$EC$13,0)),MATCH(ROW(bhpc_data[sku]),ROW(bhpc_data[sku])),""),ROWS($A$15:A134)+$B$3))),IF($EC$13="",INDEX(bhpc_data[sku],SMALL(IF(ISNUMBER(MATCH(bhpc_data[category],$EC$9,0)*MATCH(bhpc_data[sex],$EC$11,0)),MATCH(ROW(bhpc_data[sku]),ROW(bhpc_data[sku])),""),ROWS($A$15:A134)+$B$3)),INDEX(bhpc_data[sku],SMALL(IF(ISNUMBER(MATCH(bhpc_data[category],$EC$9,0)*MATCH(bhpc_data[sex],$EC$11,0)*MATCH(bhpc_data[size1],$EC$13,0)),MATCH(ROW(bhpc_data[sku]),ROW(bhpc_data[sku])),""),ROWS($A$15:A134)+$B$3))))),"")</f>
        <v>X1TRFM</v>
      </c>
      <c r="EF129" s="198" t="str" cm="1">
        <f t="array" ref="EF129">IFERROR(IF($EC$9="",IF($EC$11="",IF($EC$13="",INDEX(bhpc_data[description],SMALL(MATCH(ROW(bhpc_data[sku]),ROW(bhpc_data[sku])),ROWS($A$15:A134)+$B$3)),INDEX(bhpc_data[description],SMALL(IF(ISNUMBER(MATCH(bhpc_data[size1],$EC$13,0)),MATCH(ROW(bhpc_data[sku]),ROW(bhpc_data[sku])),""),ROWS($A$15:A134)+$B$3))),IF($EC$13="",INDEX(bhpc_data[description],SMALL(IF(ISNUMBER(MATCH(bhpc_data[sex],$EC$11,0)),MATCH(ROW(bhpc_data[sku]),ROW(bhpc_data[sku])),""),ROWS($A$15:A134)+$B$3)),INDEX(bhpc_data[description],SMALL(IF(ISNUMBER(MATCH(bhpc_data[sex],$EC$11,0)*MATCH(bhpc_data[size1],$EC$13,0)),MATCH(ROW(bhpc_data[sku]),ROW(bhpc_data[sku])),""),ROWS($A$15:A134)+$B$3)))),IF($EC$11="",IF($EC$13="",INDEX(bhpc_data[description],SMALL(IF(ISNUMBER(MATCH(bhpc_data[category],$EC$9,0)),MATCH(ROW(bhpc_data[sku]),ROW(bhpc_data[sku])),""),ROWS($A$15:A134)+$B$3)),INDEX(bhpc_data[description],SMALL(IF(ISNUMBER(MATCH(bhpc_data[category],$EC$9,0)*MATCH(bhpc_data[size1],$EC$13,0)),MATCH(ROW(bhpc_data[sku]),ROW(bhpc_data[sku])),""),ROWS($A$15:A134)+$B$3))),IF($EC$13="",INDEX(bhpc_data[description],SMALL(IF(ISNUMBER(MATCH(bhpc_data[category],$EC$9,0)*MATCH(bhpc_data[sex],$EC$11,0)),MATCH(ROW(bhpc_data[sku]),ROW(bhpc_data[sku])),""),ROWS($A$15:A134)+$B$3)),INDEX(bhpc_data[description],SMALL(IF(ISNUMBER(MATCH(bhpc_data[category],$EC$9,0)*MATCH(bhpc_data[sex],$EC$11,0)*MATCH(bhpc_data[size1],$EC$13,0)),MATCH(ROW(bhpc_data[sku]),ROW(bhpc_data[sku])),""),ROWS($A$15:A134)+$B$3))))),"")</f>
        <v>BHPC TRAY GIFT BOX MEN 100ML</v>
      </c>
      <c r="EG129" s="263" t="str">
        <f>IFERROR(IF(warehouse[[#This Row],[SKU]]="","",INDEX(inventory[ESISTENZA],MATCH(warehouse[[#This Row],[SKU]],inventory[ARTICOLO],0))),"")</f>
        <v/>
      </c>
      <c r="EH129" s="328"/>
      <c r="EI129" s="328"/>
      <c r="EJ129" s="263"/>
      <c r="EK129" s="329"/>
    </row>
    <row r="130" spans="63:141" x14ac:dyDescent="0.35">
      <c r="BK130" s="450"/>
      <c r="BL130" s="451"/>
      <c r="BM130" s="452"/>
      <c r="BN130" s="451"/>
      <c r="BO130" s="452"/>
      <c r="EE130" s="202" t="str" cm="1">
        <f t="array" ref="EE130">IFERROR(IF($EC$9="",IF($EC$11="",IF($EC$13="",INDEX(bhpc_data[sku],SMALL(MATCH(ROW(bhpc_data[sku]),ROW(bhpc_data[sku])),ROWS($A$15:A135)+$B$3)),INDEX(bhpc_data[sku],SMALL(IF(ISNUMBER(MATCH(bhpc_data[size1],$EC$13,0)),MATCH(ROW(bhpc_data[sku]),ROW(bhpc_data[sku])),""),ROWS($A$15:A135)+$B$3))),IF($EC$13="",INDEX(bhpc_data[sku],SMALL(IF(ISNUMBER(MATCH(bhpc_data[sex],$EC$11,0)),MATCH(ROW(bhpc_data[sku]),ROW(bhpc_data[sku])),""),ROWS($A$15:A135)+$B$3)),INDEX(bhpc_data[sku],SMALL(IF(ISNUMBER(MATCH(bhpc_data[sex],$EC$11,0)*MATCH(bhpc_data[size1],$EC$13,0)),MATCH(ROW(bhpc_data[sku]),ROW(bhpc_data[sku])),""),ROWS($A$15:A135)+$B$3)))),IF($EC$11="",IF($EC$13="",INDEX(bhpc_data[sku],SMALL(IF(ISNUMBER(MATCH(bhpc_data[category],$EC$9,0)),MATCH(ROW(bhpc_data[sku]),ROW(bhpc_data[sku])),""),ROWS($A$15:A135)+$B$3)),INDEX(bhpc_data[sku],SMALL(IF(ISNUMBER(MATCH(bhpc_data[category],$EC$9,0)*MATCH(bhpc_data[size1],$EC$13,0)),MATCH(ROW(bhpc_data[sku]),ROW(bhpc_data[sku])),""),ROWS($A$15:A135)+$B$3))),IF($EC$13="",INDEX(bhpc_data[sku],SMALL(IF(ISNUMBER(MATCH(bhpc_data[category],$EC$9,0)*MATCH(bhpc_data[sex],$EC$11,0)),MATCH(ROW(bhpc_data[sku]),ROW(bhpc_data[sku])),""),ROWS($A$15:A135)+$B$3)),INDEX(bhpc_data[sku],SMALL(IF(ISNUMBER(MATCH(bhpc_data[category],$EC$9,0)*MATCH(bhpc_data[sex],$EC$11,0)*MATCH(bhpc_data[size1],$EC$13,0)),MATCH(ROW(bhpc_data[sku]),ROW(bhpc_data[sku])),""),ROWS($A$15:A135)+$B$3))))),"")</f>
        <v>X1TRFW</v>
      </c>
      <c r="EF130" s="198" t="str" cm="1">
        <f t="array" ref="EF130">IFERROR(IF($EC$9="",IF($EC$11="",IF($EC$13="",INDEX(bhpc_data[description],SMALL(MATCH(ROW(bhpc_data[sku]),ROW(bhpc_data[sku])),ROWS($A$15:A135)+$B$3)),INDEX(bhpc_data[description],SMALL(IF(ISNUMBER(MATCH(bhpc_data[size1],$EC$13,0)),MATCH(ROW(bhpc_data[sku]),ROW(bhpc_data[sku])),""),ROWS($A$15:A135)+$B$3))),IF($EC$13="",INDEX(bhpc_data[description],SMALL(IF(ISNUMBER(MATCH(bhpc_data[sex],$EC$11,0)),MATCH(ROW(bhpc_data[sku]),ROW(bhpc_data[sku])),""),ROWS($A$15:A135)+$B$3)),INDEX(bhpc_data[description],SMALL(IF(ISNUMBER(MATCH(bhpc_data[sex],$EC$11,0)*MATCH(bhpc_data[size1],$EC$13,0)),MATCH(ROW(bhpc_data[sku]),ROW(bhpc_data[sku])),""),ROWS($A$15:A135)+$B$3)))),IF($EC$11="",IF($EC$13="",INDEX(bhpc_data[description],SMALL(IF(ISNUMBER(MATCH(bhpc_data[category],$EC$9,0)),MATCH(ROW(bhpc_data[sku]),ROW(bhpc_data[sku])),""),ROWS($A$15:A135)+$B$3)),INDEX(bhpc_data[description],SMALL(IF(ISNUMBER(MATCH(bhpc_data[category],$EC$9,0)*MATCH(bhpc_data[size1],$EC$13,0)),MATCH(ROW(bhpc_data[sku]),ROW(bhpc_data[sku])),""),ROWS($A$15:A135)+$B$3))),IF($EC$13="",INDEX(bhpc_data[description],SMALL(IF(ISNUMBER(MATCH(bhpc_data[category],$EC$9,0)*MATCH(bhpc_data[sex],$EC$11,0)),MATCH(ROW(bhpc_data[sku]),ROW(bhpc_data[sku])),""),ROWS($A$15:A135)+$B$3)),INDEX(bhpc_data[description],SMALL(IF(ISNUMBER(MATCH(bhpc_data[category],$EC$9,0)*MATCH(bhpc_data[sex],$EC$11,0)*MATCH(bhpc_data[size1],$EC$13,0)),MATCH(ROW(bhpc_data[sku]),ROW(bhpc_data[sku])),""),ROWS($A$15:A135)+$B$3))))),"")</f>
        <v>BHPC TRAY GIFT BOX WOMEN 100ML</v>
      </c>
      <c r="EG130" s="263" t="str">
        <f>IFERROR(IF(warehouse[[#This Row],[SKU]]="","",INDEX(inventory[ESISTENZA],MATCH(warehouse[[#This Row],[SKU]],inventory[ARTICOLO],0))),"")</f>
        <v/>
      </c>
      <c r="EH130" s="328"/>
      <c r="EI130" s="328"/>
      <c r="EJ130" s="263"/>
      <c r="EK130" s="329"/>
    </row>
    <row r="131" spans="63:141" x14ac:dyDescent="0.35">
      <c r="BK131" s="450"/>
      <c r="BL131" s="451"/>
      <c r="BM131" s="452"/>
      <c r="BN131" s="451"/>
      <c r="BO131" s="452"/>
      <c r="EE131" s="202" t="str" cm="1">
        <f t="array" ref="EE131">IFERROR(IF($EC$9="",IF($EC$11="",IF($EC$13="",INDEX(bhpc_data[sku],SMALL(MATCH(ROW(bhpc_data[sku]),ROW(bhpc_data[sku])),ROWS($A$15:A136)+$B$3)),INDEX(bhpc_data[sku],SMALL(IF(ISNUMBER(MATCH(bhpc_data[size1],$EC$13,0)),MATCH(ROW(bhpc_data[sku]),ROW(bhpc_data[sku])),""),ROWS($A$15:A136)+$B$3))),IF($EC$13="",INDEX(bhpc_data[sku],SMALL(IF(ISNUMBER(MATCH(bhpc_data[sex],$EC$11,0)),MATCH(ROW(bhpc_data[sku]),ROW(bhpc_data[sku])),""),ROWS($A$15:A136)+$B$3)),INDEX(bhpc_data[sku],SMALL(IF(ISNUMBER(MATCH(bhpc_data[sex],$EC$11,0)*MATCH(bhpc_data[size1],$EC$13,0)),MATCH(ROW(bhpc_data[sku]),ROW(bhpc_data[sku])),""),ROWS($A$15:A136)+$B$3)))),IF($EC$11="",IF($EC$13="",INDEX(bhpc_data[sku],SMALL(IF(ISNUMBER(MATCH(bhpc_data[category],$EC$9,0)),MATCH(ROW(bhpc_data[sku]),ROW(bhpc_data[sku])),""),ROWS($A$15:A136)+$B$3)),INDEX(bhpc_data[sku],SMALL(IF(ISNUMBER(MATCH(bhpc_data[category],$EC$9,0)*MATCH(bhpc_data[size1],$EC$13,0)),MATCH(ROW(bhpc_data[sku]),ROW(bhpc_data[sku])),""),ROWS($A$15:A136)+$B$3))),IF($EC$13="",INDEX(bhpc_data[sku],SMALL(IF(ISNUMBER(MATCH(bhpc_data[category],$EC$9,0)*MATCH(bhpc_data[sex],$EC$11,0)),MATCH(ROW(bhpc_data[sku]),ROW(bhpc_data[sku])),""),ROWS($A$15:A136)+$B$3)),INDEX(bhpc_data[sku],SMALL(IF(ISNUMBER(MATCH(bhpc_data[category],$EC$9,0)*MATCH(bhpc_data[sex],$EC$11,0)*MATCH(bhpc_data[size1],$EC$13,0)),MATCH(ROW(bhpc_data[sku]),ROW(bhpc_data[sku])),""),ROWS($A$15:A136)+$B$3))))),"")</f>
        <v>Y00001</v>
      </c>
      <c r="EF131" s="198" t="str" cm="1">
        <f t="array" ref="EF131">IFERROR(IF($EC$9="",IF($EC$11="",IF($EC$13="",INDEX(bhpc_data[description],SMALL(MATCH(ROW(bhpc_data[sku]),ROW(bhpc_data[sku])),ROWS($A$15:A136)+$B$3)),INDEX(bhpc_data[description],SMALL(IF(ISNUMBER(MATCH(bhpc_data[size1],$EC$13,0)),MATCH(ROW(bhpc_data[sku]),ROW(bhpc_data[sku])),""),ROWS($A$15:A136)+$B$3))),IF($EC$13="",INDEX(bhpc_data[description],SMALL(IF(ISNUMBER(MATCH(bhpc_data[sex],$EC$11,0)),MATCH(ROW(bhpc_data[sku]),ROW(bhpc_data[sku])),""),ROWS($A$15:A136)+$B$3)),INDEX(bhpc_data[description],SMALL(IF(ISNUMBER(MATCH(bhpc_data[sex],$EC$11,0)*MATCH(bhpc_data[size1],$EC$13,0)),MATCH(ROW(bhpc_data[sku]),ROW(bhpc_data[sku])),""),ROWS($A$15:A136)+$B$3)))),IF($EC$11="",IF($EC$13="",INDEX(bhpc_data[description],SMALL(IF(ISNUMBER(MATCH(bhpc_data[category],$EC$9,0)),MATCH(ROW(bhpc_data[sku]),ROW(bhpc_data[sku])),""),ROWS($A$15:A136)+$B$3)),INDEX(bhpc_data[description],SMALL(IF(ISNUMBER(MATCH(bhpc_data[category],$EC$9,0)*MATCH(bhpc_data[size1],$EC$13,0)),MATCH(ROW(bhpc_data[sku]),ROW(bhpc_data[sku])),""),ROWS($A$15:A136)+$B$3))),IF($EC$13="",INDEX(bhpc_data[description],SMALL(IF(ISNUMBER(MATCH(bhpc_data[category],$EC$9,0)*MATCH(bhpc_data[sex],$EC$11,0)),MATCH(ROW(bhpc_data[sku]),ROW(bhpc_data[sku])),""),ROWS($A$15:A136)+$B$3)),INDEX(bhpc_data[description],SMALL(IF(ISNUMBER(MATCH(bhpc_data[category],$EC$9,0)*MATCH(bhpc_data[sex],$EC$11,0)*MATCH(bhpc_data[size1],$EC$13,0)),MATCH(ROW(bhpc_data[sku]),ROW(bhpc_data[sku])),""),ROWS($A$15:A136)+$B$3))))),"")</f>
        <v>YA2302A BHPC SUNGLASSES RUBB. BLACK / SOLID GREY</v>
      </c>
      <c r="EG131" s="263" t="str">
        <f>IFERROR(IF(warehouse[[#This Row],[SKU]]="","",INDEX(inventory[ESISTENZA],MATCH(warehouse[[#This Row],[SKU]],inventory[ARTICOLO],0))),"")</f>
        <v/>
      </c>
      <c r="EH131" s="328"/>
      <c r="EI131" s="328"/>
      <c r="EJ131" s="263"/>
      <c r="EK131" s="329"/>
    </row>
    <row r="132" spans="63:141" x14ac:dyDescent="0.35">
      <c r="BK132" s="450"/>
      <c r="BL132" s="451"/>
      <c r="BM132" s="452"/>
      <c r="BN132" s="451"/>
      <c r="BO132" s="452"/>
      <c r="EE132" s="202" t="str" cm="1">
        <f t="array" ref="EE132">IFERROR(IF($EC$9="",IF($EC$11="",IF($EC$13="",INDEX(bhpc_data[sku],SMALL(MATCH(ROW(bhpc_data[sku]),ROW(bhpc_data[sku])),ROWS($A$15:A137)+$B$3)),INDEX(bhpc_data[sku],SMALL(IF(ISNUMBER(MATCH(bhpc_data[size1],$EC$13,0)),MATCH(ROW(bhpc_data[sku]),ROW(bhpc_data[sku])),""),ROWS($A$15:A137)+$B$3))),IF($EC$13="",INDEX(bhpc_data[sku],SMALL(IF(ISNUMBER(MATCH(bhpc_data[sex],$EC$11,0)),MATCH(ROW(bhpc_data[sku]),ROW(bhpc_data[sku])),""),ROWS($A$15:A137)+$B$3)),INDEX(bhpc_data[sku],SMALL(IF(ISNUMBER(MATCH(bhpc_data[sex],$EC$11,0)*MATCH(bhpc_data[size1],$EC$13,0)),MATCH(ROW(bhpc_data[sku]),ROW(bhpc_data[sku])),""),ROWS($A$15:A137)+$B$3)))),IF($EC$11="",IF($EC$13="",INDEX(bhpc_data[sku],SMALL(IF(ISNUMBER(MATCH(bhpc_data[category],$EC$9,0)),MATCH(ROW(bhpc_data[sku]),ROW(bhpc_data[sku])),""),ROWS($A$15:A137)+$B$3)),INDEX(bhpc_data[sku],SMALL(IF(ISNUMBER(MATCH(bhpc_data[category],$EC$9,0)*MATCH(bhpc_data[size1],$EC$13,0)),MATCH(ROW(bhpc_data[sku]),ROW(bhpc_data[sku])),""),ROWS($A$15:A137)+$B$3))),IF($EC$13="",INDEX(bhpc_data[sku],SMALL(IF(ISNUMBER(MATCH(bhpc_data[category],$EC$9,0)*MATCH(bhpc_data[sex],$EC$11,0)),MATCH(ROW(bhpc_data[sku]),ROW(bhpc_data[sku])),""),ROWS($A$15:A137)+$B$3)),INDEX(bhpc_data[sku],SMALL(IF(ISNUMBER(MATCH(bhpc_data[category],$EC$9,0)*MATCH(bhpc_data[sex],$EC$11,0)*MATCH(bhpc_data[size1],$EC$13,0)),MATCH(ROW(bhpc_data[sku]),ROW(bhpc_data[sku])),""),ROWS($A$15:A137)+$B$3))))),"")</f>
        <v>Y00002</v>
      </c>
      <c r="EF132" s="198" t="str" cm="1">
        <f t="array" ref="EF132">IFERROR(IF($EC$9="",IF($EC$11="",IF($EC$13="",INDEX(bhpc_data[description],SMALL(MATCH(ROW(bhpc_data[sku]),ROW(bhpc_data[sku])),ROWS($A$15:A137)+$B$3)),INDEX(bhpc_data[description],SMALL(IF(ISNUMBER(MATCH(bhpc_data[size1],$EC$13,0)),MATCH(ROW(bhpc_data[sku]),ROW(bhpc_data[sku])),""),ROWS($A$15:A137)+$B$3))),IF($EC$13="",INDEX(bhpc_data[description],SMALL(IF(ISNUMBER(MATCH(bhpc_data[sex],$EC$11,0)),MATCH(ROW(bhpc_data[sku]),ROW(bhpc_data[sku])),""),ROWS($A$15:A137)+$B$3)),INDEX(bhpc_data[description],SMALL(IF(ISNUMBER(MATCH(bhpc_data[sex],$EC$11,0)*MATCH(bhpc_data[size1],$EC$13,0)),MATCH(ROW(bhpc_data[sku]),ROW(bhpc_data[sku])),""),ROWS($A$15:A137)+$B$3)))),IF($EC$11="",IF($EC$13="",INDEX(bhpc_data[description],SMALL(IF(ISNUMBER(MATCH(bhpc_data[category],$EC$9,0)),MATCH(ROW(bhpc_data[sku]),ROW(bhpc_data[sku])),""),ROWS($A$15:A137)+$B$3)),INDEX(bhpc_data[description],SMALL(IF(ISNUMBER(MATCH(bhpc_data[category],$EC$9,0)*MATCH(bhpc_data[size1],$EC$13,0)),MATCH(ROW(bhpc_data[sku]),ROW(bhpc_data[sku])),""),ROWS($A$15:A137)+$B$3))),IF($EC$13="",INDEX(bhpc_data[description],SMALL(IF(ISNUMBER(MATCH(bhpc_data[category],$EC$9,0)*MATCH(bhpc_data[sex],$EC$11,0)),MATCH(ROW(bhpc_data[sku]),ROW(bhpc_data[sku])),""),ROWS($A$15:A137)+$B$3)),INDEX(bhpc_data[description],SMALL(IF(ISNUMBER(MATCH(bhpc_data[category],$EC$9,0)*MATCH(bhpc_data[sex],$EC$11,0)*MATCH(bhpc_data[size1],$EC$13,0)),MATCH(ROW(bhpc_data[sku]),ROW(bhpc_data[sku])),""),ROWS($A$15:A137)+$B$3))))),"")</f>
        <v>YA2302B BHPC SUNGLASSES RUBB. BLUE/ SOLID SMOKE</v>
      </c>
      <c r="EG132" s="263" t="str">
        <f>IFERROR(IF(warehouse[[#This Row],[SKU]]="","",INDEX(inventory[ESISTENZA],MATCH(warehouse[[#This Row],[SKU]],inventory[ARTICOLO],0))),"")</f>
        <v/>
      </c>
      <c r="EH132" s="328"/>
      <c r="EI132" s="328"/>
      <c r="EJ132" s="263"/>
      <c r="EK132" s="329"/>
    </row>
    <row r="133" spans="63:141" x14ac:dyDescent="0.35">
      <c r="BK133" s="450"/>
      <c r="BL133" s="451"/>
      <c r="BM133" s="452"/>
      <c r="BN133" s="451"/>
      <c r="BO133" s="452"/>
      <c r="EE133" s="202" t="str" cm="1">
        <f t="array" ref="EE133">IFERROR(IF($EC$9="",IF($EC$11="",IF($EC$13="",INDEX(bhpc_data[sku],SMALL(MATCH(ROW(bhpc_data[sku]),ROW(bhpc_data[sku])),ROWS($A$15:A138)+$B$3)),INDEX(bhpc_data[sku],SMALL(IF(ISNUMBER(MATCH(bhpc_data[size1],$EC$13,0)),MATCH(ROW(bhpc_data[sku]),ROW(bhpc_data[sku])),""),ROWS($A$15:A138)+$B$3))),IF($EC$13="",INDEX(bhpc_data[sku],SMALL(IF(ISNUMBER(MATCH(bhpc_data[sex],$EC$11,0)),MATCH(ROW(bhpc_data[sku]),ROW(bhpc_data[sku])),""),ROWS($A$15:A138)+$B$3)),INDEX(bhpc_data[sku],SMALL(IF(ISNUMBER(MATCH(bhpc_data[sex],$EC$11,0)*MATCH(bhpc_data[size1],$EC$13,0)),MATCH(ROW(bhpc_data[sku]),ROW(bhpc_data[sku])),""),ROWS($A$15:A138)+$B$3)))),IF($EC$11="",IF($EC$13="",INDEX(bhpc_data[sku],SMALL(IF(ISNUMBER(MATCH(bhpc_data[category],$EC$9,0)),MATCH(ROW(bhpc_data[sku]),ROW(bhpc_data[sku])),""),ROWS($A$15:A138)+$B$3)),INDEX(bhpc_data[sku],SMALL(IF(ISNUMBER(MATCH(bhpc_data[category],$EC$9,0)*MATCH(bhpc_data[size1],$EC$13,0)),MATCH(ROW(bhpc_data[sku]),ROW(bhpc_data[sku])),""),ROWS($A$15:A138)+$B$3))),IF($EC$13="",INDEX(bhpc_data[sku],SMALL(IF(ISNUMBER(MATCH(bhpc_data[category],$EC$9,0)*MATCH(bhpc_data[sex],$EC$11,0)),MATCH(ROW(bhpc_data[sku]),ROW(bhpc_data[sku])),""),ROWS($A$15:A138)+$B$3)),INDEX(bhpc_data[sku],SMALL(IF(ISNUMBER(MATCH(bhpc_data[category],$EC$9,0)*MATCH(bhpc_data[sex],$EC$11,0)*MATCH(bhpc_data[size1],$EC$13,0)),MATCH(ROW(bhpc_data[sku]),ROW(bhpc_data[sku])),""),ROWS($A$15:A138)+$B$3))))),"")</f>
        <v>Y00003</v>
      </c>
      <c r="EF133" s="198" t="str" cm="1">
        <f t="array" ref="EF133">IFERROR(IF($EC$9="",IF($EC$11="",IF($EC$13="",INDEX(bhpc_data[description],SMALL(MATCH(ROW(bhpc_data[sku]),ROW(bhpc_data[sku])),ROWS($A$15:A138)+$B$3)),INDEX(bhpc_data[description],SMALL(IF(ISNUMBER(MATCH(bhpc_data[size1],$EC$13,0)),MATCH(ROW(bhpc_data[sku]),ROW(bhpc_data[sku])),""),ROWS($A$15:A138)+$B$3))),IF($EC$13="",INDEX(bhpc_data[description],SMALL(IF(ISNUMBER(MATCH(bhpc_data[sex],$EC$11,0)),MATCH(ROW(bhpc_data[sku]),ROW(bhpc_data[sku])),""),ROWS($A$15:A138)+$B$3)),INDEX(bhpc_data[description],SMALL(IF(ISNUMBER(MATCH(bhpc_data[sex],$EC$11,0)*MATCH(bhpc_data[size1],$EC$13,0)),MATCH(ROW(bhpc_data[sku]),ROW(bhpc_data[sku])),""),ROWS($A$15:A138)+$B$3)))),IF($EC$11="",IF($EC$13="",INDEX(bhpc_data[description],SMALL(IF(ISNUMBER(MATCH(bhpc_data[category],$EC$9,0)),MATCH(ROW(bhpc_data[sku]),ROW(bhpc_data[sku])),""),ROWS($A$15:A138)+$B$3)),INDEX(bhpc_data[description],SMALL(IF(ISNUMBER(MATCH(bhpc_data[category],$EC$9,0)*MATCH(bhpc_data[size1],$EC$13,0)),MATCH(ROW(bhpc_data[sku]),ROW(bhpc_data[sku])),""),ROWS($A$15:A138)+$B$3))),IF($EC$13="",INDEX(bhpc_data[description],SMALL(IF(ISNUMBER(MATCH(bhpc_data[category],$EC$9,0)*MATCH(bhpc_data[sex],$EC$11,0)),MATCH(ROW(bhpc_data[sku]),ROW(bhpc_data[sku])),""),ROWS($A$15:A138)+$B$3)),INDEX(bhpc_data[description],SMALL(IF(ISNUMBER(MATCH(bhpc_data[category],$EC$9,0)*MATCH(bhpc_data[sex],$EC$11,0)*MATCH(bhpc_data[size1],$EC$13,0)),MATCH(ROW(bhpc_data[sku]),ROW(bhpc_data[sku])),""),ROWS($A$15:A138)+$B$3))))),"")</f>
        <v>YA2302C BHPC SUNGLASSES RUBB. BLACK / MIRROR ICY</v>
      </c>
      <c r="EG133" s="263" t="str">
        <f>IFERROR(IF(warehouse[[#This Row],[SKU]]="","",INDEX(inventory[ESISTENZA],MATCH(warehouse[[#This Row],[SKU]],inventory[ARTICOLO],0))),"")</f>
        <v/>
      </c>
      <c r="EH133" s="328"/>
      <c r="EI133" s="328"/>
      <c r="EJ133" s="263"/>
      <c r="EK133" s="329"/>
    </row>
    <row r="134" spans="63:141" x14ac:dyDescent="0.35">
      <c r="BK134" s="450"/>
      <c r="BL134" s="451"/>
      <c r="BM134" s="452"/>
      <c r="BN134" s="451"/>
      <c r="BO134" s="452"/>
      <c r="EE134" s="202" t="str" cm="1">
        <f t="array" ref="EE134">IFERROR(IF($EC$9="",IF($EC$11="",IF($EC$13="",INDEX(bhpc_data[sku],SMALL(MATCH(ROW(bhpc_data[sku]),ROW(bhpc_data[sku])),ROWS($A$15:A139)+$B$3)),INDEX(bhpc_data[sku],SMALL(IF(ISNUMBER(MATCH(bhpc_data[size1],$EC$13,0)),MATCH(ROW(bhpc_data[sku]),ROW(bhpc_data[sku])),""),ROWS($A$15:A139)+$B$3))),IF($EC$13="",INDEX(bhpc_data[sku],SMALL(IF(ISNUMBER(MATCH(bhpc_data[sex],$EC$11,0)),MATCH(ROW(bhpc_data[sku]),ROW(bhpc_data[sku])),""),ROWS($A$15:A139)+$B$3)),INDEX(bhpc_data[sku],SMALL(IF(ISNUMBER(MATCH(bhpc_data[sex],$EC$11,0)*MATCH(bhpc_data[size1],$EC$13,0)),MATCH(ROW(bhpc_data[sku]),ROW(bhpc_data[sku])),""),ROWS($A$15:A139)+$B$3)))),IF($EC$11="",IF($EC$13="",INDEX(bhpc_data[sku],SMALL(IF(ISNUMBER(MATCH(bhpc_data[category],$EC$9,0)),MATCH(ROW(bhpc_data[sku]),ROW(bhpc_data[sku])),""),ROWS($A$15:A139)+$B$3)),INDEX(bhpc_data[sku],SMALL(IF(ISNUMBER(MATCH(bhpc_data[category],$EC$9,0)*MATCH(bhpc_data[size1],$EC$13,0)),MATCH(ROW(bhpc_data[sku]),ROW(bhpc_data[sku])),""),ROWS($A$15:A139)+$B$3))),IF($EC$13="",INDEX(bhpc_data[sku],SMALL(IF(ISNUMBER(MATCH(bhpc_data[category],$EC$9,0)*MATCH(bhpc_data[sex],$EC$11,0)),MATCH(ROW(bhpc_data[sku]),ROW(bhpc_data[sku])),""),ROWS($A$15:A139)+$B$3)),INDEX(bhpc_data[sku],SMALL(IF(ISNUMBER(MATCH(bhpc_data[category],$EC$9,0)*MATCH(bhpc_data[sex],$EC$11,0)*MATCH(bhpc_data[size1],$EC$13,0)),MATCH(ROW(bhpc_data[sku]),ROW(bhpc_data[sku])),""),ROWS($A$15:A139)+$B$3))))),"")</f>
        <v>Y00004</v>
      </c>
      <c r="EF134" s="198" t="str" cm="1">
        <f t="array" ref="EF134">IFERROR(IF($EC$9="",IF($EC$11="",IF($EC$13="",INDEX(bhpc_data[description],SMALL(MATCH(ROW(bhpc_data[sku]),ROW(bhpc_data[sku])),ROWS($A$15:A139)+$B$3)),INDEX(bhpc_data[description],SMALL(IF(ISNUMBER(MATCH(bhpc_data[size1],$EC$13,0)),MATCH(ROW(bhpc_data[sku]),ROW(bhpc_data[sku])),""),ROWS($A$15:A139)+$B$3))),IF($EC$13="",INDEX(bhpc_data[description],SMALL(IF(ISNUMBER(MATCH(bhpc_data[sex],$EC$11,0)),MATCH(ROW(bhpc_data[sku]),ROW(bhpc_data[sku])),""),ROWS($A$15:A139)+$B$3)),INDEX(bhpc_data[description],SMALL(IF(ISNUMBER(MATCH(bhpc_data[sex],$EC$11,0)*MATCH(bhpc_data[size1],$EC$13,0)),MATCH(ROW(bhpc_data[sku]),ROW(bhpc_data[sku])),""),ROWS($A$15:A139)+$B$3)))),IF($EC$11="",IF($EC$13="",INDEX(bhpc_data[description],SMALL(IF(ISNUMBER(MATCH(bhpc_data[category],$EC$9,0)),MATCH(ROW(bhpc_data[sku]),ROW(bhpc_data[sku])),""),ROWS($A$15:A139)+$B$3)),INDEX(bhpc_data[description],SMALL(IF(ISNUMBER(MATCH(bhpc_data[category],$EC$9,0)*MATCH(bhpc_data[size1],$EC$13,0)),MATCH(ROW(bhpc_data[sku]),ROW(bhpc_data[sku])),""),ROWS($A$15:A139)+$B$3))),IF($EC$13="",INDEX(bhpc_data[description],SMALL(IF(ISNUMBER(MATCH(bhpc_data[category],$EC$9,0)*MATCH(bhpc_data[sex],$EC$11,0)),MATCH(ROW(bhpc_data[sku]),ROW(bhpc_data[sku])),""),ROWS($A$15:A139)+$B$3)),INDEX(bhpc_data[description],SMALL(IF(ISNUMBER(MATCH(bhpc_data[category],$EC$9,0)*MATCH(bhpc_data[sex],$EC$11,0)*MATCH(bhpc_data[size1],$EC$13,0)),MATCH(ROW(bhpc_data[sku]),ROW(bhpc_data[sku])),""),ROWS($A$15:A139)+$B$3))))),"")</f>
        <v>YB2310A BHPC SUNGLASSES MATT BLACK/SILVER /SOLID GREE</v>
      </c>
      <c r="EG134" s="263" t="str">
        <f>IFERROR(IF(warehouse[[#This Row],[SKU]]="","",INDEX(inventory[ESISTENZA],MATCH(warehouse[[#This Row],[SKU]],inventory[ARTICOLO],0))),"")</f>
        <v/>
      </c>
      <c r="EH134" s="328"/>
      <c r="EI134" s="328"/>
      <c r="EJ134" s="263"/>
      <c r="EK134" s="329"/>
    </row>
    <row r="135" spans="63:141" x14ac:dyDescent="0.35">
      <c r="BK135" s="450"/>
      <c r="BL135" s="451"/>
      <c r="BM135" s="452"/>
      <c r="BN135" s="451"/>
      <c r="BO135" s="452"/>
      <c r="EE135" s="202" t="str" cm="1">
        <f t="array" ref="EE135">IFERROR(IF($EC$9="",IF($EC$11="",IF($EC$13="",INDEX(bhpc_data[sku],SMALL(MATCH(ROW(bhpc_data[sku]),ROW(bhpc_data[sku])),ROWS($A$15:A140)+$B$3)),INDEX(bhpc_data[sku],SMALL(IF(ISNUMBER(MATCH(bhpc_data[size1],$EC$13,0)),MATCH(ROW(bhpc_data[sku]),ROW(bhpc_data[sku])),""),ROWS($A$15:A140)+$B$3))),IF($EC$13="",INDEX(bhpc_data[sku],SMALL(IF(ISNUMBER(MATCH(bhpc_data[sex],$EC$11,0)),MATCH(ROW(bhpc_data[sku]),ROW(bhpc_data[sku])),""),ROWS($A$15:A140)+$B$3)),INDEX(bhpc_data[sku],SMALL(IF(ISNUMBER(MATCH(bhpc_data[sex],$EC$11,0)*MATCH(bhpc_data[size1],$EC$13,0)),MATCH(ROW(bhpc_data[sku]),ROW(bhpc_data[sku])),""),ROWS($A$15:A140)+$B$3)))),IF($EC$11="",IF($EC$13="",INDEX(bhpc_data[sku],SMALL(IF(ISNUMBER(MATCH(bhpc_data[category],$EC$9,0)),MATCH(ROW(bhpc_data[sku]),ROW(bhpc_data[sku])),""),ROWS($A$15:A140)+$B$3)),INDEX(bhpc_data[sku],SMALL(IF(ISNUMBER(MATCH(bhpc_data[category],$EC$9,0)*MATCH(bhpc_data[size1],$EC$13,0)),MATCH(ROW(bhpc_data[sku]),ROW(bhpc_data[sku])),""),ROWS($A$15:A140)+$B$3))),IF($EC$13="",INDEX(bhpc_data[sku],SMALL(IF(ISNUMBER(MATCH(bhpc_data[category],$EC$9,0)*MATCH(bhpc_data[sex],$EC$11,0)),MATCH(ROW(bhpc_data[sku]),ROW(bhpc_data[sku])),""),ROWS($A$15:A140)+$B$3)),INDEX(bhpc_data[sku],SMALL(IF(ISNUMBER(MATCH(bhpc_data[category],$EC$9,0)*MATCH(bhpc_data[sex],$EC$11,0)*MATCH(bhpc_data[size1],$EC$13,0)),MATCH(ROW(bhpc_data[sku]),ROW(bhpc_data[sku])),""),ROWS($A$15:A140)+$B$3))))),"")</f>
        <v>Y00005</v>
      </c>
      <c r="EF135" s="198" t="str" cm="1">
        <f t="array" ref="EF135">IFERROR(IF($EC$9="",IF($EC$11="",IF($EC$13="",INDEX(bhpc_data[description],SMALL(MATCH(ROW(bhpc_data[sku]),ROW(bhpc_data[sku])),ROWS($A$15:A140)+$B$3)),INDEX(bhpc_data[description],SMALL(IF(ISNUMBER(MATCH(bhpc_data[size1],$EC$13,0)),MATCH(ROW(bhpc_data[sku]),ROW(bhpc_data[sku])),""),ROWS($A$15:A140)+$B$3))),IF($EC$13="",INDEX(bhpc_data[description],SMALL(IF(ISNUMBER(MATCH(bhpc_data[sex],$EC$11,0)),MATCH(ROW(bhpc_data[sku]),ROW(bhpc_data[sku])),""),ROWS($A$15:A140)+$B$3)),INDEX(bhpc_data[description],SMALL(IF(ISNUMBER(MATCH(bhpc_data[sex],$EC$11,0)*MATCH(bhpc_data[size1],$EC$13,0)),MATCH(ROW(bhpc_data[sku]),ROW(bhpc_data[sku])),""),ROWS($A$15:A140)+$B$3)))),IF($EC$11="",IF($EC$13="",INDEX(bhpc_data[description],SMALL(IF(ISNUMBER(MATCH(bhpc_data[category],$EC$9,0)),MATCH(ROW(bhpc_data[sku]),ROW(bhpc_data[sku])),""),ROWS($A$15:A140)+$B$3)),INDEX(bhpc_data[description],SMALL(IF(ISNUMBER(MATCH(bhpc_data[category],$EC$9,0)*MATCH(bhpc_data[size1],$EC$13,0)),MATCH(ROW(bhpc_data[sku]),ROW(bhpc_data[sku])),""),ROWS($A$15:A140)+$B$3))),IF($EC$13="",INDEX(bhpc_data[description],SMALL(IF(ISNUMBER(MATCH(bhpc_data[category],$EC$9,0)*MATCH(bhpc_data[sex],$EC$11,0)),MATCH(ROW(bhpc_data[sku]),ROW(bhpc_data[sku])),""),ROWS($A$15:A140)+$B$3)),INDEX(bhpc_data[description],SMALL(IF(ISNUMBER(MATCH(bhpc_data[category],$EC$9,0)*MATCH(bhpc_data[sex],$EC$11,0)*MATCH(bhpc_data[size1],$EC$13,0)),MATCH(ROW(bhpc_data[sku]),ROW(bhpc_data[sku])),""),ROWS($A$15:A140)+$B$3))))),"")</f>
        <v>YB2310B BHPC SUNGLASSES MATT NAVY/SILVER/ SOLID SMOKE</v>
      </c>
      <c r="EG135" s="263" t="str">
        <f>IFERROR(IF(warehouse[[#This Row],[SKU]]="","",INDEX(inventory[ESISTENZA],MATCH(warehouse[[#This Row],[SKU]],inventory[ARTICOLO],0))),"")</f>
        <v/>
      </c>
      <c r="EH135" s="328"/>
      <c r="EI135" s="328"/>
      <c r="EJ135" s="263"/>
      <c r="EK135" s="329"/>
    </row>
    <row r="136" spans="63:141" x14ac:dyDescent="0.35">
      <c r="BK136" s="450"/>
      <c r="BL136" s="451"/>
      <c r="BM136" s="452"/>
      <c r="BN136" s="451"/>
      <c r="BO136" s="452"/>
      <c r="EE136" s="202" t="str" cm="1">
        <f t="array" ref="EE136">IFERROR(IF($EC$9="",IF($EC$11="",IF($EC$13="",INDEX(bhpc_data[sku],SMALL(MATCH(ROW(bhpc_data[sku]),ROW(bhpc_data[sku])),ROWS($A$15:A141)+$B$3)),INDEX(bhpc_data[sku],SMALL(IF(ISNUMBER(MATCH(bhpc_data[size1],$EC$13,0)),MATCH(ROW(bhpc_data[sku]),ROW(bhpc_data[sku])),""),ROWS($A$15:A141)+$B$3))),IF($EC$13="",INDEX(bhpc_data[sku],SMALL(IF(ISNUMBER(MATCH(bhpc_data[sex],$EC$11,0)),MATCH(ROW(bhpc_data[sku]),ROW(bhpc_data[sku])),""),ROWS($A$15:A141)+$B$3)),INDEX(bhpc_data[sku],SMALL(IF(ISNUMBER(MATCH(bhpc_data[sex],$EC$11,0)*MATCH(bhpc_data[size1],$EC$13,0)),MATCH(ROW(bhpc_data[sku]),ROW(bhpc_data[sku])),""),ROWS($A$15:A141)+$B$3)))),IF($EC$11="",IF($EC$13="",INDEX(bhpc_data[sku],SMALL(IF(ISNUMBER(MATCH(bhpc_data[category],$EC$9,0)),MATCH(ROW(bhpc_data[sku]),ROW(bhpc_data[sku])),""),ROWS($A$15:A141)+$B$3)),INDEX(bhpc_data[sku],SMALL(IF(ISNUMBER(MATCH(bhpc_data[category],$EC$9,0)*MATCH(bhpc_data[size1],$EC$13,0)),MATCH(ROW(bhpc_data[sku]),ROW(bhpc_data[sku])),""),ROWS($A$15:A141)+$B$3))),IF($EC$13="",INDEX(bhpc_data[sku],SMALL(IF(ISNUMBER(MATCH(bhpc_data[category],$EC$9,0)*MATCH(bhpc_data[sex],$EC$11,0)),MATCH(ROW(bhpc_data[sku]),ROW(bhpc_data[sku])),""),ROWS($A$15:A141)+$B$3)),INDEX(bhpc_data[sku],SMALL(IF(ISNUMBER(MATCH(bhpc_data[category],$EC$9,0)*MATCH(bhpc_data[sex],$EC$11,0)*MATCH(bhpc_data[size1],$EC$13,0)),MATCH(ROW(bhpc_data[sku]),ROW(bhpc_data[sku])),""),ROWS($A$15:A141)+$B$3))))),"")</f>
        <v>Y00006</v>
      </c>
      <c r="EF136" s="198" t="str" cm="1">
        <f t="array" ref="EF136">IFERROR(IF($EC$9="",IF($EC$11="",IF($EC$13="",INDEX(bhpc_data[description],SMALL(MATCH(ROW(bhpc_data[sku]),ROW(bhpc_data[sku])),ROWS($A$15:A141)+$B$3)),INDEX(bhpc_data[description],SMALL(IF(ISNUMBER(MATCH(bhpc_data[size1],$EC$13,0)),MATCH(ROW(bhpc_data[sku]),ROW(bhpc_data[sku])),""),ROWS($A$15:A141)+$B$3))),IF($EC$13="",INDEX(bhpc_data[description],SMALL(IF(ISNUMBER(MATCH(bhpc_data[sex],$EC$11,0)),MATCH(ROW(bhpc_data[sku]),ROW(bhpc_data[sku])),""),ROWS($A$15:A141)+$B$3)),INDEX(bhpc_data[description],SMALL(IF(ISNUMBER(MATCH(bhpc_data[sex],$EC$11,0)*MATCH(bhpc_data[size1],$EC$13,0)),MATCH(ROW(bhpc_data[sku]),ROW(bhpc_data[sku])),""),ROWS($A$15:A141)+$B$3)))),IF($EC$11="",IF($EC$13="",INDEX(bhpc_data[description],SMALL(IF(ISNUMBER(MATCH(bhpc_data[category],$EC$9,0)),MATCH(ROW(bhpc_data[sku]),ROW(bhpc_data[sku])),""),ROWS($A$15:A141)+$B$3)),INDEX(bhpc_data[description],SMALL(IF(ISNUMBER(MATCH(bhpc_data[category],$EC$9,0)*MATCH(bhpc_data[size1],$EC$13,0)),MATCH(ROW(bhpc_data[sku]),ROW(bhpc_data[sku])),""),ROWS($A$15:A141)+$B$3))),IF($EC$13="",INDEX(bhpc_data[description],SMALL(IF(ISNUMBER(MATCH(bhpc_data[category],$EC$9,0)*MATCH(bhpc_data[sex],$EC$11,0)),MATCH(ROW(bhpc_data[sku]),ROW(bhpc_data[sku])),""),ROWS($A$15:A141)+$B$3)),INDEX(bhpc_data[description],SMALL(IF(ISNUMBER(MATCH(bhpc_data[category],$EC$9,0)*MATCH(bhpc_data[sex],$EC$11,0)*MATCH(bhpc_data[size1],$EC$13,0)),MATCH(ROW(bhpc_data[sku]),ROW(bhpc_data[sku])),""),ROWS($A$15:A141)+$B$3))))),"")</f>
        <v>YB2310C BHPC SUNGLASSES MATT SMOKE/SILVER / SOLID GREY</v>
      </c>
      <c r="EG136" s="263" t="str">
        <f>IFERROR(IF(warehouse[[#This Row],[SKU]]="","",INDEX(inventory[ESISTENZA],MATCH(warehouse[[#This Row],[SKU]],inventory[ARTICOLO],0))),"")</f>
        <v/>
      </c>
      <c r="EH136" s="328"/>
      <c r="EI136" s="328"/>
      <c r="EJ136" s="263"/>
      <c r="EK136" s="329"/>
    </row>
    <row r="137" spans="63:141" x14ac:dyDescent="0.35">
      <c r="BK137" s="450"/>
      <c r="BL137" s="451"/>
      <c r="BM137" s="452"/>
      <c r="BN137" s="451"/>
      <c r="BO137" s="452"/>
      <c r="EE137" s="202" t="str" cm="1">
        <f t="array" ref="EE137">IFERROR(IF($EC$9="",IF($EC$11="",IF($EC$13="",INDEX(bhpc_data[sku],SMALL(MATCH(ROW(bhpc_data[sku]),ROW(bhpc_data[sku])),ROWS($A$15:A142)+$B$3)),INDEX(bhpc_data[sku],SMALL(IF(ISNUMBER(MATCH(bhpc_data[size1],$EC$13,0)),MATCH(ROW(bhpc_data[sku]),ROW(bhpc_data[sku])),""),ROWS($A$15:A142)+$B$3))),IF($EC$13="",INDEX(bhpc_data[sku],SMALL(IF(ISNUMBER(MATCH(bhpc_data[sex],$EC$11,0)),MATCH(ROW(bhpc_data[sku]),ROW(bhpc_data[sku])),""),ROWS($A$15:A142)+$B$3)),INDEX(bhpc_data[sku],SMALL(IF(ISNUMBER(MATCH(bhpc_data[sex],$EC$11,0)*MATCH(bhpc_data[size1],$EC$13,0)),MATCH(ROW(bhpc_data[sku]),ROW(bhpc_data[sku])),""),ROWS($A$15:A142)+$B$3)))),IF($EC$11="",IF($EC$13="",INDEX(bhpc_data[sku],SMALL(IF(ISNUMBER(MATCH(bhpc_data[category],$EC$9,0)),MATCH(ROW(bhpc_data[sku]),ROW(bhpc_data[sku])),""),ROWS($A$15:A142)+$B$3)),INDEX(bhpc_data[sku],SMALL(IF(ISNUMBER(MATCH(bhpc_data[category],$EC$9,0)*MATCH(bhpc_data[size1],$EC$13,0)),MATCH(ROW(bhpc_data[sku]),ROW(bhpc_data[sku])),""),ROWS($A$15:A142)+$B$3))),IF($EC$13="",INDEX(bhpc_data[sku],SMALL(IF(ISNUMBER(MATCH(bhpc_data[category],$EC$9,0)*MATCH(bhpc_data[sex],$EC$11,0)),MATCH(ROW(bhpc_data[sku]),ROW(bhpc_data[sku])),""),ROWS($A$15:A142)+$B$3)),INDEX(bhpc_data[sku],SMALL(IF(ISNUMBER(MATCH(bhpc_data[category],$EC$9,0)*MATCH(bhpc_data[sex],$EC$11,0)*MATCH(bhpc_data[size1],$EC$13,0)),MATCH(ROW(bhpc_data[sku]),ROW(bhpc_data[sku])),""),ROWS($A$15:A142)+$B$3))))),"")</f>
        <v>Y00007</v>
      </c>
      <c r="EF137" s="198" t="str" cm="1">
        <f t="array" ref="EF137">IFERROR(IF($EC$9="",IF($EC$11="",IF($EC$13="",INDEX(bhpc_data[description],SMALL(MATCH(ROW(bhpc_data[sku]),ROW(bhpc_data[sku])),ROWS($A$15:A142)+$B$3)),INDEX(bhpc_data[description],SMALL(IF(ISNUMBER(MATCH(bhpc_data[size1],$EC$13,0)),MATCH(ROW(bhpc_data[sku]),ROW(bhpc_data[sku])),""),ROWS($A$15:A142)+$B$3))),IF($EC$13="",INDEX(bhpc_data[description],SMALL(IF(ISNUMBER(MATCH(bhpc_data[sex],$EC$11,0)),MATCH(ROW(bhpc_data[sku]),ROW(bhpc_data[sku])),""),ROWS($A$15:A142)+$B$3)),INDEX(bhpc_data[description],SMALL(IF(ISNUMBER(MATCH(bhpc_data[sex],$EC$11,0)*MATCH(bhpc_data[size1],$EC$13,0)),MATCH(ROW(bhpc_data[sku]),ROW(bhpc_data[sku])),""),ROWS($A$15:A142)+$B$3)))),IF($EC$11="",IF($EC$13="",INDEX(bhpc_data[description],SMALL(IF(ISNUMBER(MATCH(bhpc_data[category],$EC$9,0)),MATCH(ROW(bhpc_data[sku]),ROW(bhpc_data[sku])),""),ROWS($A$15:A142)+$B$3)),INDEX(bhpc_data[description],SMALL(IF(ISNUMBER(MATCH(bhpc_data[category],$EC$9,0)*MATCH(bhpc_data[size1],$EC$13,0)),MATCH(ROW(bhpc_data[sku]),ROW(bhpc_data[sku])),""),ROWS($A$15:A142)+$B$3))),IF($EC$13="",INDEX(bhpc_data[description],SMALL(IF(ISNUMBER(MATCH(bhpc_data[category],$EC$9,0)*MATCH(bhpc_data[sex],$EC$11,0)),MATCH(ROW(bhpc_data[sku]),ROW(bhpc_data[sku])),""),ROWS($A$15:A142)+$B$3)),INDEX(bhpc_data[description],SMALL(IF(ISNUMBER(MATCH(bhpc_data[category],$EC$9,0)*MATCH(bhpc_data[sex],$EC$11,0)*MATCH(bhpc_data[size1],$EC$13,0)),MATCH(ROW(bhpc_data[sku]),ROW(bhpc_data[sku])),""),ROWS($A$15:A142)+$B$3))))),"")</f>
        <v>YB2313A BHPC SUNGLASSES SATIN NAVY / SOLID SMOKE</v>
      </c>
      <c r="EG137" s="263" t="str">
        <f>IFERROR(IF(warehouse[[#This Row],[SKU]]="","",INDEX(inventory[ESISTENZA],MATCH(warehouse[[#This Row],[SKU]],inventory[ARTICOLO],0))),"")</f>
        <v/>
      </c>
      <c r="EH137" s="328"/>
      <c r="EI137" s="328"/>
      <c r="EJ137" s="263"/>
      <c r="EK137" s="329"/>
    </row>
    <row r="138" spans="63:141" x14ac:dyDescent="0.35">
      <c r="BK138" s="450"/>
      <c r="BL138" s="451"/>
      <c r="BM138" s="452"/>
      <c r="BN138" s="451"/>
      <c r="BO138" s="452"/>
      <c r="EE138" s="202" t="str" cm="1">
        <f t="array" ref="EE138">IFERROR(IF($EC$9="",IF($EC$11="",IF($EC$13="",INDEX(bhpc_data[sku],SMALL(MATCH(ROW(bhpc_data[sku]),ROW(bhpc_data[sku])),ROWS($A$15:A143)+$B$3)),INDEX(bhpc_data[sku],SMALL(IF(ISNUMBER(MATCH(bhpc_data[size1],$EC$13,0)),MATCH(ROW(bhpc_data[sku]),ROW(bhpc_data[sku])),""),ROWS($A$15:A143)+$B$3))),IF($EC$13="",INDEX(bhpc_data[sku],SMALL(IF(ISNUMBER(MATCH(bhpc_data[sex],$EC$11,0)),MATCH(ROW(bhpc_data[sku]),ROW(bhpc_data[sku])),""),ROWS($A$15:A143)+$B$3)),INDEX(bhpc_data[sku],SMALL(IF(ISNUMBER(MATCH(bhpc_data[sex],$EC$11,0)*MATCH(bhpc_data[size1],$EC$13,0)),MATCH(ROW(bhpc_data[sku]),ROW(bhpc_data[sku])),""),ROWS($A$15:A143)+$B$3)))),IF($EC$11="",IF($EC$13="",INDEX(bhpc_data[sku],SMALL(IF(ISNUMBER(MATCH(bhpc_data[category],$EC$9,0)),MATCH(ROW(bhpc_data[sku]),ROW(bhpc_data[sku])),""),ROWS($A$15:A143)+$B$3)),INDEX(bhpc_data[sku],SMALL(IF(ISNUMBER(MATCH(bhpc_data[category],$EC$9,0)*MATCH(bhpc_data[size1],$EC$13,0)),MATCH(ROW(bhpc_data[sku]),ROW(bhpc_data[sku])),""),ROWS($A$15:A143)+$B$3))),IF($EC$13="",INDEX(bhpc_data[sku],SMALL(IF(ISNUMBER(MATCH(bhpc_data[category],$EC$9,0)*MATCH(bhpc_data[sex],$EC$11,0)),MATCH(ROW(bhpc_data[sku]),ROW(bhpc_data[sku])),""),ROWS($A$15:A143)+$B$3)),INDEX(bhpc_data[sku],SMALL(IF(ISNUMBER(MATCH(bhpc_data[category],$EC$9,0)*MATCH(bhpc_data[sex],$EC$11,0)*MATCH(bhpc_data[size1],$EC$13,0)),MATCH(ROW(bhpc_data[sku]),ROW(bhpc_data[sku])),""),ROWS($A$15:A143)+$B$3))))),"")</f>
        <v>Y00008</v>
      </c>
      <c r="EF138" s="198" t="str" cm="1">
        <f t="array" ref="EF138">IFERROR(IF($EC$9="",IF($EC$11="",IF($EC$13="",INDEX(bhpc_data[description],SMALL(MATCH(ROW(bhpc_data[sku]),ROW(bhpc_data[sku])),ROWS($A$15:A143)+$B$3)),INDEX(bhpc_data[description],SMALL(IF(ISNUMBER(MATCH(bhpc_data[size1],$EC$13,0)),MATCH(ROW(bhpc_data[sku]),ROW(bhpc_data[sku])),""),ROWS($A$15:A143)+$B$3))),IF($EC$13="",INDEX(bhpc_data[description],SMALL(IF(ISNUMBER(MATCH(bhpc_data[sex],$EC$11,0)),MATCH(ROW(bhpc_data[sku]),ROW(bhpc_data[sku])),""),ROWS($A$15:A143)+$B$3)),INDEX(bhpc_data[description],SMALL(IF(ISNUMBER(MATCH(bhpc_data[sex],$EC$11,0)*MATCH(bhpc_data[size1],$EC$13,0)),MATCH(ROW(bhpc_data[sku]),ROW(bhpc_data[sku])),""),ROWS($A$15:A143)+$B$3)))),IF($EC$11="",IF($EC$13="",INDEX(bhpc_data[description],SMALL(IF(ISNUMBER(MATCH(bhpc_data[category],$EC$9,0)),MATCH(ROW(bhpc_data[sku]),ROW(bhpc_data[sku])),""),ROWS($A$15:A143)+$B$3)),INDEX(bhpc_data[description],SMALL(IF(ISNUMBER(MATCH(bhpc_data[category],$EC$9,0)*MATCH(bhpc_data[size1],$EC$13,0)),MATCH(ROW(bhpc_data[sku]),ROW(bhpc_data[sku])),""),ROWS($A$15:A143)+$B$3))),IF($EC$13="",INDEX(bhpc_data[description],SMALL(IF(ISNUMBER(MATCH(bhpc_data[category],$EC$9,0)*MATCH(bhpc_data[sex],$EC$11,0)),MATCH(ROW(bhpc_data[sku]),ROW(bhpc_data[sku])),""),ROWS($A$15:A143)+$B$3)),INDEX(bhpc_data[description],SMALL(IF(ISNUMBER(MATCH(bhpc_data[category],$EC$9,0)*MATCH(bhpc_data[sex],$EC$11,0)*MATCH(bhpc_data[size1],$EC$13,0)),MATCH(ROW(bhpc_data[sku]),ROW(bhpc_data[sku])),""),ROWS($A$15:A143)+$B$3))))),"")</f>
        <v>YB2313B BHPC SUNGLASSES MATT BLACK / SOLID GREY</v>
      </c>
      <c r="EG138" s="263" t="str">
        <f>IFERROR(IF(warehouse[[#This Row],[SKU]]="","",INDEX(inventory[ESISTENZA],MATCH(warehouse[[#This Row],[SKU]],inventory[ARTICOLO],0))),"")</f>
        <v/>
      </c>
      <c r="EH138" s="328"/>
      <c r="EI138" s="328"/>
      <c r="EJ138" s="263"/>
      <c r="EK138" s="329"/>
    </row>
    <row r="139" spans="63:141" x14ac:dyDescent="0.35">
      <c r="BK139" s="450"/>
      <c r="BL139" s="451"/>
      <c r="BM139" s="452"/>
      <c r="BN139" s="451"/>
      <c r="BO139" s="452"/>
      <c r="EE139" s="202" t="str" cm="1">
        <f t="array" ref="EE139">IFERROR(IF($EC$9="",IF($EC$11="",IF($EC$13="",INDEX(bhpc_data[sku],SMALL(MATCH(ROW(bhpc_data[sku]),ROW(bhpc_data[sku])),ROWS($A$15:A144)+$B$3)),INDEX(bhpc_data[sku],SMALL(IF(ISNUMBER(MATCH(bhpc_data[size1],$EC$13,0)),MATCH(ROW(bhpc_data[sku]),ROW(bhpc_data[sku])),""),ROWS($A$15:A144)+$B$3))),IF($EC$13="",INDEX(bhpc_data[sku],SMALL(IF(ISNUMBER(MATCH(bhpc_data[sex],$EC$11,0)),MATCH(ROW(bhpc_data[sku]),ROW(bhpc_data[sku])),""),ROWS($A$15:A144)+$B$3)),INDEX(bhpc_data[sku],SMALL(IF(ISNUMBER(MATCH(bhpc_data[sex],$EC$11,0)*MATCH(bhpc_data[size1],$EC$13,0)),MATCH(ROW(bhpc_data[sku]),ROW(bhpc_data[sku])),""),ROWS($A$15:A144)+$B$3)))),IF($EC$11="",IF($EC$13="",INDEX(bhpc_data[sku],SMALL(IF(ISNUMBER(MATCH(bhpc_data[category],$EC$9,0)),MATCH(ROW(bhpc_data[sku]),ROW(bhpc_data[sku])),""),ROWS($A$15:A144)+$B$3)),INDEX(bhpc_data[sku],SMALL(IF(ISNUMBER(MATCH(bhpc_data[category],$EC$9,0)*MATCH(bhpc_data[size1],$EC$13,0)),MATCH(ROW(bhpc_data[sku]),ROW(bhpc_data[sku])),""),ROWS($A$15:A144)+$B$3))),IF($EC$13="",INDEX(bhpc_data[sku],SMALL(IF(ISNUMBER(MATCH(bhpc_data[category],$EC$9,0)*MATCH(bhpc_data[sex],$EC$11,0)),MATCH(ROW(bhpc_data[sku]),ROW(bhpc_data[sku])),""),ROWS($A$15:A144)+$B$3)),INDEX(bhpc_data[sku],SMALL(IF(ISNUMBER(MATCH(bhpc_data[category],$EC$9,0)*MATCH(bhpc_data[sex],$EC$11,0)*MATCH(bhpc_data[size1],$EC$13,0)),MATCH(ROW(bhpc_data[sku]),ROW(bhpc_data[sku])),""),ROWS($A$15:A144)+$B$3))))),"")</f>
        <v>Y00009</v>
      </c>
      <c r="EF139" s="198" t="str" cm="1">
        <f t="array" ref="EF139">IFERROR(IF($EC$9="",IF($EC$11="",IF($EC$13="",INDEX(bhpc_data[description],SMALL(MATCH(ROW(bhpc_data[sku]),ROW(bhpc_data[sku])),ROWS($A$15:A144)+$B$3)),INDEX(bhpc_data[description],SMALL(IF(ISNUMBER(MATCH(bhpc_data[size1],$EC$13,0)),MATCH(ROW(bhpc_data[sku]),ROW(bhpc_data[sku])),""),ROWS($A$15:A144)+$B$3))),IF($EC$13="",INDEX(bhpc_data[description],SMALL(IF(ISNUMBER(MATCH(bhpc_data[sex],$EC$11,0)),MATCH(ROW(bhpc_data[sku]),ROW(bhpc_data[sku])),""),ROWS($A$15:A144)+$B$3)),INDEX(bhpc_data[description],SMALL(IF(ISNUMBER(MATCH(bhpc_data[sex],$EC$11,0)*MATCH(bhpc_data[size1],$EC$13,0)),MATCH(ROW(bhpc_data[sku]),ROW(bhpc_data[sku])),""),ROWS($A$15:A144)+$B$3)))),IF($EC$11="",IF($EC$13="",INDEX(bhpc_data[description],SMALL(IF(ISNUMBER(MATCH(bhpc_data[category],$EC$9,0)),MATCH(ROW(bhpc_data[sku]),ROW(bhpc_data[sku])),""),ROWS($A$15:A144)+$B$3)),INDEX(bhpc_data[description],SMALL(IF(ISNUMBER(MATCH(bhpc_data[category],$EC$9,0)*MATCH(bhpc_data[size1],$EC$13,0)),MATCH(ROW(bhpc_data[sku]),ROW(bhpc_data[sku])),""),ROWS($A$15:A144)+$B$3))),IF($EC$13="",INDEX(bhpc_data[description],SMALL(IF(ISNUMBER(MATCH(bhpc_data[category],$EC$9,0)*MATCH(bhpc_data[sex],$EC$11,0)),MATCH(ROW(bhpc_data[sku]),ROW(bhpc_data[sku])),""),ROWS($A$15:A144)+$B$3)),INDEX(bhpc_data[description],SMALL(IF(ISNUMBER(MATCH(bhpc_data[category],$EC$9,0)*MATCH(bhpc_data[sex],$EC$11,0)*MATCH(bhpc_data[size1],$EC$13,0)),MATCH(ROW(bhpc_data[sku]),ROW(bhpc_data[sku])),""),ROWS($A$15:A144)+$B$3))))),"")</f>
        <v>YB2313C BHPC SUNGLASSES BLACK/GUN / SOLID GREEN</v>
      </c>
      <c r="EG139" s="263" t="str">
        <f>IFERROR(IF(warehouse[[#This Row],[SKU]]="","",INDEX(inventory[ESISTENZA],MATCH(warehouse[[#This Row],[SKU]],inventory[ARTICOLO],0))),"")</f>
        <v/>
      </c>
      <c r="EH139" s="328"/>
      <c r="EI139" s="328"/>
      <c r="EJ139" s="263"/>
      <c r="EK139" s="329"/>
    </row>
    <row r="140" spans="63:141" x14ac:dyDescent="0.35">
      <c r="BK140" s="450"/>
      <c r="BL140" s="451"/>
      <c r="BM140" s="452"/>
      <c r="BN140" s="451"/>
      <c r="BO140" s="452"/>
      <c r="EE140" s="202" t="str" cm="1">
        <f t="array" ref="EE140">IFERROR(IF($EC$9="",IF($EC$11="",IF($EC$13="",INDEX(bhpc_data[sku],SMALL(MATCH(ROW(bhpc_data[sku]),ROW(bhpc_data[sku])),ROWS($A$15:A145)+$B$3)),INDEX(bhpc_data[sku],SMALL(IF(ISNUMBER(MATCH(bhpc_data[size1],$EC$13,0)),MATCH(ROW(bhpc_data[sku]),ROW(bhpc_data[sku])),""),ROWS($A$15:A145)+$B$3))),IF($EC$13="",INDEX(bhpc_data[sku],SMALL(IF(ISNUMBER(MATCH(bhpc_data[sex],$EC$11,0)),MATCH(ROW(bhpc_data[sku]),ROW(bhpc_data[sku])),""),ROWS($A$15:A145)+$B$3)),INDEX(bhpc_data[sku],SMALL(IF(ISNUMBER(MATCH(bhpc_data[sex],$EC$11,0)*MATCH(bhpc_data[size1],$EC$13,0)),MATCH(ROW(bhpc_data[sku]),ROW(bhpc_data[sku])),""),ROWS($A$15:A145)+$B$3)))),IF($EC$11="",IF($EC$13="",INDEX(bhpc_data[sku],SMALL(IF(ISNUMBER(MATCH(bhpc_data[category],$EC$9,0)),MATCH(ROW(bhpc_data[sku]),ROW(bhpc_data[sku])),""),ROWS($A$15:A145)+$B$3)),INDEX(bhpc_data[sku],SMALL(IF(ISNUMBER(MATCH(bhpc_data[category],$EC$9,0)*MATCH(bhpc_data[size1],$EC$13,0)),MATCH(ROW(bhpc_data[sku]),ROW(bhpc_data[sku])),""),ROWS($A$15:A145)+$B$3))),IF($EC$13="",INDEX(bhpc_data[sku],SMALL(IF(ISNUMBER(MATCH(bhpc_data[category],$EC$9,0)*MATCH(bhpc_data[sex],$EC$11,0)),MATCH(ROW(bhpc_data[sku]),ROW(bhpc_data[sku])),""),ROWS($A$15:A145)+$B$3)),INDEX(bhpc_data[sku],SMALL(IF(ISNUMBER(MATCH(bhpc_data[category],$EC$9,0)*MATCH(bhpc_data[sex],$EC$11,0)*MATCH(bhpc_data[size1],$EC$13,0)),MATCH(ROW(bhpc_data[sku]),ROW(bhpc_data[sku])),""),ROWS($A$15:A145)+$B$3))))),"")</f>
        <v>Y00010</v>
      </c>
      <c r="EF140" s="198" t="str" cm="1">
        <f t="array" ref="EF140">IFERROR(IF($EC$9="",IF($EC$11="",IF($EC$13="",INDEX(bhpc_data[description],SMALL(MATCH(ROW(bhpc_data[sku]),ROW(bhpc_data[sku])),ROWS($A$15:A145)+$B$3)),INDEX(bhpc_data[description],SMALL(IF(ISNUMBER(MATCH(bhpc_data[size1],$EC$13,0)),MATCH(ROW(bhpc_data[sku]),ROW(bhpc_data[sku])),""),ROWS($A$15:A145)+$B$3))),IF($EC$13="",INDEX(bhpc_data[description],SMALL(IF(ISNUMBER(MATCH(bhpc_data[sex],$EC$11,0)),MATCH(ROW(bhpc_data[sku]),ROW(bhpc_data[sku])),""),ROWS($A$15:A145)+$B$3)),INDEX(bhpc_data[description],SMALL(IF(ISNUMBER(MATCH(bhpc_data[sex],$EC$11,0)*MATCH(bhpc_data[size1],$EC$13,0)),MATCH(ROW(bhpc_data[sku]),ROW(bhpc_data[sku])),""),ROWS($A$15:A145)+$B$3)))),IF($EC$11="",IF($EC$13="",INDEX(bhpc_data[description],SMALL(IF(ISNUMBER(MATCH(bhpc_data[category],$EC$9,0)),MATCH(ROW(bhpc_data[sku]),ROW(bhpc_data[sku])),""),ROWS($A$15:A145)+$B$3)),INDEX(bhpc_data[description],SMALL(IF(ISNUMBER(MATCH(bhpc_data[category],$EC$9,0)*MATCH(bhpc_data[size1],$EC$13,0)),MATCH(ROW(bhpc_data[sku]),ROW(bhpc_data[sku])),""),ROWS($A$15:A145)+$B$3))),IF($EC$13="",INDEX(bhpc_data[description],SMALL(IF(ISNUMBER(MATCH(bhpc_data[category],$EC$9,0)*MATCH(bhpc_data[sex],$EC$11,0)),MATCH(ROW(bhpc_data[sku]),ROW(bhpc_data[sku])),""),ROWS($A$15:A145)+$B$3)),INDEX(bhpc_data[description],SMALL(IF(ISNUMBER(MATCH(bhpc_data[category],$EC$9,0)*MATCH(bhpc_data[sex],$EC$11,0)*MATCH(bhpc_data[size1],$EC$13,0)),MATCH(ROW(bhpc_data[sku]),ROW(bhpc_data[sku])),""),ROWS($A$15:A145)+$B$3))))),"")</f>
        <v>YB2314A BHPC SUNGLASSES MATT BLACK / SOLID GREEN</v>
      </c>
      <c r="EG140" s="263" t="str">
        <f>IFERROR(IF(warehouse[[#This Row],[SKU]]="","",INDEX(inventory[ESISTENZA],MATCH(warehouse[[#This Row],[SKU]],inventory[ARTICOLO],0))),"")</f>
        <v/>
      </c>
      <c r="EH140" s="328"/>
      <c r="EI140" s="328"/>
      <c r="EJ140" s="263"/>
      <c r="EK140" s="329"/>
    </row>
    <row r="141" spans="63:141" x14ac:dyDescent="0.35">
      <c r="BK141" s="450"/>
      <c r="BL141" s="451"/>
      <c r="BM141" s="452"/>
      <c r="BN141" s="451"/>
      <c r="BO141" s="452"/>
      <c r="EE141" s="202" t="str" cm="1">
        <f t="array" ref="EE141">IFERROR(IF($EC$9="",IF($EC$11="",IF($EC$13="",INDEX(bhpc_data[sku],SMALL(MATCH(ROW(bhpc_data[sku]),ROW(bhpc_data[sku])),ROWS($A$15:A146)+$B$3)),INDEX(bhpc_data[sku],SMALL(IF(ISNUMBER(MATCH(bhpc_data[size1],$EC$13,0)),MATCH(ROW(bhpc_data[sku]),ROW(bhpc_data[sku])),""),ROWS($A$15:A146)+$B$3))),IF($EC$13="",INDEX(bhpc_data[sku],SMALL(IF(ISNUMBER(MATCH(bhpc_data[sex],$EC$11,0)),MATCH(ROW(bhpc_data[sku]),ROW(bhpc_data[sku])),""),ROWS($A$15:A146)+$B$3)),INDEX(bhpc_data[sku],SMALL(IF(ISNUMBER(MATCH(bhpc_data[sex],$EC$11,0)*MATCH(bhpc_data[size1],$EC$13,0)),MATCH(ROW(bhpc_data[sku]),ROW(bhpc_data[sku])),""),ROWS($A$15:A146)+$B$3)))),IF($EC$11="",IF($EC$13="",INDEX(bhpc_data[sku],SMALL(IF(ISNUMBER(MATCH(bhpc_data[category],$EC$9,0)),MATCH(ROW(bhpc_data[sku]),ROW(bhpc_data[sku])),""),ROWS($A$15:A146)+$B$3)),INDEX(bhpc_data[sku],SMALL(IF(ISNUMBER(MATCH(bhpc_data[category],$EC$9,0)*MATCH(bhpc_data[size1],$EC$13,0)),MATCH(ROW(bhpc_data[sku]),ROW(bhpc_data[sku])),""),ROWS($A$15:A146)+$B$3))),IF($EC$13="",INDEX(bhpc_data[sku],SMALL(IF(ISNUMBER(MATCH(bhpc_data[category],$EC$9,0)*MATCH(bhpc_data[sex],$EC$11,0)),MATCH(ROW(bhpc_data[sku]),ROW(bhpc_data[sku])),""),ROWS($A$15:A146)+$B$3)),INDEX(bhpc_data[sku],SMALL(IF(ISNUMBER(MATCH(bhpc_data[category],$EC$9,0)*MATCH(bhpc_data[sex],$EC$11,0)*MATCH(bhpc_data[size1],$EC$13,0)),MATCH(ROW(bhpc_data[sku]),ROW(bhpc_data[sku])),""),ROWS($A$15:A146)+$B$3))))),"")</f>
        <v>Y00011</v>
      </c>
      <c r="EF141" s="198" t="str" cm="1">
        <f t="array" ref="EF141">IFERROR(IF($EC$9="",IF($EC$11="",IF($EC$13="",INDEX(bhpc_data[description],SMALL(MATCH(ROW(bhpc_data[sku]),ROW(bhpc_data[sku])),ROWS($A$15:A146)+$B$3)),INDEX(bhpc_data[description],SMALL(IF(ISNUMBER(MATCH(bhpc_data[size1],$EC$13,0)),MATCH(ROW(bhpc_data[sku]),ROW(bhpc_data[sku])),""),ROWS($A$15:A146)+$B$3))),IF($EC$13="",INDEX(bhpc_data[description],SMALL(IF(ISNUMBER(MATCH(bhpc_data[sex],$EC$11,0)),MATCH(ROW(bhpc_data[sku]),ROW(bhpc_data[sku])),""),ROWS($A$15:A146)+$B$3)),INDEX(bhpc_data[description],SMALL(IF(ISNUMBER(MATCH(bhpc_data[sex],$EC$11,0)*MATCH(bhpc_data[size1],$EC$13,0)),MATCH(ROW(bhpc_data[sku]),ROW(bhpc_data[sku])),""),ROWS($A$15:A146)+$B$3)))),IF($EC$11="",IF($EC$13="",INDEX(bhpc_data[description],SMALL(IF(ISNUMBER(MATCH(bhpc_data[category],$EC$9,0)),MATCH(ROW(bhpc_data[sku]),ROW(bhpc_data[sku])),""),ROWS($A$15:A146)+$B$3)),INDEX(bhpc_data[description],SMALL(IF(ISNUMBER(MATCH(bhpc_data[category],$EC$9,0)*MATCH(bhpc_data[size1],$EC$13,0)),MATCH(ROW(bhpc_data[sku]),ROW(bhpc_data[sku])),""),ROWS($A$15:A146)+$B$3))),IF($EC$13="",INDEX(bhpc_data[description],SMALL(IF(ISNUMBER(MATCH(bhpc_data[category],$EC$9,0)*MATCH(bhpc_data[sex],$EC$11,0)),MATCH(ROW(bhpc_data[sku]),ROW(bhpc_data[sku])),""),ROWS($A$15:A146)+$B$3)),INDEX(bhpc_data[description],SMALL(IF(ISNUMBER(MATCH(bhpc_data[category],$EC$9,0)*MATCH(bhpc_data[sex],$EC$11,0)*MATCH(bhpc_data[size1],$EC$13,0)),MATCH(ROW(bhpc_data[sku]),ROW(bhpc_data[sku])),""),ROWS($A$15:A146)+$B$3))))),"")</f>
        <v>YB2314B BHPC SUNGLASSES MATT BLACK / SOLID GREY</v>
      </c>
      <c r="EG141" s="263" t="str">
        <f>IFERROR(IF(warehouse[[#This Row],[SKU]]="","",INDEX(inventory[ESISTENZA],MATCH(warehouse[[#This Row],[SKU]],inventory[ARTICOLO],0))),"")</f>
        <v/>
      </c>
      <c r="EH141" s="328"/>
      <c r="EI141" s="328"/>
      <c r="EJ141" s="263"/>
      <c r="EK141" s="329"/>
    </row>
    <row r="142" spans="63:141" x14ac:dyDescent="0.35">
      <c r="BK142" s="450"/>
      <c r="BL142" s="451"/>
      <c r="BM142" s="452"/>
      <c r="BN142" s="451"/>
      <c r="BO142" s="452"/>
      <c r="EE142" s="202" t="str" cm="1">
        <f t="array" ref="EE142">IFERROR(IF($EC$9="",IF($EC$11="",IF($EC$13="",INDEX(bhpc_data[sku],SMALL(MATCH(ROW(bhpc_data[sku]),ROW(bhpc_data[sku])),ROWS($A$15:A147)+$B$3)),INDEX(bhpc_data[sku],SMALL(IF(ISNUMBER(MATCH(bhpc_data[size1],$EC$13,0)),MATCH(ROW(bhpc_data[sku]),ROW(bhpc_data[sku])),""),ROWS($A$15:A147)+$B$3))),IF($EC$13="",INDEX(bhpc_data[sku],SMALL(IF(ISNUMBER(MATCH(bhpc_data[sex],$EC$11,0)),MATCH(ROW(bhpc_data[sku]),ROW(bhpc_data[sku])),""),ROWS($A$15:A147)+$B$3)),INDEX(bhpc_data[sku],SMALL(IF(ISNUMBER(MATCH(bhpc_data[sex],$EC$11,0)*MATCH(bhpc_data[size1],$EC$13,0)),MATCH(ROW(bhpc_data[sku]),ROW(bhpc_data[sku])),""),ROWS($A$15:A147)+$B$3)))),IF($EC$11="",IF($EC$13="",INDEX(bhpc_data[sku],SMALL(IF(ISNUMBER(MATCH(bhpc_data[category],$EC$9,0)),MATCH(ROW(bhpc_data[sku]),ROW(bhpc_data[sku])),""),ROWS($A$15:A147)+$B$3)),INDEX(bhpc_data[sku],SMALL(IF(ISNUMBER(MATCH(bhpc_data[category],$EC$9,0)*MATCH(bhpc_data[size1],$EC$13,0)),MATCH(ROW(bhpc_data[sku]),ROW(bhpc_data[sku])),""),ROWS($A$15:A147)+$B$3))),IF($EC$13="",INDEX(bhpc_data[sku],SMALL(IF(ISNUMBER(MATCH(bhpc_data[category],$EC$9,0)*MATCH(bhpc_data[sex],$EC$11,0)),MATCH(ROW(bhpc_data[sku]),ROW(bhpc_data[sku])),""),ROWS($A$15:A147)+$B$3)),INDEX(bhpc_data[sku],SMALL(IF(ISNUMBER(MATCH(bhpc_data[category],$EC$9,0)*MATCH(bhpc_data[sex],$EC$11,0)*MATCH(bhpc_data[size1],$EC$13,0)),MATCH(ROW(bhpc_data[sku]),ROW(bhpc_data[sku])),""),ROWS($A$15:A147)+$B$3))))),"")</f>
        <v>Y00012</v>
      </c>
      <c r="EF142" s="198" t="str" cm="1">
        <f t="array" ref="EF142">IFERROR(IF($EC$9="",IF($EC$11="",IF($EC$13="",INDEX(bhpc_data[description],SMALL(MATCH(ROW(bhpc_data[sku]),ROW(bhpc_data[sku])),ROWS($A$15:A147)+$B$3)),INDEX(bhpc_data[description],SMALL(IF(ISNUMBER(MATCH(bhpc_data[size1],$EC$13,0)),MATCH(ROW(bhpc_data[sku]),ROW(bhpc_data[sku])),""),ROWS($A$15:A147)+$B$3))),IF($EC$13="",INDEX(bhpc_data[description],SMALL(IF(ISNUMBER(MATCH(bhpc_data[sex],$EC$11,0)),MATCH(ROW(bhpc_data[sku]),ROW(bhpc_data[sku])),""),ROWS($A$15:A147)+$B$3)),INDEX(bhpc_data[description],SMALL(IF(ISNUMBER(MATCH(bhpc_data[sex],$EC$11,0)*MATCH(bhpc_data[size1],$EC$13,0)),MATCH(ROW(bhpc_data[sku]),ROW(bhpc_data[sku])),""),ROWS($A$15:A147)+$B$3)))),IF($EC$11="",IF($EC$13="",INDEX(bhpc_data[description],SMALL(IF(ISNUMBER(MATCH(bhpc_data[category],$EC$9,0)),MATCH(ROW(bhpc_data[sku]),ROW(bhpc_data[sku])),""),ROWS($A$15:A147)+$B$3)),INDEX(bhpc_data[description],SMALL(IF(ISNUMBER(MATCH(bhpc_data[category],$EC$9,0)*MATCH(bhpc_data[size1],$EC$13,0)),MATCH(ROW(bhpc_data[sku]),ROW(bhpc_data[sku])),""),ROWS($A$15:A147)+$B$3))),IF($EC$13="",INDEX(bhpc_data[description],SMALL(IF(ISNUMBER(MATCH(bhpc_data[category],$EC$9,0)*MATCH(bhpc_data[sex],$EC$11,0)),MATCH(ROW(bhpc_data[sku]),ROW(bhpc_data[sku])),""),ROWS($A$15:A147)+$B$3)),INDEX(bhpc_data[description],SMALL(IF(ISNUMBER(MATCH(bhpc_data[category],$EC$9,0)*MATCH(bhpc_data[sex],$EC$11,0)*MATCH(bhpc_data[size1],$EC$13,0)),MATCH(ROW(bhpc_data[sku]),ROW(bhpc_data[sku])),""),ROWS($A$15:A147)+$B$3))))),"")</f>
        <v>YB2314C BHPC SUNGLASSES BLACK / HIGH TRANSMIT YELLOW</v>
      </c>
      <c r="EG142" s="263" t="str">
        <f>IFERROR(IF(warehouse[[#This Row],[SKU]]="","",INDEX(inventory[ESISTENZA],MATCH(warehouse[[#This Row],[SKU]],inventory[ARTICOLO],0))),"")</f>
        <v/>
      </c>
      <c r="EH142" s="328"/>
      <c r="EI142" s="328"/>
      <c r="EJ142" s="263"/>
      <c r="EK142" s="329"/>
    </row>
    <row r="143" spans="63:141" x14ac:dyDescent="0.35">
      <c r="BK143" s="450"/>
      <c r="BL143" s="451"/>
      <c r="BM143" s="452"/>
      <c r="BN143" s="451"/>
      <c r="BO143" s="452"/>
      <c r="EE143" s="202" t="str" cm="1">
        <f t="array" ref="EE143">IFERROR(IF($EC$9="",IF($EC$11="",IF($EC$13="",INDEX(bhpc_data[sku],SMALL(MATCH(ROW(bhpc_data[sku]),ROW(bhpc_data[sku])),ROWS($A$15:A148)+$B$3)),INDEX(bhpc_data[sku],SMALL(IF(ISNUMBER(MATCH(bhpc_data[size1],$EC$13,0)),MATCH(ROW(bhpc_data[sku]),ROW(bhpc_data[sku])),""),ROWS($A$15:A148)+$B$3))),IF($EC$13="",INDEX(bhpc_data[sku],SMALL(IF(ISNUMBER(MATCH(bhpc_data[sex],$EC$11,0)),MATCH(ROW(bhpc_data[sku]),ROW(bhpc_data[sku])),""),ROWS($A$15:A148)+$B$3)),INDEX(bhpc_data[sku],SMALL(IF(ISNUMBER(MATCH(bhpc_data[sex],$EC$11,0)*MATCH(bhpc_data[size1],$EC$13,0)),MATCH(ROW(bhpc_data[sku]),ROW(bhpc_data[sku])),""),ROWS($A$15:A148)+$B$3)))),IF($EC$11="",IF($EC$13="",INDEX(bhpc_data[sku],SMALL(IF(ISNUMBER(MATCH(bhpc_data[category],$EC$9,0)),MATCH(ROW(bhpc_data[sku]),ROW(bhpc_data[sku])),""),ROWS($A$15:A148)+$B$3)),INDEX(bhpc_data[sku],SMALL(IF(ISNUMBER(MATCH(bhpc_data[category],$EC$9,0)*MATCH(bhpc_data[size1],$EC$13,0)),MATCH(ROW(bhpc_data[sku]),ROW(bhpc_data[sku])),""),ROWS($A$15:A148)+$B$3))),IF($EC$13="",INDEX(bhpc_data[sku],SMALL(IF(ISNUMBER(MATCH(bhpc_data[category],$EC$9,0)*MATCH(bhpc_data[sex],$EC$11,0)),MATCH(ROW(bhpc_data[sku]),ROW(bhpc_data[sku])),""),ROWS($A$15:A148)+$B$3)),INDEX(bhpc_data[sku],SMALL(IF(ISNUMBER(MATCH(bhpc_data[category],$EC$9,0)*MATCH(bhpc_data[sex],$EC$11,0)*MATCH(bhpc_data[size1],$EC$13,0)),MATCH(ROW(bhpc_data[sku]),ROW(bhpc_data[sku])),""),ROWS($A$15:A148)+$B$3))))),"")</f>
        <v>Y00013</v>
      </c>
      <c r="EF143" s="198" t="str" cm="1">
        <f t="array" ref="EF143">IFERROR(IF($EC$9="",IF($EC$11="",IF($EC$13="",INDEX(bhpc_data[description],SMALL(MATCH(ROW(bhpc_data[sku]),ROW(bhpc_data[sku])),ROWS($A$15:A148)+$B$3)),INDEX(bhpc_data[description],SMALL(IF(ISNUMBER(MATCH(bhpc_data[size1],$EC$13,0)),MATCH(ROW(bhpc_data[sku]),ROW(bhpc_data[sku])),""),ROWS($A$15:A148)+$B$3))),IF($EC$13="",INDEX(bhpc_data[description],SMALL(IF(ISNUMBER(MATCH(bhpc_data[sex],$EC$11,0)),MATCH(ROW(bhpc_data[sku]),ROW(bhpc_data[sku])),""),ROWS($A$15:A148)+$B$3)),INDEX(bhpc_data[description],SMALL(IF(ISNUMBER(MATCH(bhpc_data[sex],$EC$11,0)*MATCH(bhpc_data[size1],$EC$13,0)),MATCH(ROW(bhpc_data[sku]),ROW(bhpc_data[sku])),""),ROWS($A$15:A148)+$B$3)))),IF($EC$11="",IF($EC$13="",INDEX(bhpc_data[description],SMALL(IF(ISNUMBER(MATCH(bhpc_data[category],$EC$9,0)),MATCH(ROW(bhpc_data[sku]),ROW(bhpc_data[sku])),""),ROWS($A$15:A148)+$B$3)),INDEX(bhpc_data[description],SMALL(IF(ISNUMBER(MATCH(bhpc_data[category],$EC$9,0)*MATCH(bhpc_data[size1],$EC$13,0)),MATCH(ROW(bhpc_data[sku]),ROW(bhpc_data[sku])),""),ROWS($A$15:A148)+$B$3))),IF($EC$13="",INDEX(bhpc_data[description],SMALL(IF(ISNUMBER(MATCH(bhpc_data[category],$EC$9,0)*MATCH(bhpc_data[sex],$EC$11,0)),MATCH(ROW(bhpc_data[sku]),ROW(bhpc_data[sku])),""),ROWS($A$15:A148)+$B$3)),INDEX(bhpc_data[description],SMALL(IF(ISNUMBER(MATCH(bhpc_data[category],$EC$9,0)*MATCH(bhpc_data[sex],$EC$11,0)*MATCH(bhpc_data[size1],$EC$13,0)),MATCH(ROW(bhpc_data[sku]),ROW(bhpc_data[sku])),""),ROWS($A$15:A148)+$B$3))))),"")</f>
        <v>YB1304A BHPC SUNGLASSES GUN/TRANSP.GREY/GRADIENT GREY</v>
      </c>
      <c r="EG143" s="263" t="str">
        <f>IFERROR(IF(warehouse[[#This Row],[SKU]]="","",INDEX(inventory[ESISTENZA],MATCH(warehouse[[#This Row],[SKU]],inventory[ARTICOLO],0))),"")</f>
        <v/>
      </c>
      <c r="EH143" s="328"/>
      <c r="EI143" s="328"/>
      <c r="EJ143" s="263"/>
      <c r="EK143" s="329"/>
    </row>
    <row r="144" spans="63:141" x14ac:dyDescent="0.35">
      <c r="BK144" s="450"/>
      <c r="BL144" s="451"/>
      <c r="BM144" s="452"/>
      <c r="BN144" s="451"/>
      <c r="BO144" s="452"/>
      <c r="EE144" s="202" t="str" cm="1">
        <f t="array" ref="EE144">IFERROR(IF($EC$9="",IF($EC$11="",IF($EC$13="",INDEX(bhpc_data[sku],SMALL(MATCH(ROW(bhpc_data[sku]),ROW(bhpc_data[sku])),ROWS($A$15:A149)+$B$3)),INDEX(bhpc_data[sku],SMALL(IF(ISNUMBER(MATCH(bhpc_data[size1],$EC$13,0)),MATCH(ROW(bhpc_data[sku]),ROW(bhpc_data[sku])),""),ROWS($A$15:A149)+$B$3))),IF($EC$13="",INDEX(bhpc_data[sku],SMALL(IF(ISNUMBER(MATCH(bhpc_data[sex],$EC$11,0)),MATCH(ROW(bhpc_data[sku]),ROW(bhpc_data[sku])),""),ROWS($A$15:A149)+$B$3)),INDEX(bhpc_data[sku],SMALL(IF(ISNUMBER(MATCH(bhpc_data[sex],$EC$11,0)*MATCH(bhpc_data[size1],$EC$13,0)),MATCH(ROW(bhpc_data[sku]),ROW(bhpc_data[sku])),""),ROWS($A$15:A149)+$B$3)))),IF($EC$11="",IF($EC$13="",INDEX(bhpc_data[sku],SMALL(IF(ISNUMBER(MATCH(bhpc_data[category],$EC$9,0)),MATCH(ROW(bhpc_data[sku]),ROW(bhpc_data[sku])),""),ROWS($A$15:A149)+$B$3)),INDEX(bhpc_data[sku],SMALL(IF(ISNUMBER(MATCH(bhpc_data[category],$EC$9,0)*MATCH(bhpc_data[size1],$EC$13,0)),MATCH(ROW(bhpc_data[sku]),ROW(bhpc_data[sku])),""),ROWS($A$15:A149)+$B$3))),IF($EC$13="",INDEX(bhpc_data[sku],SMALL(IF(ISNUMBER(MATCH(bhpc_data[category],$EC$9,0)*MATCH(bhpc_data[sex],$EC$11,0)),MATCH(ROW(bhpc_data[sku]),ROW(bhpc_data[sku])),""),ROWS($A$15:A149)+$B$3)),INDEX(bhpc_data[sku],SMALL(IF(ISNUMBER(MATCH(bhpc_data[category],$EC$9,0)*MATCH(bhpc_data[sex],$EC$11,0)*MATCH(bhpc_data[size1],$EC$13,0)),MATCH(ROW(bhpc_data[sku]),ROW(bhpc_data[sku])),""),ROWS($A$15:A149)+$B$3))))),"")</f>
        <v>Y00014</v>
      </c>
      <c r="EF144" s="198" t="str" cm="1">
        <f t="array" ref="EF144">IFERROR(IF($EC$9="",IF($EC$11="",IF($EC$13="",INDEX(bhpc_data[description],SMALL(MATCH(ROW(bhpc_data[sku]),ROW(bhpc_data[sku])),ROWS($A$15:A149)+$B$3)),INDEX(bhpc_data[description],SMALL(IF(ISNUMBER(MATCH(bhpc_data[size1],$EC$13,0)),MATCH(ROW(bhpc_data[sku]),ROW(bhpc_data[sku])),""),ROWS($A$15:A149)+$B$3))),IF($EC$13="",INDEX(bhpc_data[description],SMALL(IF(ISNUMBER(MATCH(bhpc_data[sex],$EC$11,0)),MATCH(ROW(bhpc_data[sku]),ROW(bhpc_data[sku])),""),ROWS($A$15:A149)+$B$3)),INDEX(bhpc_data[description],SMALL(IF(ISNUMBER(MATCH(bhpc_data[sex],$EC$11,0)*MATCH(bhpc_data[size1],$EC$13,0)),MATCH(ROW(bhpc_data[sku]),ROW(bhpc_data[sku])),""),ROWS($A$15:A149)+$B$3)))),IF($EC$11="",IF($EC$13="",INDEX(bhpc_data[description],SMALL(IF(ISNUMBER(MATCH(bhpc_data[category],$EC$9,0)),MATCH(ROW(bhpc_data[sku]),ROW(bhpc_data[sku])),""),ROWS($A$15:A149)+$B$3)),INDEX(bhpc_data[description],SMALL(IF(ISNUMBER(MATCH(bhpc_data[category],$EC$9,0)*MATCH(bhpc_data[size1],$EC$13,0)),MATCH(ROW(bhpc_data[sku]),ROW(bhpc_data[sku])),""),ROWS($A$15:A149)+$B$3))),IF($EC$13="",INDEX(bhpc_data[description],SMALL(IF(ISNUMBER(MATCH(bhpc_data[category],$EC$9,0)*MATCH(bhpc_data[sex],$EC$11,0)),MATCH(ROW(bhpc_data[sku]),ROW(bhpc_data[sku])),""),ROWS($A$15:A149)+$B$3)),INDEX(bhpc_data[description],SMALL(IF(ISNUMBER(MATCH(bhpc_data[category],$EC$9,0)*MATCH(bhpc_data[sex],$EC$11,0)*MATCH(bhpc_data[size1],$EC$13,0)),MATCH(ROW(bhpc_data[sku]),ROW(bhpc_data[sku])),""),ROWS($A$15:A149)+$B$3))))),"")</f>
        <v>YB1304B BHPC SUNGLASSES GOLD/TRANSP.OLIVEGRADIENT CLAY</v>
      </c>
      <c r="EG144" s="263" t="str">
        <f>IFERROR(IF(warehouse[[#This Row],[SKU]]="","",INDEX(inventory[ESISTENZA],MATCH(warehouse[[#This Row],[SKU]],inventory[ARTICOLO],0))),"")</f>
        <v/>
      </c>
      <c r="EH144" s="328"/>
      <c r="EI144" s="328"/>
      <c r="EJ144" s="263"/>
      <c r="EK144" s="329"/>
    </row>
    <row r="145" spans="63:141" x14ac:dyDescent="0.35">
      <c r="BK145" s="450"/>
      <c r="BL145" s="451"/>
      <c r="BM145" s="452"/>
      <c r="BN145" s="451"/>
      <c r="BO145" s="452"/>
      <c r="EE145" s="202" t="str" cm="1">
        <f t="array" ref="EE145">IFERROR(IF($EC$9="",IF($EC$11="",IF($EC$13="",INDEX(bhpc_data[sku],SMALL(MATCH(ROW(bhpc_data[sku]),ROW(bhpc_data[sku])),ROWS($A$15:A150)+$B$3)),INDEX(bhpc_data[sku],SMALL(IF(ISNUMBER(MATCH(bhpc_data[size1],$EC$13,0)),MATCH(ROW(bhpc_data[sku]),ROW(bhpc_data[sku])),""),ROWS($A$15:A150)+$B$3))),IF($EC$13="",INDEX(bhpc_data[sku],SMALL(IF(ISNUMBER(MATCH(bhpc_data[sex],$EC$11,0)),MATCH(ROW(bhpc_data[sku]),ROW(bhpc_data[sku])),""),ROWS($A$15:A150)+$B$3)),INDEX(bhpc_data[sku],SMALL(IF(ISNUMBER(MATCH(bhpc_data[sex],$EC$11,0)*MATCH(bhpc_data[size1],$EC$13,0)),MATCH(ROW(bhpc_data[sku]),ROW(bhpc_data[sku])),""),ROWS($A$15:A150)+$B$3)))),IF($EC$11="",IF($EC$13="",INDEX(bhpc_data[sku],SMALL(IF(ISNUMBER(MATCH(bhpc_data[category],$EC$9,0)),MATCH(ROW(bhpc_data[sku]),ROW(bhpc_data[sku])),""),ROWS($A$15:A150)+$B$3)),INDEX(bhpc_data[sku],SMALL(IF(ISNUMBER(MATCH(bhpc_data[category],$EC$9,0)*MATCH(bhpc_data[size1],$EC$13,0)),MATCH(ROW(bhpc_data[sku]),ROW(bhpc_data[sku])),""),ROWS($A$15:A150)+$B$3))),IF($EC$13="",INDEX(bhpc_data[sku],SMALL(IF(ISNUMBER(MATCH(bhpc_data[category],$EC$9,0)*MATCH(bhpc_data[sex],$EC$11,0)),MATCH(ROW(bhpc_data[sku]),ROW(bhpc_data[sku])),""),ROWS($A$15:A150)+$B$3)),INDEX(bhpc_data[sku],SMALL(IF(ISNUMBER(MATCH(bhpc_data[category],$EC$9,0)*MATCH(bhpc_data[sex],$EC$11,0)*MATCH(bhpc_data[size1],$EC$13,0)),MATCH(ROW(bhpc_data[sku]),ROW(bhpc_data[sku])),""),ROWS($A$15:A150)+$B$3))))),"")</f>
        <v>Y00015</v>
      </c>
      <c r="EF145" s="198" t="str" cm="1">
        <f t="array" ref="EF145">IFERROR(IF($EC$9="",IF($EC$11="",IF($EC$13="",INDEX(bhpc_data[description],SMALL(MATCH(ROW(bhpc_data[sku]),ROW(bhpc_data[sku])),ROWS($A$15:A150)+$B$3)),INDEX(bhpc_data[description],SMALL(IF(ISNUMBER(MATCH(bhpc_data[size1],$EC$13,0)),MATCH(ROW(bhpc_data[sku]),ROW(bhpc_data[sku])),""),ROWS($A$15:A150)+$B$3))),IF($EC$13="",INDEX(bhpc_data[description],SMALL(IF(ISNUMBER(MATCH(bhpc_data[sex],$EC$11,0)),MATCH(ROW(bhpc_data[sku]),ROW(bhpc_data[sku])),""),ROWS($A$15:A150)+$B$3)),INDEX(bhpc_data[description],SMALL(IF(ISNUMBER(MATCH(bhpc_data[sex],$EC$11,0)*MATCH(bhpc_data[size1],$EC$13,0)),MATCH(ROW(bhpc_data[sku]),ROW(bhpc_data[sku])),""),ROWS($A$15:A150)+$B$3)))),IF($EC$11="",IF($EC$13="",INDEX(bhpc_data[description],SMALL(IF(ISNUMBER(MATCH(bhpc_data[category],$EC$9,0)),MATCH(ROW(bhpc_data[sku]),ROW(bhpc_data[sku])),""),ROWS($A$15:A150)+$B$3)),INDEX(bhpc_data[description],SMALL(IF(ISNUMBER(MATCH(bhpc_data[category],$EC$9,0)*MATCH(bhpc_data[size1],$EC$13,0)),MATCH(ROW(bhpc_data[sku]),ROW(bhpc_data[sku])),""),ROWS($A$15:A150)+$B$3))),IF($EC$13="",INDEX(bhpc_data[description],SMALL(IF(ISNUMBER(MATCH(bhpc_data[category],$EC$9,0)*MATCH(bhpc_data[sex],$EC$11,0)),MATCH(ROW(bhpc_data[sku]),ROW(bhpc_data[sku])),""),ROWS($A$15:A150)+$B$3)),INDEX(bhpc_data[description],SMALL(IF(ISNUMBER(MATCH(bhpc_data[category],$EC$9,0)*MATCH(bhpc_data[sex],$EC$11,0)*MATCH(bhpc_data[size1],$EC$13,0)),MATCH(ROW(bhpc_data[sku]),ROW(bhpc_data[sku])),""),ROWS($A$15:A150)+$B$3))))),"")</f>
        <v>YB1304C BHPC SUNGLASSES GUN/TRANSP. BLUE/GRADIENT BLU</v>
      </c>
      <c r="EG145" s="263" t="str">
        <f>IFERROR(IF(warehouse[[#This Row],[SKU]]="","",INDEX(inventory[ESISTENZA],MATCH(warehouse[[#This Row],[SKU]],inventory[ARTICOLO],0))),"")</f>
        <v/>
      </c>
      <c r="EH145" s="328"/>
      <c r="EI145" s="328"/>
      <c r="EJ145" s="263"/>
      <c r="EK145" s="329"/>
    </row>
    <row r="146" spans="63:141" x14ac:dyDescent="0.35">
      <c r="BK146" s="450"/>
      <c r="BL146" s="451"/>
      <c r="BM146" s="452"/>
      <c r="BN146" s="451"/>
      <c r="BO146" s="452"/>
      <c r="EE146" s="202" t="str" cm="1">
        <f t="array" ref="EE146">IFERROR(IF($EC$9="",IF($EC$11="",IF($EC$13="",INDEX(bhpc_data[sku],SMALL(MATCH(ROW(bhpc_data[sku]),ROW(bhpc_data[sku])),ROWS($A$15:A151)+$B$3)),INDEX(bhpc_data[sku],SMALL(IF(ISNUMBER(MATCH(bhpc_data[size1],$EC$13,0)),MATCH(ROW(bhpc_data[sku]),ROW(bhpc_data[sku])),""),ROWS($A$15:A151)+$B$3))),IF($EC$13="",INDEX(bhpc_data[sku],SMALL(IF(ISNUMBER(MATCH(bhpc_data[sex],$EC$11,0)),MATCH(ROW(bhpc_data[sku]),ROW(bhpc_data[sku])),""),ROWS($A$15:A151)+$B$3)),INDEX(bhpc_data[sku],SMALL(IF(ISNUMBER(MATCH(bhpc_data[sex],$EC$11,0)*MATCH(bhpc_data[size1],$EC$13,0)),MATCH(ROW(bhpc_data[sku]),ROW(bhpc_data[sku])),""),ROWS($A$15:A151)+$B$3)))),IF($EC$11="",IF($EC$13="",INDEX(bhpc_data[sku],SMALL(IF(ISNUMBER(MATCH(bhpc_data[category],$EC$9,0)),MATCH(ROW(bhpc_data[sku]),ROW(bhpc_data[sku])),""),ROWS($A$15:A151)+$B$3)),INDEX(bhpc_data[sku],SMALL(IF(ISNUMBER(MATCH(bhpc_data[category],$EC$9,0)*MATCH(bhpc_data[size1],$EC$13,0)),MATCH(ROW(bhpc_data[sku]),ROW(bhpc_data[sku])),""),ROWS($A$15:A151)+$B$3))),IF($EC$13="",INDEX(bhpc_data[sku],SMALL(IF(ISNUMBER(MATCH(bhpc_data[category],$EC$9,0)*MATCH(bhpc_data[sex],$EC$11,0)),MATCH(ROW(bhpc_data[sku]),ROW(bhpc_data[sku])),""),ROWS($A$15:A151)+$B$3)),INDEX(bhpc_data[sku],SMALL(IF(ISNUMBER(MATCH(bhpc_data[category],$EC$9,0)*MATCH(bhpc_data[sex],$EC$11,0)*MATCH(bhpc_data[size1],$EC$13,0)),MATCH(ROW(bhpc_data[sku]),ROW(bhpc_data[sku])),""),ROWS($A$15:A151)+$B$3))))),"")</f>
        <v>Y00016</v>
      </c>
      <c r="EF146" s="198" t="str" cm="1">
        <f t="array" ref="EF146">IFERROR(IF($EC$9="",IF($EC$11="",IF($EC$13="",INDEX(bhpc_data[description],SMALL(MATCH(ROW(bhpc_data[sku]),ROW(bhpc_data[sku])),ROWS($A$15:A151)+$B$3)),INDEX(bhpc_data[description],SMALL(IF(ISNUMBER(MATCH(bhpc_data[size1],$EC$13,0)),MATCH(ROW(bhpc_data[sku]),ROW(bhpc_data[sku])),""),ROWS($A$15:A151)+$B$3))),IF($EC$13="",INDEX(bhpc_data[description],SMALL(IF(ISNUMBER(MATCH(bhpc_data[sex],$EC$11,0)),MATCH(ROW(bhpc_data[sku]),ROW(bhpc_data[sku])),""),ROWS($A$15:A151)+$B$3)),INDEX(bhpc_data[description],SMALL(IF(ISNUMBER(MATCH(bhpc_data[sex],$EC$11,0)*MATCH(bhpc_data[size1],$EC$13,0)),MATCH(ROW(bhpc_data[sku]),ROW(bhpc_data[sku])),""),ROWS($A$15:A151)+$B$3)))),IF($EC$11="",IF($EC$13="",INDEX(bhpc_data[description],SMALL(IF(ISNUMBER(MATCH(bhpc_data[category],$EC$9,0)),MATCH(ROW(bhpc_data[sku]),ROW(bhpc_data[sku])),""),ROWS($A$15:A151)+$B$3)),INDEX(bhpc_data[description],SMALL(IF(ISNUMBER(MATCH(bhpc_data[category],$EC$9,0)*MATCH(bhpc_data[size1],$EC$13,0)),MATCH(ROW(bhpc_data[sku]),ROW(bhpc_data[sku])),""),ROWS($A$15:A151)+$B$3))),IF($EC$13="",INDEX(bhpc_data[description],SMALL(IF(ISNUMBER(MATCH(bhpc_data[category],$EC$9,0)*MATCH(bhpc_data[sex],$EC$11,0)),MATCH(ROW(bhpc_data[sku]),ROW(bhpc_data[sku])),""),ROWS($A$15:A151)+$B$3)),INDEX(bhpc_data[description],SMALL(IF(ISNUMBER(MATCH(bhpc_data[category],$EC$9,0)*MATCH(bhpc_data[sex],$EC$11,0)*MATCH(bhpc_data[size1],$EC$13,0)),MATCH(ROW(bhpc_data[sku]),ROW(bhpc_data[sku])),""),ROWS($A$15:A151)+$B$3))))),"")</f>
        <v>YB1308A BHPC SUNGLASSES SATIN GUN/SOLID SMOKE</v>
      </c>
      <c r="EG146" s="263" t="str">
        <f>IFERROR(IF(warehouse[[#This Row],[SKU]]="","",INDEX(inventory[ESISTENZA],MATCH(warehouse[[#This Row],[SKU]],inventory[ARTICOLO],0))),"")</f>
        <v/>
      </c>
      <c r="EH146" s="328"/>
      <c r="EI146" s="328"/>
      <c r="EJ146" s="263"/>
      <c r="EK146" s="329"/>
    </row>
    <row r="147" spans="63:141" x14ac:dyDescent="0.35">
      <c r="BK147" s="450"/>
      <c r="BL147" s="451"/>
      <c r="BM147" s="452"/>
      <c r="BN147" s="451"/>
      <c r="BO147" s="452"/>
      <c r="EE147" s="202" t="str" cm="1">
        <f t="array" ref="EE147">IFERROR(IF($EC$9="",IF($EC$11="",IF($EC$13="",INDEX(bhpc_data[sku],SMALL(MATCH(ROW(bhpc_data[sku]),ROW(bhpc_data[sku])),ROWS($A$15:A152)+$B$3)),INDEX(bhpc_data[sku],SMALL(IF(ISNUMBER(MATCH(bhpc_data[size1],$EC$13,0)),MATCH(ROW(bhpc_data[sku]),ROW(bhpc_data[sku])),""),ROWS($A$15:A152)+$B$3))),IF($EC$13="",INDEX(bhpc_data[sku],SMALL(IF(ISNUMBER(MATCH(bhpc_data[sex],$EC$11,0)),MATCH(ROW(bhpc_data[sku]),ROW(bhpc_data[sku])),""),ROWS($A$15:A152)+$B$3)),INDEX(bhpc_data[sku],SMALL(IF(ISNUMBER(MATCH(bhpc_data[sex],$EC$11,0)*MATCH(bhpc_data[size1],$EC$13,0)),MATCH(ROW(bhpc_data[sku]),ROW(bhpc_data[sku])),""),ROWS($A$15:A152)+$B$3)))),IF($EC$11="",IF($EC$13="",INDEX(bhpc_data[sku],SMALL(IF(ISNUMBER(MATCH(bhpc_data[category],$EC$9,0)),MATCH(ROW(bhpc_data[sku]),ROW(bhpc_data[sku])),""),ROWS($A$15:A152)+$B$3)),INDEX(bhpc_data[sku],SMALL(IF(ISNUMBER(MATCH(bhpc_data[category],$EC$9,0)*MATCH(bhpc_data[size1],$EC$13,0)),MATCH(ROW(bhpc_data[sku]),ROW(bhpc_data[sku])),""),ROWS($A$15:A152)+$B$3))),IF($EC$13="",INDEX(bhpc_data[sku],SMALL(IF(ISNUMBER(MATCH(bhpc_data[category],$EC$9,0)*MATCH(bhpc_data[sex],$EC$11,0)),MATCH(ROW(bhpc_data[sku]),ROW(bhpc_data[sku])),""),ROWS($A$15:A152)+$B$3)),INDEX(bhpc_data[sku],SMALL(IF(ISNUMBER(MATCH(bhpc_data[category],$EC$9,0)*MATCH(bhpc_data[sex],$EC$11,0)*MATCH(bhpc_data[size1],$EC$13,0)),MATCH(ROW(bhpc_data[sku]),ROW(bhpc_data[sku])),""),ROWS($A$15:A152)+$B$3))))),"")</f>
        <v>Y00017</v>
      </c>
      <c r="EF147" s="198" t="str" cm="1">
        <f t="array" ref="EF147">IFERROR(IF($EC$9="",IF($EC$11="",IF($EC$13="",INDEX(bhpc_data[description],SMALL(MATCH(ROW(bhpc_data[sku]),ROW(bhpc_data[sku])),ROWS($A$15:A152)+$B$3)),INDEX(bhpc_data[description],SMALL(IF(ISNUMBER(MATCH(bhpc_data[size1],$EC$13,0)),MATCH(ROW(bhpc_data[sku]),ROW(bhpc_data[sku])),""),ROWS($A$15:A152)+$B$3))),IF($EC$13="",INDEX(bhpc_data[description],SMALL(IF(ISNUMBER(MATCH(bhpc_data[sex],$EC$11,0)),MATCH(ROW(bhpc_data[sku]),ROW(bhpc_data[sku])),""),ROWS($A$15:A152)+$B$3)),INDEX(bhpc_data[description],SMALL(IF(ISNUMBER(MATCH(bhpc_data[sex],$EC$11,0)*MATCH(bhpc_data[size1],$EC$13,0)),MATCH(ROW(bhpc_data[sku]),ROW(bhpc_data[sku])),""),ROWS($A$15:A152)+$B$3)))),IF($EC$11="",IF($EC$13="",INDEX(bhpc_data[description],SMALL(IF(ISNUMBER(MATCH(bhpc_data[category],$EC$9,0)),MATCH(ROW(bhpc_data[sku]),ROW(bhpc_data[sku])),""),ROWS($A$15:A152)+$B$3)),INDEX(bhpc_data[description],SMALL(IF(ISNUMBER(MATCH(bhpc_data[category],$EC$9,0)*MATCH(bhpc_data[size1],$EC$13,0)),MATCH(ROW(bhpc_data[sku]),ROW(bhpc_data[sku])),""),ROWS($A$15:A152)+$B$3))),IF($EC$13="",INDEX(bhpc_data[description],SMALL(IF(ISNUMBER(MATCH(bhpc_data[category],$EC$9,0)*MATCH(bhpc_data[sex],$EC$11,0)),MATCH(ROW(bhpc_data[sku]),ROW(bhpc_data[sku])),""),ROWS($A$15:A152)+$B$3)),INDEX(bhpc_data[description],SMALL(IF(ISNUMBER(MATCH(bhpc_data[category],$EC$9,0)*MATCH(bhpc_data[sex],$EC$11,0)*MATCH(bhpc_data[size1],$EC$13,0)),MATCH(ROW(bhpc_data[sku]),ROW(bhpc_data[sku])),""),ROWS($A$15:A152)+$B$3))))),"")</f>
        <v>YB1308B BHPC SUNGLASSES GUN/SOLID BROWN</v>
      </c>
      <c r="EG147" s="263" t="str">
        <f>IFERROR(IF(warehouse[[#This Row],[SKU]]="","",INDEX(inventory[ESISTENZA],MATCH(warehouse[[#This Row],[SKU]],inventory[ARTICOLO],0))),"")</f>
        <v/>
      </c>
      <c r="EH147" s="328"/>
      <c r="EI147" s="328"/>
      <c r="EJ147" s="263"/>
      <c r="EK147" s="329"/>
    </row>
    <row r="148" spans="63:141" x14ac:dyDescent="0.35">
      <c r="BK148" s="450"/>
      <c r="BL148" s="451"/>
      <c r="BM148" s="452"/>
      <c r="BN148" s="451"/>
      <c r="BO148" s="452"/>
      <c r="EE148" s="202" t="str" cm="1">
        <f t="array" ref="EE148">IFERROR(IF($EC$9="",IF($EC$11="",IF($EC$13="",INDEX(bhpc_data[sku],SMALL(MATCH(ROW(bhpc_data[sku]),ROW(bhpc_data[sku])),ROWS($A$15:A153)+$B$3)),INDEX(bhpc_data[sku],SMALL(IF(ISNUMBER(MATCH(bhpc_data[size1],$EC$13,0)),MATCH(ROW(bhpc_data[sku]),ROW(bhpc_data[sku])),""),ROWS($A$15:A153)+$B$3))),IF($EC$13="",INDEX(bhpc_data[sku],SMALL(IF(ISNUMBER(MATCH(bhpc_data[sex],$EC$11,0)),MATCH(ROW(bhpc_data[sku]),ROW(bhpc_data[sku])),""),ROWS($A$15:A153)+$B$3)),INDEX(bhpc_data[sku],SMALL(IF(ISNUMBER(MATCH(bhpc_data[sex],$EC$11,0)*MATCH(bhpc_data[size1],$EC$13,0)),MATCH(ROW(bhpc_data[sku]),ROW(bhpc_data[sku])),""),ROWS($A$15:A153)+$B$3)))),IF($EC$11="",IF($EC$13="",INDEX(bhpc_data[sku],SMALL(IF(ISNUMBER(MATCH(bhpc_data[category],$EC$9,0)),MATCH(ROW(bhpc_data[sku]),ROW(bhpc_data[sku])),""),ROWS($A$15:A153)+$B$3)),INDEX(bhpc_data[sku],SMALL(IF(ISNUMBER(MATCH(bhpc_data[category],$EC$9,0)*MATCH(bhpc_data[size1],$EC$13,0)),MATCH(ROW(bhpc_data[sku]),ROW(bhpc_data[sku])),""),ROWS($A$15:A153)+$B$3))),IF($EC$13="",INDEX(bhpc_data[sku],SMALL(IF(ISNUMBER(MATCH(bhpc_data[category],$EC$9,0)*MATCH(bhpc_data[sex],$EC$11,0)),MATCH(ROW(bhpc_data[sku]),ROW(bhpc_data[sku])),""),ROWS($A$15:A153)+$B$3)),INDEX(bhpc_data[sku],SMALL(IF(ISNUMBER(MATCH(bhpc_data[category],$EC$9,0)*MATCH(bhpc_data[sex],$EC$11,0)*MATCH(bhpc_data[size1],$EC$13,0)),MATCH(ROW(bhpc_data[sku]),ROW(bhpc_data[sku])),""),ROWS($A$15:A153)+$B$3))))),"")</f>
        <v>Y00018</v>
      </c>
      <c r="EF148" s="198" t="str" cm="1">
        <f t="array" ref="EF148">IFERROR(IF($EC$9="",IF($EC$11="",IF($EC$13="",INDEX(bhpc_data[description],SMALL(MATCH(ROW(bhpc_data[sku]),ROW(bhpc_data[sku])),ROWS($A$15:A153)+$B$3)),INDEX(bhpc_data[description],SMALL(IF(ISNUMBER(MATCH(bhpc_data[size1],$EC$13,0)),MATCH(ROW(bhpc_data[sku]),ROW(bhpc_data[sku])),""),ROWS($A$15:A153)+$B$3))),IF($EC$13="",INDEX(bhpc_data[description],SMALL(IF(ISNUMBER(MATCH(bhpc_data[sex],$EC$11,0)),MATCH(ROW(bhpc_data[sku]),ROW(bhpc_data[sku])),""),ROWS($A$15:A153)+$B$3)),INDEX(bhpc_data[description],SMALL(IF(ISNUMBER(MATCH(bhpc_data[sex],$EC$11,0)*MATCH(bhpc_data[size1],$EC$13,0)),MATCH(ROW(bhpc_data[sku]),ROW(bhpc_data[sku])),""),ROWS($A$15:A153)+$B$3)))),IF($EC$11="",IF($EC$13="",INDEX(bhpc_data[description],SMALL(IF(ISNUMBER(MATCH(bhpc_data[category],$EC$9,0)),MATCH(ROW(bhpc_data[sku]),ROW(bhpc_data[sku])),""),ROWS($A$15:A153)+$B$3)),INDEX(bhpc_data[description],SMALL(IF(ISNUMBER(MATCH(bhpc_data[category],$EC$9,0)*MATCH(bhpc_data[size1],$EC$13,0)),MATCH(ROW(bhpc_data[sku]),ROW(bhpc_data[sku])),""),ROWS($A$15:A153)+$B$3))),IF($EC$13="",INDEX(bhpc_data[description],SMALL(IF(ISNUMBER(MATCH(bhpc_data[category],$EC$9,0)*MATCH(bhpc_data[sex],$EC$11,0)),MATCH(ROW(bhpc_data[sku]),ROW(bhpc_data[sku])),""),ROWS($A$15:A153)+$B$3)),INDEX(bhpc_data[description],SMALL(IF(ISNUMBER(MATCH(bhpc_data[category],$EC$9,0)*MATCH(bhpc_data[sex],$EC$11,0)*MATCH(bhpc_data[size1],$EC$13,0)),MATCH(ROW(bhpc_data[sku]),ROW(bhpc_data[sku])),""),ROWS($A$15:A153)+$B$3))))),"")</f>
        <v>YB1308C BHPC SUNGLASSES SATIN GOLD/SOLID GREEN</v>
      </c>
      <c r="EG148" s="263" t="str">
        <f>IFERROR(IF(warehouse[[#This Row],[SKU]]="","",INDEX(inventory[ESISTENZA],MATCH(warehouse[[#This Row],[SKU]],inventory[ARTICOLO],0))),"")</f>
        <v/>
      </c>
      <c r="EH148" s="328"/>
      <c r="EI148" s="328"/>
      <c r="EJ148" s="263"/>
      <c r="EK148" s="329"/>
    </row>
    <row r="149" spans="63:141" x14ac:dyDescent="0.35">
      <c r="BK149" s="450"/>
      <c r="BL149" s="451"/>
      <c r="BM149" s="452"/>
      <c r="BN149" s="451"/>
      <c r="BO149" s="452"/>
      <c r="EE149" s="202" t="str" cm="1">
        <f t="array" ref="EE149">IFERROR(IF($EC$9="",IF($EC$11="",IF($EC$13="",INDEX(bhpc_data[sku],SMALL(MATCH(ROW(bhpc_data[sku]),ROW(bhpc_data[sku])),ROWS($A$15:A154)+$B$3)),INDEX(bhpc_data[sku],SMALL(IF(ISNUMBER(MATCH(bhpc_data[size1],$EC$13,0)),MATCH(ROW(bhpc_data[sku]),ROW(bhpc_data[sku])),""),ROWS($A$15:A154)+$B$3))),IF($EC$13="",INDEX(bhpc_data[sku],SMALL(IF(ISNUMBER(MATCH(bhpc_data[sex],$EC$11,0)),MATCH(ROW(bhpc_data[sku]),ROW(bhpc_data[sku])),""),ROWS($A$15:A154)+$B$3)),INDEX(bhpc_data[sku],SMALL(IF(ISNUMBER(MATCH(bhpc_data[sex],$EC$11,0)*MATCH(bhpc_data[size1],$EC$13,0)),MATCH(ROW(bhpc_data[sku]),ROW(bhpc_data[sku])),""),ROWS($A$15:A154)+$B$3)))),IF($EC$11="",IF($EC$13="",INDEX(bhpc_data[sku],SMALL(IF(ISNUMBER(MATCH(bhpc_data[category],$EC$9,0)),MATCH(ROW(bhpc_data[sku]),ROW(bhpc_data[sku])),""),ROWS($A$15:A154)+$B$3)),INDEX(bhpc_data[sku],SMALL(IF(ISNUMBER(MATCH(bhpc_data[category],$EC$9,0)*MATCH(bhpc_data[size1],$EC$13,0)),MATCH(ROW(bhpc_data[sku]),ROW(bhpc_data[sku])),""),ROWS($A$15:A154)+$B$3))),IF($EC$13="",INDEX(bhpc_data[sku],SMALL(IF(ISNUMBER(MATCH(bhpc_data[category],$EC$9,0)*MATCH(bhpc_data[sex],$EC$11,0)),MATCH(ROW(bhpc_data[sku]),ROW(bhpc_data[sku])),""),ROWS($A$15:A154)+$B$3)),INDEX(bhpc_data[sku],SMALL(IF(ISNUMBER(MATCH(bhpc_data[category],$EC$9,0)*MATCH(bhpc_data[sex],$EC$11,0)*MATCH(bhpc_data[size1],$EC$13,0)),MATCH(ROW(bhpc_data[sku]),ROW(bhpc_data[sku])),""),ROWS($A$15:A154)+$B$3))))),"")</f>
        <v>Y00019</v>
      </c>
      <c r="EF149" s="198" t="str" cm="1">
        <f t="array" ref="EF149">IFERROR(IF($EC$9="",IF($EC$11="",IF($EC$13="",INDEX(bhpc_data[description],SMALL(MATCH(ROW(bhpc_data[sku]),ROW(bhpc_data[sku])),ROWS($A$15:A154)+$B$3)),INDEX(bhpc_data[description],SMALL(IF(ISNUMBER(MATCH(bhpc_data[size1],$EC$13,0)),MATCH(ROW(bhpc_data[sku]),ROW(bhpc_data[sku])),""),ROWS($A$15:A154)+$B$3))),IF($EC$13="",INDEX(bhpc_data[description],SMALL(IF(ISNUMBER(MATCH(bhpc_data[sex],$EC$11,0)),MATCH(ROW(bhpc_data[sku]),ROW(bhpc_data[sku])),""),ROWS($A$15:A154)+$B$3)),INDEX(bhpc_data[description],SMALL(IF(ISNUMBER(MATCH(bhpc_data[sex],$EC$11,0)*MATCH(bhpc_data[size1],$EC$13,0)),MATCH(ROW(bhpc_data[sku]),ROW(bhpc_data[sku])),""),ROWS($A$15:A154)+$B$3)))),IF($EC$11="",IF($EC$13="",INDEX(bhpc_data[description],SMALL(IF(ISNUMBER(MATCH(bhpc_data[category],$EC$9,0)),MATCH(ROW(bhpc_data[sku]),ROW(bhpc_data[sku])),""),ROWS($A$15:A154)+$B$3)),INDEX(bhpc_data[description],SMALL(IF(ISNUMBER(MATCH(bhpc_data[category],$EC$9,0)*MATCH(bhpc_data[size1],$EC$13,0)),MATCH(ROW(bhpc_data[sku]),ROW(bhpc_data[sku])),""),ROWS($A$15:A154)+$B$3))),IF($EC$13="",INDEX(bhpc_data[description],SMALL(IF(ISNUMBER(MATCH(bhpc_data[category],$EC$9,0)*MATCH(bhpc_data[sex],$EC$11,0)),MATCH(ROW(bhpc_data[sku]),ROW(bhpc_data[sku])),""),ROWS($A$15:A154)+$B$3)),INDEX(bhpc_data[description],SMALL(IF(ISNUMBER(MATCH(bhpc_data[category],$EC$9,0)*MATCH(bhpc_data[sex],$EC$11,0)*MATCH(bhpc_data[size1],$EC$13,0)),MATCH(ROW(bhpc_data[sku]),ROW(bhpc_data[sku])),""),ROWS($A$15:A154)+$B$3))))),"")</f>
        <v>YB1305A BHPC SUNGLASSES GOLD / SOLID GREEN</v>
      </c>
      <c r="EG149" s="263" t="str">
        <f>IFERROR(IF(warehouse[[#This Row],[SKU]]="","",INDEX(inventory[ESISTENZA],MATCH(warehouse[[#This Row],[SKU]],inventory[ARTICOLO],0))),"")</f>
        <v/>
      </c>
      <c r="EH149" s="328"/>
      <c r="EI149" s="328"/>
      <c r="EJ149" s="263"/>
      <c r="EK149" s="329"/>
    </row>
    <row r="150" spans="63:141" x14ac:dyDescent="0.35">
      <c r="BK150" s="450"/>
      <c r="BL150" s="451"/>
      <c r="BM150" s="452"/>
      <c r="BN150" s="451"/>
      <c r="BO150" s="452"/>
      <c r="EE150" s="202" t="str" cm="1">
        <f t="array" ref="EE150">IFERROR(IF($EC$9="",IF($EC$11="",IF($EC$13="",INDEX(bhpc_data[sku],SMALL(MATCH(ROW(bhpc_data[sku]),ROW(bhpc_data[sku])),ROWS($A$15:A155)+$B$3)),INDEX(bhpc_data[sku],SMALL(IF(ISNUMBER(MATCH(bhpc_data[size1],$EC$13,0)),MATCH(ROW(bhpc_data[sku]),ROW(bhpc_data[sku])),""),ROWS($A$15:A155)+$B$3))),IF($EC$13="",INDEX(bhpc_data[sku],SMALL(IF(ISNUMBER(MATCH(bhpc_data[sex],$EC$11,0)),MATCH(ROW(bhpc_data[sku]),ROW(bhpc_data[sku])),""),ROWS($A$15:A155)+$B$3)),INDEX(bhpc_data[sku],SMALL(IF(ISNUMBER(MATCH(bhpc_data[sex],$EC$11,0)*MATCH(bhpc_data[size1],$EC$13,0)),MATCH(ROW(bhpc_data[sku]),ROW(bhpc_data[sku])),""),ROWS($A$15:A155)+$B$3)))),IF($EC$11="",IF($EC$13="",INDEX(bhpc_data[sku],SMALL(IF(ISNUMBER(MATCH(bhpc_data[category],$EC$9,0)),MATCH(ROW(bhpc_data[sku]),ROW(bhpc_data[sku])),""),ROWS($A$15:A155)+$B$3)),INDEX(bhpc_data[sku],SMALL(IF(ISNUMBER(MATCH(bhpc_data[category],$EC$9,0)*MATCH(bhpc_data[size1],$EC$13,0)),MATCH(ROW(bhpc_data[sku]),ROW(bhpc_data[sku])),""),ROWS($A$15:A155)+$B$3))),IF($EC$13="",INDEX(bhpc_data[sku],SMALL(IF(ISNUMBER(MATCH(bhpc_data[category],$EC$9,0)*MATCH(bhpc_data[sex],$EC$11,0)),MATCH(ROW(bhpc_data[sku]),ROW(bhpc_data[sku])),""),ROWS($A$15:A155)+$B$3)),INDEX(bhpc_data[sku],SMALL(IF(ISNUMBER(MATCH(bhpc_data[category],$EC$9,0)*MATCH(bhpc_data[sex],$EC$11,0)*MATCH(bhpc_data[size1],$EC$13,0)),MATCH(ROW(bhpc_data[sku]),ROW(bhpc_data[sku])),""),ROWS($A$15:A155)+$B$3))))),"")</f>
        <v>Y00020</v>
      </c>
      <c r="EF150" s="198" t="str" cm="1">
        <f t="array" ref="EF150">IFERROR(IF($EC$9="",IF($EC$11="",IF($EC$13="",INDEX(bhpc_data[description],SMALL(MATCH(ROW(bhpc_data[sku]),ROW(bhpc_data[sku])),ROWS($A$15:A155)+$B$3)),INDEX(bhpc_data[description],SMALL(IF(ISNUMBER(MATCH(bhpc_data[size1],$EC$13,0)),MATCH(ROW(bhpc_data[sku]),ROW(bhpc_data[sku])),""),ROWS($A$15:A155)+$B$3))),IF($EC$13="",INDEX(bhpc_data[description],SMALL(IF(ISNUMBER(MATCH(bhpc_data[sex],$EC$11,0)),MATCH(ROW(bhpc_data[sku]),ROW(bhpc_data[sku])),""),ROWS($A$15:A155)+$B$3)),INDEX(bhpc_data[description],SMALL(IF(ISNUMBER(MATCH(bhpc_data[sex],$EC$11,0)*MATCH(bhpc_data[size1],$EC$13,0)),MATCH(ROW(bhpc_data[sku]),ROW(bhpc_data[sku])),""),ROWS($A$15:A155)+$B$3)))),IF($EC$11="",IF($EC$13="",INDEX(bhpc_data[description],SMALL(IF(ISNUMBER(MATCH(bhpc_data[category],$EC$9,0)),MATCH(ROW(bhpc_data[sku]),ROW(bhpc_data[sku])),""),ROWS($A$15:A155)+$B$3)),INDEX(bhpc_data[description],SMALL(IF(ISNUMBER(MATCH(bhpc_data[category],$EC$9,0)*MATCH(bhpc_data[size1],$EC$13,0)),MATCH(ROW(bhpc_data[sku]),ROW(bhpc_data[sku])),""),ROWS($A$15:A155)+$B$3))),IF($EC$13="",INDEX(bhpc_data[description],SMALL(IF(ISNUMBER(MATCH(bhpc_data[category],$EC$9,0)*MATCH(bhpc_data[sex],$EC$11,0)),MATCH(ROW(bhpc_data[sku]),ROW(bhpc_data[sku])),""),ROWS($A$15:A155)+$B$3)),INDEX(bhpc_data[description],SMALL(IF(ISNUMBER(MATCH(bhpc_data[category],$EC$9,0)*MATCH(bhpc_data[sex],$EC$11,0)*MATCH(bhpc_data[size1],$EC$13,0)),MATCH(ROW(bhpc_data[sku]),ROW(bhpc_data[sku])),""),ROWS($A$15:A155)+$B$3))))),"")</f>
        <v>YB1305B BHPC SUNGLASSES GUN/SOLID SMOKE</v>
      </c>
      <c r="EG150" s="263" t="str">
        <f>IFERROR(IF(warehouse[[#This Row],[SKU]]="","",INDEX(inventory[ESISTENZA],MATCH(warehouse[[#This Row],[SKU]],inventory[ARTICOLO],0))),"")</f>
        <v/>
      </c>
      <c r="EH150" s="328"/>
      <c r="EI150" s="328"/>
      <c r="EJ150" s="263"/>
      <c r="EK150" s="329"/>
    </row>
    <row r="151" spans="63:141" x14ac:dyDescent="0.35">
      <c r="BK151" s="450"/>
      <c r="BL151" s="451"/>
      <c r="BM151" s="452"/>
      <c r="BN151" s="451"/>
      <c r="BO151" s="452"/>
      <c r="EE151" s="202" t="str" cm="1">
        <f t="array" ref="EE151">IFERROR(IF($EC$9="",IF($EC$11="",IF($EC$13="",INDEX(bhpc_data[sku],SMALL(MATCH(ROW(bhpc_data[sku]),ROW(bhpc_data[sku])),ROWS($A$15:A156)+$B$3)),INDEX(bhpc_data[sku],SMALL(IF(ISNUMBER(MATCH(bhpc_data[size1],$EC$13,0)),MATCH(ROW(bhpc_data[sku]),ROW(bhpc_data[sku])),""),ROWS($A$15:A156)+$B$3))),IF($EC$13="",INDEX(bhpc_data[sku],SMALL(IF(ISNUMBER(MATCH(bhpc_data[sex],$EC$11,0)),MATCH(ROW(bhpc_data[sku]),ROW(bhpc_data[sku])),""),ROWS($A$15:A156)+$B$3)),INDEX(bhpc_data[sku],SMALL(IF(ISNUMBER(MATCH(bhpc_data[sex],$EC$11,0)*MATCH(bhpc_data[size1],$EC$13,0)),MATCH(ROW(bhpc_data[sku]),ROW(bhpc_data[sku])),""),ROWS($A$15:A156)+$B$3)))),IF($EC$11="",IF($EC$13="",INDEX(bhpc_data[sku],SMALL(IF(ISNUMBER(MATCH(bhpc_data[category],$EC$9,0)),MATCH(ROW(bhpc_data[sku]),ROW(bhpc_data[sku])),""),ROWS($A$15:A156)+$B$3)),INDEX(bhpc_data[sku],SMALL(IF(ISNUMBER(MATCH(bhpc_data[category],$EC$9,0)*MATCH(bhpc_data[size1],$EC$13,0)),MATCH(ROW(bhpc_data[sku]),ROW(bhpc_data[sku])),""),ROWS($A$15:A156)+$B$3))),IF($EC$13="",INDEX(bhpc_data[sku],SMALL(IF(ISNUMBER(MATCH(bhpc_data[category],$EC$9,0)*MATCH(bhpc_data[sex],$EC$11,0)),MATCH(ROW(bhpc_data[sku]),ROW(bhpc_data[sku])),""),ROWS($A$15:A156)+$B$3)),INDEX(bhpc_data[sku],SMALL(IF(ISNUMBER(MATCH(bhpc_data[category],$EC$9,0)*MATCH(bhpc_data[sex],$EC$11,0)*MATCH(bhpc_data[size1],$EC$13,0)),MATCH(ROW(bhpc_data[sku]),ROW(bhpc_data[sku])),""),ROWS($A$15:A156)+$B$3))))),"")</f>
        <v>Y00021</v>
      </c>
      <c r="EF151" s="198" t="str" cm="1">
        <f t="array" ref="EF151">IFERROR(IF($EC$9="",IF($EC$11="",IF($EC$13="",INDEX(bhpc_data[description],SMALL(MATCH(ROW(bhpc_data[sku]),ROW(bhpc_data[sku])),ROWS($A$15:A156)+$B$3)),INDEX(bhpc_data[description],SMALL(IF(ISNUMBER(MATCH(bhpc_data[size1],$EC$13,0)),MATCH(ROW(bhpc_data[sku]),ROW(bhpc_data[sku])),""),ROWS($A$15:A156)+$B$3))),IF($EC$13="",INDEX(bhpc_data[description],SMALL(IF(ISNUMBER(MATCH(bhpc_data[sex],$EC$11,0)),MATCH(ROW(bhpc_data[sku]),ROW(bhpc_data[sku])),""),ROWS($A$15:A156)+$B$3)),INDEX(bhpc_data[description],SMALL(IF(ISNUMBER(MATCH(bhpc_data[sex],$EC$11,0)*MATCH(bhpc_data[size1],$EC$13,0)),MATCH(ROW(bhpc_data[sku]),ROW(bhpc_data[sku])),""),ROWS($A$15:A156)+$B$3)))),IF($EC$11="",IF($EC$13="",INDEX(bhpc_data[description],SMALL(IF(ISNUMBER(MATCH(bhpc_data[category],$EC$9,0)),MATCH(ROW(bhpc_data[sku]),ROW(bhpc_data[sku])),""),ROWS($A$15:A156)+$B$3)),INDEX(bhpc_data[description],SMALL(IF(ISNUMBER(MATCH(bhpc_data[category],$EC$9,0)*MATCH(bhpc_data[size1],$EC$13,0)),MATCH(ROW(bhpc_data[sku]),ROW(bhpc_data[sku])),""),ROWS($A$15:A156)+$B$3))),IF($EC$13="",INDEX(bhpc_data[description],SMALL(IF(ISNUMBER(MATCH(bhpc_data[category],$EC$9,0)*MATCH(bhpc_data[sex],$EC$11,0)),MATCH(ROW(bhpc_data[sku]),ROW(bhpc_data[sku])),""),ROWS($A$15:A156)+$B$3)),INDEX(bhpc_data[description],SMALL(IF(ISNUMBER(MATCH(bhpc_data[category],$EC$9,0)*MATCH(bhpc_data[sex],$EC$11,0)*MATCH(bhpc_data[size1],$EC$13,0)),MATCH(ROW(bhpc_data[sku]),ROW(bhpc_data[sku])),""),ROWS($A$15:A156)+$B$3))))),"")</f>
        <v>YB1305C BHPC SUNGLASSES MATT BLACK / SOLID GREY</v>
      </c>
      <c r="EG151" s="263" t="str">
        <f>IFERROR(IF(warehouse[[#This Row],[SKU]]="","",INDEX(inventory[ESISTENZA],MATCH(warehouse[[#This Row],[SKU]],inventory[ARTICOLO],0))),"")</f>
        <v/>
      </c>
      <c r="EH151" s="328"/>
      <c r="EI151" s="328"/>
      <c r="EJ151" s="263"/>
      <c r="EK151" s="329"/>
    </row>
    <row r="152" spans="63:141" x14ac:dyDescent="0.35">
      <c r="BK152" s="450"/>
      <c r="BL152" s="451"/>
      <c r="BM152" s="452"/>
      <c r="BN152" s="451"/>
      <c r="BO152" s="452"/>
      <c r="EE152" s="202" t="str" cm="1">
        <f t="array" ref="EE152">IFERROR(IF($EC$9="",IF($EC$11="",IF($EC$13="",INDEX(bhpc_data[sku],SMALL(MATCH(ROW(bhpc_data[sku]),ROW(bhpc_data[sku])),ROWS($A$15:A157)+$B$3)),INDEX(bhpc_data[sku],SMALL(IF(ISNUMBER(MATCH(bhpc_data[size1],$EC$13,0)),MATCH(ROW(bhpc_data[sku]),ROW(bhpc_data[sku])),""),ROWS($A$15:A157)+$B$3))),IF($EC$13="",INDEX(bhpc_data[sku],SMALL(IF(ISNUMBER(MATCH(bhpc_data[sex],$EC$11,0)),MATCH(ROW(bhpc_data[sku]),ROW(bhpc_data[sku])),""),ROWS($A$15:A157)+$B$3)),INDEX(bhpc_data[sku],SMALL(IF(ISNUMBER(MATCH(bhpc_data[sex],$EC$11,0)*MATCH(bhpc_data[size1],$EC$13,0)),MATCH(ROW(bhpc_data[sku]),ROW(bhpc_data[sku])),""),ROWS($A$15:A157)+$B$3)))),IF($EC$11="",IF($EC$13="",INDEX(bhpc_data[sku],SMALL(IF(ISNUMBER(MATCH(bhpc_data[category],$EC$9,0)),MATCH(ROW(bhpc_data[sku]),ROW(bhpc_data[sku])),""),ROWS($A$15:A157)+$B$3)),INDEX(bhpc_data[sku],SMALL(IF(ISNUMBER(MATCH(bhpc_data[category],$EC$9,0)*MATCH(bhpc_data[size1],$EC$13,0)),MATCH(ROW(bhpc_data[sku]),ROW(bhpc_data[sku])),""),ROWS($A$15:A157)+$B$3))),IF($EC$13="",INDEX(bhpc_data[sku],SMALL(IF(ISNUMBER(MATCH(bhpc_data[category],$EC$9,0)*MATCH(bhpc_data[sex],$EC$11,0)),MATCH(ROW(bhpc_data[sku]),ROW(bhpc_data[sku])),""),ROWS($A$15:A157)+$B$3)),INDEX(bhpc_data[sku],SMALL(IF(ISNUMBER(MATCH(bhpc_data[category],$EC$9,0)*MATCH(bhpc_data[sex],$EC$11,0)*MATCH(bhpc_data[size1],$EC$13,0)),MATCH(ROW(bhpc_data[sku]),ROW(bhpc_data[sku])),""),ROWS($A$15:A157)+$B$3))))),"")</f>
        <v>Y00022</v>
      </c>
      <c r="EF152" s="198" t="str" cm="1">
        <f t="array" ref="EF152">IFERROR(IF($EC$9="",IF($EC$11="",IF($EC$13="",INDEX(bhpc_data[description],SMALL(MATCH(ROW(bhpc_data[sku]),ROW(bhpc_data[sku])),ROWS($A$15:A157)+$B$3)),INDEX(bhpc_data[description],SMALL(IF(ISNUMBER(MATCH(bhpc_data[size1],$EC$13,0)),MATCH(ROW(bhpc_data[sku]),ROW(bhpc_data[sku])),""),ROWS($A$15:A157)+$B$3))),IF($EC$13="",INDEX(bhpc_data[description],SMALL(IF(ISNUMBER(MATCH(bhpc_data[sex],$EC$11,0)),MATCH(ROW(bhpc_data[sku]),ROW(bhpc_data[sku])),""),ROWS($A$15:A157)+$B$3)),INDEX(bhpc_data[description],SMALL(IF(ISNUMBER(MATCH(bhpc_data[sex],$EC$11,0)*MATCH(bhpc_data[size1],$EC$13,0)),MATCH(ROW(bhpc_data[sku]),ROW(bhpc_data[sku])),""),ROWS($A$15:A157)+$B$3)))),IF($EC$11="",IF($EC$13="",INDEX(bhpc_data[description],SMALL(IF(ISNUMBER(MATCH(bhpc_data[category],$EC$9,0)),MATCH(ROW(bhpc_data[sku]),ROW(bhpc_data[sku])),""),ROWS($A$15:A157)+$B$3)),INDEX(bhpc_data[description],SMALL(IF(ISNUMBER(MATCH(bhpc_data[category],$EC$9,0)*MATCH(bhpc_data[size1],$EC$13,0)),MATCH(ROW(bhpc_data[sku]),ROW(bhpc_data[sku])),""),ROWS($A$15:A157)+$B$3))),IF($EC$13="",INDEX(bhpc_data[description],SMALL(IF(ISNUMBER(MATCH(bhpc_data[category],$EC$9,0)*MATCH(bhpc_data[sex],$EC$11,0)),MATCH(ROW(bhpc_data[sku]),ROW(bhpc_data[sku])),""),ROWS($A$15:A157)+$B$3)),INDEX(bhpc_data[description],SMALL(IF(ISNUMBER(MATCH(bhpc_data[category],$EC$9,0)*MATCH(bhpc_data[sex],$EC$11,0)*MATCH(bhpc_data[size1],$EC$13,0)),MATCH(ROW(bhpc_data[sku]),ROW(bhpc_data[sku])),""),ROWS($A$15:A157)+$B$3))))),"")</f>
        <v>YB1307A BHPC SUNGLASSES GOLD / GRADIENT GREY</v>
      </c>
      <c r="EG152" s="263" t="str">
        <f>IFERROR(IF(warehouse[[#This Row],[SKU]]="","",INDEX(inventory[ESISTENZA],MATCH(warehouse[[#This Row],[SKU]],inventory[ARTICOLO],0))),"")</f>
        <v/>
      </c>
      <c r="EH152" s="328"/>
      <c r="EI152" s="328"/>
      <c r="EJ152" s="263"/>
      <c r="EK152" s="329"/>
    </row>
    <row r="153" spans="63:141" x14ac:dyDescent="0.35">
      <c r="BK153" s="450"/>
      <c r="BL153" s="451"/>
      <c r="BM153" s="452"/>
      <c r="BN153" s="451"/>
      <c r="BO153" s="452"/>
      <c r="EE153" s="202" t="str" cm="1">
        <f t="array" ref="EE153">IFERROR(IF($EC$9="",IF($EC$11="",IF($EC$13="",INDEX(bhpc_data[sku],SMALL(MATCH(ROW(bhpc_data[sku]),ROW(bhpc_data[sku])),ROWS($A$15:A158)+$B$3)),INDEX(bhpc_data[sku],SMALL(IF(ISNUMBER(MATCH(bhpc_data[size1],$EC$13,0)),MATCH(ROW(bhpc_data[sku]),ROW(bhpc_data[sku])),""),ROWS($A$15:A158)+$B$3))),IF($EC$13="",INDEX(bhpc_data[sku],SMALL(IF(ISNUMBER(MATCH(bhpc_data[sex],$EC$11,0)),MATCH(ROW(bhpc_data[sku]),ROW(bhpc_data[sku])),""),ROWS($A$15:A158)+$B$3)),INDEX(bhpc_data[sku],SMALL(IF(ISNUMBER(MATCH(bhpc_data[sex],$EC$11,0)*MATCH(bhpc_data[size1],$EC$13,0)),MATCH(ROW(bhpc_data[sku]),ROW(bhpc_data[sku])),""),ROWS($A$15:A158)+$B$3)))),IF($EC$11="",IF($EC$13="",INDEX(bhpc_data[sku],SMALL(IF(ISNUMBER(MATCH(bhpc_data[category],$EC$9,0)),MATCH(ROW(bhpc_data[sku]),ROW(bhpc_data[sku])),""),ROWS($A$15:A158)+$B$3)),INDEX(bhpc_data[sku],SMALL(IF(ISNUMBER(MATCH(bhpc_data[category],$EC$9,0)*MATCH(bhpc_data[size1],$EC$13,0)),MATCH(ROW(bhpc_data[sku]),ROW(bhpc_data[sku])),""),ROWS($A$15:A158)+$B$3))),IF($EC$13="",INDEX(bhpc_data[sku],SMALL(IF(ISNUMBER(MATCH(bhpc_data[category],$EC$9,0)*MATCH(bhpc_data[sex],$EC$11,0)),MATCH(ROW(bhpc_data[sku]),ROW(bhpc_data[sku])),""),ROWS($A$15:A158)+$B$3)),INDEX(bhpc_data[sku],SMALL(IF(ISNUMBER(MATCH(bhpc_data[category],$EC$9,0)*MATCH(bhpc_data[sex],$EC$11,0)*MATCH(bhpc_data[size1],$EC$13,0)),MATCH(ROW(bhpc_data[sku]),ROW(bhpc_data[sku])),""),ROWS($A$15:A158)+$B$3))))),"")</f>
        <v>Y00023</v>
      </c>
      <c r="EF153" s="198" t="str" cm="1">
        <f t="array" ref="EF153">IFERROR(IF($EC$9="",IF($EC$11="",IF($EC$13="",INDEX(bhpc_data[description],SMALL(MATCH(ROW(bhpc_data[sku]),ROW(bhpc_data[sku])),ROWS($A$15:A158)+$B$3)),INDEX(bhpc_data[description],SMALL(IF(ISNUMBER(MATCH(bhpc_data[size1],$EC$13,0)),MATCH(ROW(bhpc_data[sku]),ROW(bhpc_data[sku])),""),ROWS($A$15:A158)+$B$3))),IF($EC$13="",INDEX(bhpc_data[description],SMALL(IF(ISNUMBER(MATCH(bhpc_data[sex],$EC$11,0)),MATCH(ROW(bhpc_data[sku]),ROW(bhpc_data[sku])),""),ROWS($A$15:A158)+$B$3)),INDEX(bhpc_data[description],SMALL(IF(ISNUMBER(MATCH(bhpc_data[sex],$EC$11,0)*MATCH(bhpc_data[size1],$EC$13,0)),MATCH(ROW(bhpc_data[sku]),ROW(bhpc_data[sku])),""),ROWS($A$15:A158)+$B$3)))),IF($EC$11="",IF($EC$13="",INDEX(bhpc_data[description],SMALL(IF(ISNUMBER(MATCH(bhpc_data[category],$EC$9,0)),MATCH(ROW(bhpc_data[sku]),ROW(bhpc_data[sku])),""),ROWS($A$15:A158)+$B$3)),INDEX(bhpc_data[description],SMALL(IF(ISNUMBER(MATCH(bhpc_data[category],$EC$9,0)*MATCH(bhpc_data[size1],$EC$13,0)),MATCH(ROW(bhpc_data[sku]),ROW(bhpc_data[sku])),""),ROWS($A$15:A158)+$B$3))),IF($EC$13="",INDEX(bhpc_data[description],SMALL(IF(ISNUMBER(MATCH(bhpc_data[category],$EC$9,0)*MATCH(bhpc_data[sex],$EC$11,0)),MATCH(ROW(bhpc_data[sku]),ROW(bhpc_data[sku])),""),ROWS($A$15:A158)+$B$3)),INDEX(bhpc_data[description],SMALL(IF(ISNUMBER(MATCH(bhpc_data[category],$EC$9,0)*MATCH(bhpc_data[sex],$EC$11,0)*MATCH(bhpc_data[size1],$EC$13,0)),MATCH(ROW(bhpc_data[sku]),ROW(bhpc_data[sku])),""),ROWS($A$15:A158)+$B$3))))),"")</f>
        <v>YB1307B BHPC SUNGLASSES BROWN / GRADIENT CLAY</v>
      </c>
      <c r="EG153" s="263" t="str">
        <f>IFERROR(IF(warehouse[[#This Row],[SKU]]="","",INDEX(inventory[ESISTENZA],MATCH(warehouse[[#This Row],[SKU]],inventory[ARTICOLO],0))),"")</f>
        <v/>
      </c>
      <c r="EH153" s="328"/>
      <c r="EI153" s="328"/>
      <c r="EJ153" s="263"/>
      <c r="EK153" s="329"/>
    </row>
    <row r="154" spans="63:141" x14ac:dyDescent="0.35">
      <c r="BK154" s="450"/>
      <c r="BL154" s="451"/>
      <c r="BM154" s="452"/>
      <c r="BN154" s="451"/>
      <c r="BO154" s="452"/>
      <c r="EE154" s="202" t="str" cm="1">
        <f t="array" ref="EE154">IFERROR(IF($EC$9="",IF($EC$11="",IF($EC$13="",INDEX(bhpc_data[sku],SMALL(MATCH(ROW(bhpc_data[sku]),ROW(bhpc_data[sku])),ROWS($A$15:A159)+$B$3)),INDEX(bhpc_data[sku],SMALL(IF(ISNUMBER(MATCH(bhpc_data[size1],$EC$13,0)),MATCH(ROW(bhpc_data[sku]),ROW(bhpc_data[sku])),""),ROWS($A$15:A159)+$B$3))),IF($EC$13="",INDEX(bhpc_data[sku],SMALL(IF(ISNUMBER(MATCH(bhpc_data[sex],$EC$11,0)),MATCH(ROW(bhpc_data[sku]),ROW(bhpc_data[sku])),""),ROWS($A$15:A159)+$B$3)),INDEX(bhpc_data[sku],SMALL(IF(ISNUMBER(MATCH(bhpc_data[sex],$EC$11,0)*MATCH(bhpc_data[size1],$EC$13,0)),MATCH(ROW(bhpc_data[sku]),ROW(bhpc_data[sku])),""),ROWS($A$15:A159)+$B$3)))),IF($EC$11="",IF($EC$13="",INDEX(bhpc_data[sku],SMALL(IF(ISNUMBER(MATCH(bhpc_data[category],$EC$9,0)),MATCH(ROW(bhpc_data[sku]),ROW(bhpc_data[sku])),""),ROWS($A$15:A159)+$B$3)),INDEX(bhpc_data[sku],SMALL(IF(ISNUMBER(MATCH(bhpc_data[category],$EC$9,0)*MATCH(bhpc_data[size1],$EC$13,0)),MATCH(ROW(bhpc_data[sku]),ROW(bhpc_data[sku])),""),ROWS($A$15:A159)+$B$3))),IF($EC$13="",INDEX(bhpc_data[sku],SMALL(IF(ISNUMBER(MATCH(bhpc_data[category],$EC$9,0)*MATCH(bhpc_data[sex],$EC$11,0)),MATCH(ROW(bhpc_data[sku]),ROW(bhpc_data[sku])),""),ROWS($A$15:A159)+$B$3)),INDEX(bhpc_data[sku],SMALL(IF(ISNUMBER(MATCH(bhpc_data[category],$EC$9,0)*MATCH(bhpc_data[sex],$EC$11,0)*MATCH(bhpc_data[size1],$EC$13,0)),MATCH(ROW(bhpc_data[sku]),ROW(bhpc_data[sku])),""),ROWS($A$15:A159)+$B$3))))),"")</f>
        <v>Y00024</v>
      </c>
      <c r="EF154" s="198" t="str" cm="1">
        <f t="array" ref="EF154">IFERROR(IF($EC$9="",IF($EC$11="",IF($EC$13="",INDEX(bhpc_data[description],SMALL(MATCH(ROW(bhpc_data[sku]),ROW(bhpc_data[sku])),ROWS($A$15:A159)+$B$3)),INDEX(bhpc_data[description],SMALL(IF(ISNUMBER(MATCH(bhpc_data[size1],$EC$13,0)),MATCH(ROW(bhpc_data[sku]),ROW(bhpc_data[sku])),""),ROWS($A$15:A159)+$B$3))),IF($EC$13="",INDEX(bhpc_data[description],SMALL(IF(ISNUMBER(MATCH(bhpc_data[sex],$EC$11,0)),MATCH(ROW(bhpc_data[sku]),ROW(bhpc_data[sku])),""),ROWS($A$15:A159)+$B$3)),INDEX(bhpc_data[description],SMALL(IF(ISNUMBER(MATCH(bhpc_data[sex],$EC$11,0)*MATCH(bhpc_data[size1],$EC$13,0)),MATCH(ROW(bhpc_data[sku]),ROW(bhpc_data[sku])),""),ROWS($A$15:A159)+$B$3)))),IF($EC$11="",IF($EC$13="",INDEX(bhpc_data[description],SMALL(IF(ISNUMBER(MATCH(bhpc_data[category],$EC$9,0)),MATCH(ROW(bhpc_data[sku]),ROW(bhpc_data[sku])),""),ROWS($A$15:A159)+$B$3)),INDEX(bhpc_data[description],SMALL(IF(ISNUMBER(MATCH(bhpc_data[category],$EC$9,0)*MATCH(bhpc_data[size1],$EC$13,0)),MATCH(ROW(bhpc_data[sku]),ROW(bhpc_data[sku])),""),ROWS($A$15:A159)+$B$3))),IF($EC$13="",INDEX(bhpc_data[description],SMALL(IF(ISNUMBER(MATCH(bhpc_data[category],$EC$9,0)*MATCH(bhpc_data[sex],$EC$11,0)),MATCH(ROW(bhpc_data[sku]),ROW(bhpc_data[sku])),""),ROWS($A$15:A159)+$B$3)),INDEX(bhpc_data[description],SMALL(IF(ISNUMBER(MATCH(bhpc_data[category],$EC$9,0)*MATCH(bhpc_data[sex],$EC$11,0)*MATCH(bhpc_data[size1],$EC$13,0)),MATCH(ROW(bhpc_data[sku]),ROW(bhpc_data[sku])),""),ROWS($A$15:A159)+$B$3))))),"")</f>
        <v>YB1307C BHPC SUNGLASSES ROSE GOLD/DOUBLE GRAD. GREYRED</v>
      </c>
      <c r="EG154" s="263" t="str">
        <f>IFERROR(IF(warehouse[[#This Row],[SKU]]="","",INDEX(inventory[ESISTENZA],MATCH(warehouse[[#This Row],[SKU]],inventory[ARTICOLO],0))),"")</f>
        <v/>
      </c>
      <c r="EH154" s="328"/>
      <c r="EI154" s="328"/>
      <c r="EJ154" s="263"/>
      <c r="EK154" s="329"/>
    </row>
    <row r="155" spans="63:141" x14ac:dyDescent="0.35">
      <c r="BK155" s="450"/>
      <c r="BL155" s="451"/>
      <c r="BM155" s="452"/>
      <c r="BN155" s="451"/>
      <c r="BO155" s="452"/>
      <c r="EE155" s="202" t="str" cm="1">
        <f t="array" ref="EE155">IFERROR(IF($EC$9="",IF($EC$11="",IF($EC$13="",INDEX(bhpc_data[sku],SMALL(MATCH(ROW(bhpc_data[sku]),ROW(bhpc_data[sku])),ROWS($A$15:A160)+$B$3)),INDEX(bhpc_data[sku],SMALL(IF(ISNUMBER(MATCH(bhpc_data[size1],$EC$13,0)),MATCH(ROW(bhpc_data[sku]),ROW(bhpc_data[sku])),""),ROWS($A$15:A160)+$B$3))),IF($EC$13="",INDEX(bhpc_data[sku],SMALL(IF(ISNUMBER(MATCH(bhpc_data[sex],$EC$11,0)),MATCH(ROW(bhpc_data[sku]),ROW(bhpc_data[sku])),""),ROWS($A$15:A160)+$B$3)),INDEX(bhpc_data[sku],SMALL(IF(ISNUMBER(MATCH(bhpc_data[sex],$EC$11,0)*MATCH(bhpc_data[size1],$EC$13,0)),MATCH(ROW(bhpc_data[sku]),ROW(bhpc_data[sku])),""),ROWS($A$15:A160)+$B$3)))),IF($EC$11="",IF($EC$13="",INDEX(bhpc_data[sku],SMALL(IF(ISNUMBER(MATCH(bhpc_data[category],$EC$9,0)),MATCH(ROW(bhpc_data[sku]),ROW(bhpc_data[sku])),""),ROWS($A$15:A160)+$B$3)),INDEX(bhpc_data[sku],SMALL(IF(ISNUMBER(MATCH(bhpc_data[category],$EC$9,0)*MATCH(bhpc_data[size1],$EC$13,0)),MATCH(ROW(bhpc_data[sku]),ROW(bhpc_data[sku])),""),ROWS($A$15:A160)+$B$3))),IF($EC$13="",INDEX(bhpc_data[sku],SMALL(IF(ISNUMBER(MATCH(bhpc_data[category],$EC$9,0)*MATCH(bhpc_data[sex],$EC$11,0)),MATCH(ROW(bhpc_data[sku]),ROW(bhpc_data[sku])),""),ROWS($A$15:A160)+$B$3)),INDEX(bhpc_data[sku],SMALL(IF(ISNUMBER(MATCH(bhpc_data[category],$EC$9,0)*MATCH(bhpc_data[sex],$EC$11,0)*MATCH(bhpc_data[size1],$EC$13,0)),MATCH(ROW(bhpc_data[sku]),ROW(bhpc_data[sku])),""),ROWS($A$15:A160)+$B$3))))),"")</f>
        <v>Y00025</v>
      </c>
      <c r="EF155" s="198" t="str" cm="1">
        <f t="array" ref="EF155">IFERROR(IF($EC$9="",IF($EC$11="",IF($EC$13="",INDEX(bhpc_data[description],SMALL(MATCH(ROW(bhpc_data[sku]),ROW(bhpc_data[sku])),ROWS($A$15:A160)+$B$3)),INDEX(bhpc_data[description],SMALL(IF(ISNUMBER(MATCH(bhpc_data[size1],$EC$13,0)),MATCH(ROW(bhpc_data[sku]),ROW(bhpc_data[sku])),""),ROWS($A$15:A160)+$B$3))),IF($EC$13="",INDEX(bhpc_data[description],SMALL(IF(ISNUMBER(MATCH(bhpc_data[sex],$EC$11,0)),MATCH(ROW(bhpc_data[sku]),ROW(bhpc_data[sku])),""),ROWS($A$15:A160)+$B$3)),INDEX(bhpc_data[description],SMALL(IF(ISNUMBER(MATCH(bhpc_data[sex],$EC$11,0)*MATCH(bhpc_data[size1],$EC$13,0)),MATCH(ROW(bhpc_data[sku]),ROW(bhpc_data[sku])),""),ROWS($A$15:A160)+$B$3)))),IF($EC$11="",IF($EC$13="",INDEX(bhpc_data[description],SMALL(IF(ISNUMBER(MATCH(bhpc_data[category],$EC$9,0)),MATCH(ROW(bhpc_data[sku]),ROW(bhpc_data[sku])),""),ROWS($A$15:A160)+$B$3)),INDEX(bhpc_data[description],SMALL(IF(ISNUMBER(MATCH(bhpc_data[category],$EC$9,0)*MATCH(bhpc_data[size1],$EC$13,0)),MATCH(ROW(bhpc_data[sku]),ROW(bhpc_data[sku])),""),ROWS($A$15:A160)+$B$3))),IF($EC$13="",INDEX(bhpc_data[description],SMALL(IF(ISNUMBER(MATCH(bhpc_data[category],$EC$9,0)*MATCH(bhpc_data[sex],$EC$11,0)),MATCH(ROW(bhpc_data[sku]),ROW(bhpc_data[sku])),""),ROWS($A$15:A160)+$B$3)),INDEX(bhpc_data[description],SMALL(IF(ISNUMBER(MATCH(bhpc_data[category],$EC$9,0)*MATCH(bhpc_data[sex],$EC$11,0)*MATCH(bhpc_data[size1],$EC$13,0)),MATCH(ROW(bhpc_data[sku]),ROW(bhpc_data[sku])),""),ROWS($A$15:A160)+$B$3))))),"")</f>
        <v>YB1306A BHPC SUNGLASSES GOLD/BLACK GRADIENT GREY</v>
      </c>
      <c r="EG155" s="263" t="str">
        <f>IFERROR(IF(warehouse[[#This Row],[SKU]]="","",INDEX(inventory[ESISTENZA],MATCH(warehouse[[#This Row],[SKU]],inventory[ARTICOLO],0))),"")</f>
        <v/>
      </c>
      <c r="EH155" s="328"/>
      <c r="EI155" s="328"/>
      <c r="EJ155" s="263"/>
      <c r="EK155" s="329"/>
    </row>
    <row r="156" spans="63:141" x14ac:dyDescent="0.35">
      <c r="BK156" s="450"/>
      <c r="BL156" s="451"/>
      <c r="BM156" s="452"/>
      <c r="BN156" s="451"/>
      <c r="BO156" s="452"/>
      <c r="EE156" s="202" t="str" cm="1">
        <f t="array" ref="EE156">IFERROR(IF($EC$9="",IF($EC$11="",IF($EC$13="",INDEX(bhpc_data[sku],SMALL(MATCH(ROW(bhpc_data[sku]),ROW(bhpc_data[sku])),ROWS($A$15:A161)+$B$3)),INDEX(bhpc_data[sku],SMALL(IF(ISNUMBER(MATCH(bhpc_data[size1],$EC$13,0)),MATCH(ROW(bhpc_data[sku]),ROW(bhpc_data[sku])),""),ROWS($A$15:A161)+$B$3))),IF($EC$13="",INDEX(bhpc_data[sku],SMALL(IF(ISNUMBER(MATCH(bhpc_data[sex],$EC$11,0)),MATCH(ROW(bhpc_data[sku]),ROW(bhpc_data[sku])),""),ROWS($A$15:A161)+$B$3)),INDEX(bhpc_data[sku],SMALL(IF(ISNUMBER(MATCH(bhpc_data[sex],$EC$11,0)*MATCH(bhpc_data[size1],$EC$13,0)),MATCH(ROW(bhpc_data[sku]),ROW(bhpc_data[sku])),""),ROWS($A$15:A161)+$B$3)))),IF($EC$11="",IF($EC$13="",INDEX(bhpc_data[sku],SMALL(IF(ISNUMBER(MATCH(bhpc_data[category],$EC$9,0)),MATCH(ROW(bhpc_data[sku]),ROW(bhpc_data[sku])),""),ROWS($A$15:A161)+$B$3)),INDEX(bhpc_data[sku],SMALL(IF(ISNUMBER(MATCH(bhpc_data[category],$EC$9,0)*MATCH(bhpc_data[size1],$EC$13,0)),MATCH(ROW(bhpc_data[sku]),ROW(bhpc_data[sku])),""),ROWS($A$15:A161)+$B$3))),IF($EC$13="",INDEX(bhpc_data[sku],SMALL(IF(ISNUMBER(MATCH(bhpc_data[category],$EC$9,0)*MATCH(bhpc_data[sex],$EC$11,0)),MATCH(ROW(bhpc_data[sku]),ROW(bhpc_data[sku])),""),ROWS($A$15:A161)+$B$3)),INDEX(bhpc_data[sku],SMALL(IF(ISNUMBER(MATCH(bhpc_data[category],$EC$9,0)*MATCH(bhpc_data[sex],$EC$11,0)*MATCH(bhpc_data[size1],$EC$13,0)),MATCH(ROW(bhpc_data[sku]),ROW(bhpc_data[sku])),""),ROWS($A$15:A161)+$B$3))))),"")</f>
        <v>Y00026</v>
      </c>
      <c r="EF156" s="198" t="str" cm="1">
        <f t="array" ref="EF156">IFERROR(IF($EC$9="",IF($EC$11="",IF($EC$13="",INDEX(bhpc_data[description],SMALL(MATCH(ROW(bhpc_data[sku]),ROW(bhpc_data[sku])),ROWS($A$15:A161)+$B$3)),INDEX(bhpc_data[description],SMALL(IF(ISNUMBER(MATCH(bhpc_data[size1],$EC$13,0)),MATCH(ROW(bhpc_data[sku]),ROW(bhpc_data[sku])),""),ROWS($A$15:A161)+$B$3))),IF($EC$13="",INDEX(bhpc_data[description],SMALL(IF(ISNUMBER(MATCH(bhpc_data[sex],$EC$11,0)),MATCH(ROW(bhpc_data[sku]),ROW(bhpc_data[sku])),""),ROWS($A$15:A161)+$B$3)),INDEX(bhpc_data[description],SMALL(IF(ISNUMBER(MATCH(bhpc_data[sex],$EC$11,0)*MATCH(bhpc_data[size1],$EC$13,0)),MATCH(ROW(bhpc_data[sku]),ROW(bhpc_data[sku])),""),ROWS($A$15:A161)+$B$3)))),IF($EC$11="",IF($EC$13="",INDEX(bhpc_data[description],SMALL(IF(ISNUMBER(MATCH(bhpc_data[category],$EC$9,0)),MATCH(ROW(bhpc_data[sku]),ROW(bhpc_data[sku])),""),ROWS($A$15:A161)+$B$3)),INDEX(bhpc_data[description],SMALL(IF(ISNUMBER(MATCH(bhpc_data[category],$EC$9,0)*MATCH(bhpc_data[size1],$EC$13,0)),MATCH(ROW(bhpc_data[sku]),ROW(bhpc_data[sku])),""),ROWS($A$15:A161)+$B$3))),IF($EC$13="",INDEX(bhpc_data[description],SMALL(IF(ISNUMBER(MATCH(bhpc_data[category],$EC$9,0)*MATCH(bhpc_data[sex],$EC$11,0)),MATCH(ROW(bhpc_data[sku]),ROW(bhpc_data[sku])),""),ROWS($A$15:A161)+$B$3)),INDEX(bhpc_data[description],SMALL(IF(ISNUMBER(MATCH(bhpc_data[category],$EC$9,0)*MATCH(bhpc_data[sex],$EC$11,0)*MATCH(bhpc_data[size1],$EC$13,0)),MATCH(ROW(bhpc_data[sku]),ROW(bhpc_data[sku])),""),ROWS($A$15:A161)+$B$3))))),"")</f>
        <v>YB1306B BHPC SUNGLASSES GOLD/BEIGE / GRADIENT CLAY</v>
      </c>
      <c r="EG156" s="263" t="str">
        <f>IFERROR(IF(warehouse[[#This Row],[SKU]]="","",INDEX(inventory[ESISTENZA],MATCH(warehouse[[#This Row],[SKU]],inventory[ARTICOLO],0))),"")</f>
        <v/>
      </c>
      <c r="EH156" s="328"/>
      <c r="EI156" s="328"/>
      <c r="EJ156" s="263"/>
      <c r="EK156" s="329"/>
    </row>
    <row r="157" spans="63:141" x14ac:dyDescent="0.35">
      <c r="BK157" s="450"/>
      <c r="BL157" s="451"/>
      <c r="BM157" s="452"/>
      <c r="BN157" s="451"/>
      <c r="BO157" s="452"/>
      <c r="EE157" s="202" t="str" cm="1">
        <f t="array" ref="EE157">IFERROR(IF($EC$9="",IF($EC$11="",IF($EC$13="",INDEX(bhpc_data[sku],SMALL(MATCH(ROW(bhpc_data[sku]),ROW(bhpc_data[sku])),ROWS($A$15:A162)+$B$3)),INDEX(bhpc_data[sku],SMALL(IF(ISNUMBER(MATCH(bhpc_data[size1],$EC$13,0)),MATCH(ROW(bhpc_data[sku]),ROW(bhpc_data[sku])),""),ROWS($A$15:A162)+$B$3))),IF($EC$13="",INDEX(bhpc_data[sku],SMALL(IF(ISNUMBER(MATCH(bhpc_data[sex],$EC$11,0)),MATCH(ROW(bhpc_data[sku]),ROW(bhpc_data[sku])),""),ROWS($A$15:A162)+$B$3)),INDEX(bhpc_data[sku],SMALL(IF(ISNUMBER(MATCH(bhpc_data[sex],$EC$11,0)*MATCH(bhpc_data[size1],$EC$13,0)),MATCH(ROW(bhpc_data[sku]),ROW(bhpc_data[sku])),""),ROWS($A$15:A162)+$B$3)))),IF($EC$11="",IF($EC$13="",INDEX(bhpc_data[sku],SMALL(IF(ISNUMBER(MATCH(bhpc_data[category],$EC$9,0)),MATCH(ROW(bhpc_data[sku]),ROW(bhpc_data[sku])),""),ROWS($A$15:A162)+$B$3)),INDEX(bhpc_data[sku],SMALL(IF(ISNUMBER(MATCH(bhpc_data[category],$EC$9,0)*MATCH(bhpc_data[size1],$EC$13,0)),MATCH(ROW(bhpc_data[sku]),ROW(bhpc_data[sku])),""),ROWS($A$15:A162)+$B$3))),IF($EC$13="",INDEX(bhpc_data[sku],SMALL(IF(ISNUMBER(MATCH(bhpc_data[category],$EC$9,0)*MATCH(bhpc_data[sex],$EC$11,0)),MATCH(ROW(bhpc_data[sku]),ROW(bhpc_data[sku])),""),ROWS($A$15:A162)+$B$3)),INDEX(bhpc_data[sku],SMALL(IF(ISNUMBER(MATCH(bhpc_data[category],$EC$9,0)*MATCH(bhpc_data[sex],$EC$11,0)*MATCH(bhpc_data[size1],$EC$13,0)),MATCH(ROW(bhpc_data[sku]),ROW(bhpc_data[sku])),""),ROWS($A$15:A162)+$B$3))))),"")</f>
        <v>Y00027</v>
      </c>
      <c r="EF157" s="198" t="str" cm="1">
        <f t="array" ref="EF157">IFERROR(IF($EC$9="",IF($EC$11="",IF($EC$13="",INDEX(bhpc_data[description],SMALL(MATCH(ROW(bhpc_data[sku]),ROW(bhpc_data[sku])),ROWS($A$15:A162)+$B$3)),INDEX(bhpc_data[description],SMALL(IF(ISNUMBER(MATCH(bhpc_data[size1],$EC$13,0)),MATCH(ROW(bhpc_data[sku]),ROW(bhpc_data[sku])),""),ROWS($A$15:A162)+$B$3))),IF($EC$13="",INDEX(bhpc_data[description],SMALL(IF(ISNUMBER(MATCH(bhpc_data[sex],$EC$11,0)),MATCH(ROW(bhpc_data[sku]),ROW(bhpc_data[sku])),""),ROWS($A$15:A162)+$B$3)),INDEX(bhpc_data[description],SMALL(IF(ISNUMBER(MATCH(bhpc_data[sex],$EC$11,0)*MATCH(bhpc_data[size1],$EC$13,0)),MATCH(ROW(bhpc_data[sku]),ROW(bhpc_data[sku])),""),ROWS($A$15:A162)+$B$3)))),IF($EC$11="",IF($EC$13="",INDEX(bhpc_data[description],SMALL(IF(ISNUMBER(MATCH(bhpc_data[category],$EC$9,0)),MATCH(ROW(bhpc_data[sku]),ROW(bhpc_data[sku])),""),ROWS($A$15:A162)+$B$3)),INDEX(bhpc_data[description],SMALL(IF(ISNUMBER(MATCH(bhpc_data[category],$EC$9,0)*MATCH(bhpc_data[size1],$EC$13,0)),MATCH(ROW(bhpc_data[sku]),ROW(bhpc_data[sku])),""),ROWS($A$15:A162)+$B$3))),IF($EC$13="",INDEX(bhpc_data[description],SMALL(IF(ISNUMBER(MATCH(bhpc_data[category],$EC$9,0)*MATCH(bhpc_data[sex],$EC$11,0)),MATCH(ROW(bhpc_data[sku]),ROW(bhpc_data[sku])),""),ROWS($A$15:A162)+$B$3)),INDEX(bhpc_data[description],SMALL(IF(ISNUMBER(MATCH(bhpc_data[category],$EC$9,0)*MATCH(bhpc_data[sex],$EC$11,0)*MATCH(bhpc_data[size1],$EC$13,0)),MATCH(ROW(bhpc_data[sku]),ROW(bhpc_data[sku])),""),ROWS($A$15:A162)+$B$3))))),"")</f>
        <v>YB1306C BHPC SUNGLASSES BRONZE GOLD / GRADIENT COFFEE</v>
      </c>
      <c r="EG157" s="263" t="str">
        <f>IFERROR(IF(warehouse[[#This Row],[SKU]]="","",INDEX(inventory[ESISTENZA],MATCH(warehouse[[#This Row],[SKU]],inventory[ARTICOLO],0))),"")</f>
        <v/>
      </c>
      <c r="EH157" s="328"/>
      <c r="EI157" s="328"/>
      <c r="EJ157" s="263"/>
      <c r="EK157" s="329"/>
    </row>
    <row r="158" spans="63:141" x14ac:dyDescent="0.35">
      <c r="BK158" s="450"/>
      <c r="BL158" s="451"/>
      <c r="BM158" s="452"/>
      <c r="BN158" s="451"/>
      <c r="BO158" s="452"/>
      <c r="EE158" s="202" t="str" cm="1">
        <f t="array" ref="EE158">IFERROR(IF($EC$9="",IF($EC$11="",IF($EC$13="",INDEX(bhpc_data[sku],SMALL(MATCH(ROW(bhpc_data[sku]),ROW(bhpc_data[sku])),ROWS($A$15:A163)+$B$3)),INDEX(bhpc_data[sku],SMALL(IF(ISNUMBER(MATCH(bhpc_data[size1],$EC$13,0)),MATCH(ROW(bhpc_data[sku]),ROW(bhpc_data[sku])),""),ROWS($A$15:A163)+$B$3))),IF($EC$13="",INDEX(bhpc_data[sku],SMALL(IF(ISNUMBER(MATCH(bhpc_data[sex],$EC$11,0)),MATCH(ROW(bhpc_data[sku]),ROW(bhpc_data[sku])),""),ROWS($A$15:A163)+$B$3)),INDEX(bhpc_data[sku],SMALL(IF(ISNUMBER(MATCH(bhpc_data[sex],$EC$11,0)*MATCH(bhpc_data[size1],$EC$13,0)),MATCH(ROW(bhpc_data[sku]),ROW(bhpc_data[sku])),""),ROWS($A$15:A163)+$B$3)))),IF($EC$11="",IF($EC$13="",INDEX(bhpc_data[sku],SMALL(IF(ISNUMBER(MATCH(bhpc_data[category],$EC$9,0)),MATCH(ROW(bhpc_data[sku]),ROW(bhpc_data[sku])),""),ROWS($A$15:A163)+$B$3)),INDEX(bhpc_data[sku],SMALL(IF(ISNUMBER(MATCH(bhpc_data[category],$EC$9,0)*MATCH(bhpc_data[size1],$EC$13,0)),MATCH(ROW(bhpc_data[sku]),ROW(bhpc_data[sku])),""),ROWS($A$15:A163)+$B$3))),IF($EC$13="",INDEX(bhpc_data[sku],SMALL(IF(ISNUMBER(MATCH(bhpc_data[category],$EC$9,0)*MATCH(bhpc_data[sex],$EC$11,0)),MATCH(ROW(bhpc_data[sku]),ROW(bhpc_data[sku])),""),ROWS($A$15:A163)+$B$3)),INDEX(bhpc_data[sku],SMALL(IF(ISNUMBER(MATCH(bhpc_data[category],$EC$9,0)*MATCH(bhpc_data[sex],$EC$11,0)*MATCH(bhpc_data[size1],$EC$13,0)),MATCH(ROW(bhpc_data[sku]),ROW(bhpc_data[sku])),""),ROWS($A$15:A163)+$B$3))))),"")</f>
        <v>Y00028</v>
      </c>
      <c r="EF158" s="198" t="str" cm="1">
        <f t="array" ref="EF158">IFERROR(IF($EC$9="",IF($EC$11="",IF($EC$13="",INDEX(bhpc_data[description],SMALL(MATCH(ROW(bhpc_data[sku]),ROW(bhpc_data[sku])),ROWS($A$15:A163)+$B$3)),INDEX(bhpc_data[description],SMALL(IF(ISNUMBER(MATCH(bhpc_data[size1],$EC$13,0)),MATCH(ROW(bhpc_data[sku]),ROW(bhpc_data[sku])),""),ROWS($A$15:A163)+$B$3))),IF($EC$13="",INDEX(bhpc_data[description],SMALL(IF(ISNUMBER(MATCH(bhpc_data[sex],$EC$11,0)),MATCH(ROW(bhpc_data[sku]),ROW(bhpc_data[sku])),""),ROWS($A$15:A163)+$B$3)),INDEX(bhpc_data[description],SMALL(IF(ISNUMBER(MATCH(bhpc_data[sex],$EC$11,0)*MATCH(bhpc_data[size1],$EC$13,0)),MATCH(ROW(bhpc_data[sku]),ROW(bhpc_data[sku])),""),ROWS($A$15:A163)+$B$3)))),IF($EC$11="",IF($EC$13="",INDEX(bhpc_data[description],SMALL(IF(ISNUMBER(MATCH(bhpc_data[category],$EC$9,0)),MATCH(ROW(bhpc_data[sku]),ROW(bhpc_data[sku])),""),ROWS($A$15:A163)+$B$3)),INDEX(bhpc_data[description],SMALL(IF(ISNUMBER(MATCH(bhpc_data[category],$EC$9,0)*MATCH(bhpc_data[size1],$EC$13,0)),MATCH(ROW(bhpc_data[sku]),ROW(bhpc_data[sku])),""),ROWS($A$15:A163)+$B$3))),IF($EC$13="",INDEX(bhpc_data[description],SMALL(IF(ISNUMBER(MATCH(bhpc_data[category],$EC$9,0)*MATCH(bhpc_data[sex],$EC$11,0)),MATCH(ROW(bhpc_data[sku]),ROW(bhpc_data[sku])),""),ROWS($A$15:A163)+$B$3)),INDEX(bhpc_data[description],SMALL(IF(ISNUMBER(MATCH(bhpc_data[category],$EC$9,0)*MATCH(bhpc_data[sex],$EC$11,0)*MATCH(bhpc_data[size1],$EC$13,0)),MATCH(ROW(bhpc_data[sku]),ROW(bhpc_data[sku])),""),ROWS($A$15:A163)+$B$3))))),"")</f>
        <v>YB2311A BHPC SUNGLASSES DEMI / GRADIENT MOCCA</v>
      </c>
      <c r="EG158" s="263" t="str">
        <f>IFERROR(IF(warehouse[[#This Row],[SKU]]="","",INDEX(inventory[ESISTENZA],MATCH(warehouse[[#This Row],[SKU]],inventory[ARTICOLO],0))),"")</f>
        <v/>
      </c>
      <c r="EH158" s="328"/>
      <c r="EI158" s="328"/>
      <c r="EJ158" s="263"/>
      <c r="EK158" s="329"/>
    </row>
    <row r="159" spans="63:141" x14ac:dyDescent="0.35">
      <c r="BK159" s="450"/>
      <c r="BL159" s="451"/>
      <c r="BM159" s="452"/>
      <c r="BN159" s="451"/>
      <c r="BO159" s="452"/>
      <c r="EE159" s="202" t="str" cm="1">
        <f t="array" ref="EE159">IFERROR(IF($EC$9="",IF($EC$11="",IF($EC$13="",INDEX(bhpc_data[sku],SMALL(MATCH(ROW(bhpc_data[sku]),ROW(bhpc_data[sku])),ROWS($A$15:A164)+$B$3)),INDEX(bhpc_data[sku],SMALL(IF(ISNUMBER(MATCH(bhpc_data[size1],$EC$13,0)),MATCH(ROW(bhpc_data[sku]),ROW(bhpc_data[sku])),""),ROWS($A$15:A164)+$B$3))),IF($EC$13="",INDEX(bhpc_data[sku],SMALL(IF(ISNUMBER(MATCH(bhpc_data[sex],$EC$11,0)),MATCH(ROW(bhpc_data[sku]),ROW(bhpc_data[sku])),""),ROWS($A$15:A164)+$B$3)),INDEX(bhpc_data[sku],SMALL(IF(ISNUMBER(MATCH(bhpc_data[sex],$EC$11,0)*MATCH(bhpc_data[size1],$EC$13,0)),MATCH(ROW(bhpc_data[sku]),ROW(bhpc_data[sku])),""),ROWS($A$15:A164)+$B$3)))),IF($EC$11="",IF($EC$13="",INDEX(bhpc_data[sku],SMALL(IF(ISNUMBER(MATCH(bhpc_data[category],$EC$9,0)),MATCH(ROW(bhpc_data[sku]),ROW(bhpc_data[sku])),""),ROWS($A$15:A164)+$B$3)),INDEX(bhpc_data[sku],SMALL(IF(ISNUMBER(MATCH(bhpc_data[category],$EC$9,0)*MATCH(bhpc_data[size1],$EC$13,0)),MATCH(ROW(bhpc_data[sku]),ROW(bhpc_data[sku])),""),ROWS($A$15:A164)+$B$3))),IF($EC$13="",INDEX(bhpc_data[sku],SMALL(IF(ISNUMBER(MATCH(bhpc_data[category],$EC$9,0)*MATCH(bhpc_data[sex],$EC$11,0)),MATCH(ROW(bhpc_data[sku]),ROW(bhpc_data[sku])),""),ROWS($A$15:A164)+$B$3)),INDEX(bhpc_data[sku],SMALL(IF(ISNUMBER(MATCH(bhpc_data[category],$EC$9,0)*MATCH(bhpc_data[sex],$EC$11,0)*MATCH(bhpc_data[size1],$EC$13,0)),MATCH(ROW(bhpc_data[sku]),ROW(bhpc_data[sku])),""),ROWS($A$15:A164)+$B$3))))),"")</f>
        <v>Y00029</v>
      </c>
      <c r="EF159" s="198" t="str" cm="1">
        <f t="array" ref="EF159">IFERROR(IF($EC$9="",IF($EC$11="",IF($EC$13="",INDEX(bhpc_data[description],SMALL(MATCH(ROW(bhpc_data[sku]),ROW(bhpc_data[sku])),ROWS($A$15:A164)+$B$3)),INDEX(bhpc_data[description],SMALL(IF(ISNUMBER(MATCH(bhpc_data[size1],$EC$13,0)),MATCH(ROW(bhpc_data[sku]),ROW(bhpc_data[sku])),""),ROWS($A$15:A164)+$B$3))),IF($EC$13="",INDEX(bhpc_data[description],SMALL(IF(ISNUMBER(MATCH(bhpc_data[sex],$EC$11,0)),MATCH(ROW(bhpc_data[sku]),ROW(bhpc_data[sku])),""),ROWS($A$15:A164)+$B$3)),INDEX(bhpc_data[description],SMALL(IF(ISNUMBER(MATCH(bhpc_data[sex],$EC$11,0)*MATCH(bhpc_data[size1],$EC$13,0)),MATCH(ROW(bhpc_data[sku]),ROW(bhpc_data[sku])),""),ROWS($A$15:A164)+$B$3)))),IF($EC$11="",IF($EC$13="",INDEX(bhpc_data[description],SMALL(IF(ISNUMBER(MATCH(bhpc_data[category],$EC$9,0)),MATCH(ROW(bhpc_data[sku]),ROW(bhpc_data[sku])),""),ROWS($A$15:A164)+$B$3)),INDEX(bhpc_data[description],SMALL(IF(ISNUMBER(MATCH(bhpc_data[category],$EC$9,0)*MATCH(bhpc_data[size1],$EC$13,0)),MATCH(ROW(bhpc_data[sku]),ROW(bhpc_data[sku])),""),ROWS($A$15:A164)+$B$3))),IF($EC$13="",INDEX(bhpc_data[description],SMALL(IF(ISNUMBER(MATCH(bhpc_data[category],$EC$9,0)*MATCH(bhpc_data[sex],$EC$11,0)),MATCH(ROW(bhpc_data[sku]),ROW(bhpc_data[sku])),""),ROWS($A$15:A164)+$B$3)),INDEX(bhpc_data[description],SMALL(IF(ISNUMBER(MATCH(bhpc_data[category],$EC$9,0)*MATCH(bhpc_data[sex],$EC$11,0)*MATCH(bhpc_data[size1],$EC$13,0)),MATCH(ROW(bhpc_data[sku]),ROW(bhpc_data[sku])),""),ROWS($A$15:A164)+$B$3))))),"")</f>
        <v>YB2311B BHPC SUNGLASSES BLACK / GRADIENT GREY</v>
      </c>
      <c r="EG159" s="263" t="str">
        <f>IFERROR(IF(warehouse[[#This Row],[SKU]]="","",INDEX(inventory[ESISTENZA],MATCH(warehouse[[#This Row],[SKU]],inventory[ARTICOLO],0))),"")</f>
        <v/>
      </c>
      <c r="EH159" s="328"/>
      <c r="EI159" s="328"/>
      <c r="EJ159" s="263"/>
      <c r="EK159" s="329"/>
    </row>
    <row r="160" spans="63:141" x14ac:dyDescent="0.35">
      <c r="BK160" s="450"/>
      <c r="BL160" s="451"/>
      <c r="BM160" s="452"/>
      <c r="BN160" s="451"/>
      <c r="BO160" s="452"/>
      <c r="EE160" s="202" t="str" cm="1">
        <f t="array" ref="EE160">IFERROR(IF($EC$9="",IF($EC$11="",IF($EC$13="",INDEX(bhpc_data[sku],SMALL(MATCH(ROW(bhpc_data[sku]),ROW(bhpc_data[sku])),ROWS($A$15:A165)+$B$3)),INDEX(bhpc_data[sku],SMALL(IF(ISNUMBER(MATCH(bhpc_data[size1],$EC$13,0)),MATCH(ROW(bhpc_data[sku]),ROW(bhpc_data[sku])),""),ROWS($A$15:A165)+$B$3))),IF($EC$13="",INDEX(bhpc_data[sku],SMALL(IF(ISNUMBER(MATCH(bhpc_data[sex],$EC$11,0)),MATCH(ROW(bhpc_data[sku]),ROW(bhpc_data[sku])),""),ROWS($A$15:A165)+$B$3)),INDEX(bhpc_data[sku],SMALL(IF(ISNUMBER(MATCH(bhpc_data[sex],$EC$11,0)*MATCH(bhpc_data[size1],$EC$13,0)),MATCH(ROW(bhpc_data[sku]),ROW(bhpc_data[sku])),""),ROWS($A$15:A165)+$B$3)))),IF($EC$11="",IF($EC$13="",INDEX(bhpc_data[sku],SMALL(IF(ISNUMBER(MATCH(bhpc_data[category],$EC$9,0)),MATCH(ROW(bhpc_data[sku]),ROW(bhpc_data[sku])),""),ROWS($A$15:A165)+$B$3)),INDEX(bhpc_data[sku],SMALL(IF(ISNUMBER(MATCH(bhpc_data[category],$EC$9,0)*MATCH(bhpc_data[size1],$EC$13,0)),MATCH(ROW(bhpc_data[sku]),ROW(bhpc_data[sku])),""),ROWS($A$15:A165)+$B$3))),IF($EC$13="",INDEX(bhpc_data[sku],SMALL(IF(ISNUMBER(MATCH(bhpc_data[category],$EC$9,0)*MATCH(bhpc_data[sex],$EC$11,0)),MATCH(ROW(bhpc_data[sku]),ROW(bhpc_data[sku])),""),ROWS($A$15:A165)+$B$3)),INDEX(bhpc_data[sku],SMALL(IF(ISNUMBER(MATCH(bhpc_data[category],$EC$9,0)*MATCH(bhpc_data[sex],$EC$11,0)*MATCH(bhpc_data[size1],$EC$13,0)),MATCH(ROW(bhpc_data[sku]),ROW(bhpc_data[sku])),""),ROWS($A$15:A165)+$B$3))))),"")</f>
        <v>Y00030</v>
      </c>
      <c r="EF160" s="198" t="str" cm="1">
        <f t="array" ref="EF160">IFERROR(IF($EC$9="",IF($EC$11="",IF($EC$13="",INDEX(bhpc_data[description],SMALL(MATCH(ROW(bhpc_data[sku]),ROW(bhpc_data[sku])),ROWS($A$15:A165)+$B$3)),INDEX(bhpc_data[description],SMALL(IF(ISNUMBER(MATCH(bhpc_data[size1],$EC$13,0)),MATCH(ROW(bhpc_data[sku]),ROW(bhpc_data[sku])),""),ROWS($A$15:A165)+$B$3))),IF($EC$13="",INDEX(bhpc_data[description],SMALL(IF(ISNUMBER(MATCH(bhpc_data[sex],$EC$11,0)),MATCH(ROW(bhpc_data[sku]),ROW(bhpc_data[sku])),""),ROWS($A$15:A165)+$B$3)),INDEX(bhpc_data[description],SMALL(IF(ISNUMBER(MATCH(bhpc_data[sex],$EC$11,0)*MATCH(bhpc_data[size1],$EC$13,0)),MATCH(ROW(bhpc_data[sku]),ROW(bhpc_data[sku])),""),ROWS($A$15:A165)+$B$3)))),IF($EC$11="",IF($EC$13="",INDEX(bhpc_data[description],SMALL(IF(ISNUMBER(MATCH(bhpc_data[category],$EC$9,0)),MATCH(ROW(bhpc_data[sku]),ROW(bhpc_data[sku])),""),ROWS($A$15:A165)+$B$3)),INDEX(bhpc_data[description],SMALL(IF(ISNUMBER(MATCH(bhpc_data[category],$EC$9,0)*MATCH(bhpc_data[size1],$EC$13,0)),MATCH(ROW(bhpc_data[sku]),ROW(bhpc_data[sku])),""),ROWS($A$15:A165)+$B$3))),IF($EC$13="",INDEX(bhpc_data[description],SMALL(IF(ISNUMBER(MATCH(bhpc_data[category],$EC$9,0)*MATCH(bhpc_data[sex],$EC$11,0)),MATCH(ROW(bhpc_data[sku]),ROW(bhpc_data[sku])),""),ROWS($A$15:A165)+$B$3)),INDEX(bhpc_data[description],SMALL(IF(ISNUMBER(MATCH(bhpc_data[category],$EC$9,0)*MATCH(bhpc_data[sex],$EC$11,0)*MATCH(bhpc_data[size1],$EC$13,0)),MATCH(ROW(bhpc_data[sku]),ROW(bhpc_data[sku])),""),ROWS($A$15:A165)+$B$3))))),"")</f>
        <v>YB2311C BHPC SUNGLASSES TRANSP. OLIVE / GRADIENT CLAY</v>
      </c>
      <c r="EG160" s="263" t="str">
        <f>IFERROR(IF(warehouse[[#This Row],[SKU]]="","",INDEX(inventory[ESISTENZA],MATCH(warehouse[[#This Row],[SKU]],inventory[ARTICOLO],0))),"")</f>
        <v/>
      </c>
      <c r="EH160" s="328"/>
      <c r="EI160" s="328"/>
      <c r="EJ160" s="263"/>
      <c r="EK160" s="329"/>
    </row>
    <row r="161" spans="63:141" x14ac:dyDescent="0.35">
      <c r="BK161" s="450"/>
      <c r="BL161" s="451"/>
      <c r="BM161" s="452"/>
      <c r="BN161" s="451"/>
      <c r="BO161" s="452"/>
      <c r="EE161" s="202" t="str" cm="1">
        <f t="array" ref="EE161">IFERROR(IF($EC$9="",IF($EC$11="",IF($EC$13="",INDEX(bhpc_data[sku],SMALL(MATCH(ROW(bhpc_data[sku]),ROW(bhpc_data[sku])),ROWS($A$15:A166)+$B$3)),INDEX(bhpc_data[sku],SMALL(IF(ISNUMBER(MATCH(bhpc_data[size1],$EC$13,0)),MATCH(ROW(bhpc_data[sku]),ROW(bhpc_data[sku])),""),ROWS($A$15:A166)+$B$3))),IF($EC$13="",INDEX(bhpc_data[sku],SMALL(IF(ISNUMBER(MATCH(bhpc_data[sex],$EC$11,0)),MATCH(ROW(bhpc_data[sku]),ROW(bhpc_data[sku])),""),ROWS($A$15:A166)+$B$3)),INDEX(bhpc_data[sku],SMALL(IF(ISNUMBER(MATCH(bhpc_data[sex],$EC$11,0)*MATCH(bhpc_data[size1],$EC$13,0)),MATCH(ROW(bhpc_data[sku]),ROW(bhpc_data[sku])),""),ROWS($A$15:A166)+$B$3)))),IF($EC$11="",IF($EC$13="",INDEX(bhpc_data[sku],SMALL(IF(ISNUMBER(MATCH(bhpc_data[category],$EC$9,0)),MATCH(ROW(bhpc_data[sku]),ROW(bhpc_data[sku])),""),ROWS($A$15:A166)+$B$3)),INDEX(bhpc_data[sku],SMALL(IF(ISNUMBER(MATCH(bhpc_data[category],$EC$9,0)*MATCH(bhpc_data[size1],$EC$13,0)),MATCH(ROW(bhpc_data[sku]),ROW(bhpc_data[sku])),""),ROWS($A$15:A166)+$B$3))),IF($EC$13="",INDEX(bhpc_data[sku],SMALL(IF(ISNUMBER(MATCH(bhpc_data[category],$EC$9,0)*MATCH(bhpc_data[sex],$EC$11,0)),MATCH(ROW(bhpc_data[sku]),ROW(bhpc_data[sku])),""),ROWS($A$15:A166)+$B$3)),INDEX(bhpc_data[sku],SMALL(IF(ISNUMBER(MATCH(bhpc_data[category],$EC$9,0)*MATCH(bhpc_data[sex],$EC$11,0)*MATCH(bhpc_data[size1],$EC$13,0)),MATCH(ROW(bhpc_data[sku]),ROW(bhpc_data[sku])),""),ROWS($A$15:A166)+$B$3))))),"")</f>
        <v>Y00031</v>
      </c>
      <c r="EF161" s="198" t="str" cm="1">
        <f t="array" ref="EF161">IFERROR(IF($EC$9="",IF($EC$11="",IF($EC$13="",INDEX(bhpc_data[description],SMALL(MATCH(ROW(bhpc_data[sku]),ROW(bhpc_data[sku])),ROWS($A$15:A166)+$B$3)),INDEX(bhpc_data[description],SMALL(IF(ISNUMBER(MATCH(bhpc_data[size1],$EC$13,0)),MATCH(ROW(bhpc_data[sku]),ROW(bhpc_data[sku])),""),ROWS($A$15:A166)+$B$3))),IF($EC$13="",INDEX(bhpc_data[description],SMALL(IF(ISNUMBER(MATCH(bhpc_data[sex],$EC$11,0)),MATCH(ROW(bhpc_data[sku]),ROW(bhpc_data[sku])),""),ROWS($A$15:A166)+$B$3)),INDEX(bhpc_data[description],SMALL(IF(ISNUMBER(MATCH(bhpc_data[sex],$EC$11,0)*MATCH(bhpc_data[size1],$EC$13,0)),MATCH(ROW(bhpc_data[sku]),ROW(bhpc_data[sku])),""),ROWS($A$15:A166)+$B$3)))),IF($EC$11="",IF($EC$13="",INDEX(bhpc_data[description],SMALL(IF(ISNUMBER(MATCH(bhpc_data[category],$EC$9,0)),MATCH(ROW(bhpc_data[sku]),ROW(bhpc_data[sku])),""),ROWS($A$15:A166)+$B$3)),INDEX(bhpc_data[description],SMALL(IF(ISNUMBER(MATCH(bhpc_data[category],$EC$9,0)*MATCH(bhpc_data[size1],$EC$13,0)),MATCH(ROW(bhpc_data[sku]),ROW(bhpc_data[sku])),""),ROWS($A$15:A166)+$B$3))),IF($EC$13="",INDEX(bhpc_data[description],SMALL(IF(ISNUMBER(MATCH(bhpc_data[category],$EC$9,0)*MATCH(bhpc_data[sex],$EC$11,0)),MATCH(ROW(bhpc_data[sku]),ROW(bhpc_data[sku])),""),ROWS($A$15:A166)+$B$3)),INDEX(bhpc_data[description],SMALL(IF(ISNUMBER(MATCH(bhpc_data[category],$EC$9,0)*MATCH(bhpc_data[sex],$EC$11,0)*MATCH(bhpc_data[size1],$EC$13,0)),MATCH(ROW(bhpc_data[sku]),ROW(bhpc_data[sku])),""),ROWS($A$15:A166)+$B$3))))),"")</f>
        <v>YB2315A BHPC SUNGLASSES BLACK CRYSTAL GRADIENT GREEN</v>
      </c>
      <c r="EG161" s="263" t="str">
        <f>IFERROR(IF(warehouse[[#This Row],[SKU]]="","",INDEX(inventory[ESISTENZA],MATCH(warehouse[[#This Row],[SKU]],inventory[ARTICOLO],0))),"")</f>
        <v/>
      </c>
      <c r="EH161" s="328"/>
      <c r="EI161" s="328"/>
      <c r="EJ161" s="263"/>
      <c r="EK161" s="113"/>
    </row>
    <row r="162" spans="63:141" x14ac:dyDescent="0.35">
      <c r="BK162" s="450"/>
      <c r="BL162" s="451"/>
      <c r="BM162" s="452"/>
      <c r="BN162" s="451"/>
      <c r="BO162" s="452"/>
      <c r="EE162" s="202" t="str" cm="1">
        <f t="array" ref="EE162">IFERROR(IF($EC$9="",IF($EC$11="",IF($EC$13="",INDEX(bhpc_data[sku],SMALL(MATCH(ROW(bhpc_data[sku]),ROW(bhpc_data[sku])),ROWS($A$15:A167)+$B$3)),INDEX(bhpc_data[sku],SMALL(IF(ISNUMBER(MATCH(bhpc_data[size1],$EC$13,0)),MATCH(ROW(bhpc_data[sku]),ROW(bhpc_data[sku])),""),ROWS($A$15:A167)+$B$3))),IF($EC$13="",INDEX(bhpc_data[sku],SMALL(IF(ISNUMBER(MATCH(bhpc_data[sex],$EC$11,0)),MATCH(ROW(bhpc_data[sku]),ROW(bhpc_data[sku])),""),ROWS($A$15:A167)+$B$3)),INDEX(bhpc_data[sku],SMALL(IF(ISNUMBER(MATCH(bhpc_data[sex],$EC$11,0)*MATCH(bhpc_data[size1],$EC$13,0)),MATCH(ROW(bhpc_data[sku]),ROW(bhpc_data[sku])),""),ROWS($A$15:A167)+$B$3)))),IF($EC$11="",IF($EC$13="",INDEX(bhpc_data[sku],SMALL(IF(ISNUMBER(MATCH(bhpc_data[category],$EC$9,0)),MATCH(ROW(bhpc_data[sku]),ROW(bhpc_data[sku])),""),ROWS($A$15:A167)+$B$3)),INDEX(bhpc_data[sku],SMALL(IF(ISNUMBER(MATCH(bhpc_data[category],$EC$9,0)*MATCH(bhpc_data[size1],$EC$13,0)),MATCH(ROW(bhpc_data[sku]),ROW(bhpc_data[sku])),""),ROWS($A$15:A167)+$B$3))),IF($EC$13="",INDEX(bhpc_data[sku],SMALL(IF(ISNUMBER(MATCH(bhpc_data[category],$EC$9,0)*MATCH(bhpc_data[sex],$EC$11,0)),MATCH(ROW(bhpc_data[sku]),ROW(bhpc_data[sku])),""),ROWS($A$15:A167)+$B$3)),INDEX(bhpc_data[sku],SMALL(IF(ISNUMBER(MATCH(bhpc_data[category],$EC$9,0)*MATCH(bhpc_data[sex],$EC$11,0)*MATCH(bhpc_data[size1],$EC$13,0)),MATCH(ROW(bhpc_data[sku]),ROW(bhpc_data[sku])),""),ROWS($A$15:A167)+$B$3))))),"")</f>
        <v>Y00032</v>
      </c>
      <c r="EF162" s="198" t="str" cm="1">
        <f t="array" ref="EF162">IFERROR(IF($EC$9="",IF($EC$11="",IF($EC$13="",INDEX(bhpc_data[description],SMALL(MATCH(ROW(bhpc_data[sku]),ROW(bhpc_data[sku])),ROWS($A$15:A167)+$B$3)),INDEX(bhpc_data[description],SMALL(IF(ISNUMBER(MATCH(bhpc_data[size1],$EC$13,0)),MATCH(ROW(bhpc_data[sku]),ROW(bhpc_data[sku])),""),ROWS($A$15:A167)+$B$3))),IF($EC$13="",INDEX(bhpc_data[description],SMALL(IF(ISNUMBER(MATCH(bhpc_data[sex],$EC$11,0)),MATCH(ROW(bhpc_data[sku]),ROW(bhpc_data[sku])),""),ROWS($A$15:A167)+$B$3)),INDEX(bhpc_data[description],SMALL(IF(ISNUMBER(MATCH(bhpc_data[sex],$EC$11,0)*MATCH(bhpc_data[size1],$EC$13,0)),MATCH(ROW(bhpc_data[sku]),ROW(bhpc_data[sku])),""),ROWS($A$15:A167)+$B$3)))),IF($EC$11="",IF($EC$13="",INDEX(bhpc_data[description],SMALL(IF(ISNUMBER(MATCH(bhpc_data[category],$EC$9,0)),MATCH(ROW(bhpc_data[sku]),ROW(bhpc_data[sku])),""),ROWS($A$15:A167)+$B$3)),INDEX(bhpc_data[description],SMALL(IF(ISNUMBER(MATCH(bhpc_data[category],$EC$9,0)*MATCH(bhpc_data[size1],$EC$13,0)),MATCH(ROW(bhpc_data[sku]),ROW(bhpc_data[sku])),""),ROWS($A$15:A167)+$B$3))),IF($EC$13="",INDEX(bhpc_data[description],SMALL(IF(ISNUMBER(MATCH(bhpc_data[category],$EC$9,0)*MATCH(bhpc_data[sex],$EC$11,0)),MATCH(ROW(bhpc_data[sku]),ROW(bhpc_data[sku])),""),ROWS($A$15:A167)+$B$3)),INDEX(bhpc_data[description],SMALL(IF(ISNUMBER(MATCH(bhpc_data[category],$EC$9,0)*MATCH(bhpc_data[sex],$EC$11,0)*MATCH(bhpc_data[size1],$EC$13,0)),MATCH(ROW(bhpc_data[sku]),ROW(bhpc_data[sku])),""),ROWS($A$15:A167)+$B$3))))),"")</f>
        <v>YB2315B BHPC SUNGLASSES TRANSP. GREEN / GRADIENT GREY</v>
      </c>
      <c r="EG162" s="263" t="str">
        <f>IFERROR(IF(warehouse[[#This Row],[SKU]]="","",INDEX(inventory[ESISTENZA],MATCH(warehouse[[#This Row],[SKU]],inventory[ARTICOLO],0))),"")</f>
        <v/>
      </c>
      <c r="EH162" s="328"/>
      <c r="EI162" s="328"/>
      <c r="EJ162" s="263"/>
      <c r="EK162" s="113"/>
    </row>
    <row r="163" spans="63:141" x14ac:dyDescent="0.35">
      <c r="BK163" s="450"/>
      <c r="BL163" s="451"/>
      <c r="BM163" s="452"/>
      <c r="BN163" s="451"/>
      <c r="BO163" s="452"/>
      <c r="EE163" s="202" t="str" cm="1">
        <f t="array" ref="EE163">IFERROR(IF($EC$9="",IF($EC$11="",IF($EC$13="",INDEX(bhpc_data[sku],SMALL(MATCH(ROW(bhpc_data[sku]),ROW(bhpc_data[sku])),ROWS($A$15:A168)+$B$3)),INDEX(bhpc_data[sku],SMALL(IF(ISNUMBER(MATCH(bhpc_data[size1],$EC$13,0)),MATCH(ROW(bhpc_data[sku]),ROW(bhpc_data[sku])),""),ROWS($A$15:A168)+$B$3))),IF($EC$13="",INDEX(bhpc_data[sku],SMALL(IF(ISNUMBER(MATCH(bhpc_data[sex],$EC$11,0)),MATCH(ROW(bhpc_data[sku]),ROW(bhpc_data[sku])),""),ROWS($A$15:A168)+$B$3)),INDEX(bhpc_data[sku],SMALL(IF(ISNUMBER(MATCH(bhpc_data[sex],$EC$11,0)*MATCH(bhpc_data[size1],$EC$13,0)),MATCH(ROW(bhpc_data[sku]),ROW(bhpc_data[sku])),""),ROWS($A$15:A168)+$B$3)))),IF($EC$11="",IF($EC$13="",INDEX(bhpc_data[sku],SMALL(IF(ISNUMBER(MATCH(bhpc_data[category],$EC$9,0)),MATCH(ROW(bhpc_data[sku]),ROW(bhpc_data[sku])),""),ROWS($A$15:A168)+$B$3)),INDEX(bhpc_data[sku],SMALL(IF(ISNUMBER(MATCH(bhpc_data[category],$EC$9,0)*MATCH(bhpc_data[size1],$EC$13,0)),MATCH(ROW(bhpc_data[sku]),ROW(bhpc_data[sku])),""),ROWS($A$15:A168)+$B$3))),IF($EC$13="",INDEX(bhpc_data[sku],SMALL(IF(ISNUMBER(MATCH(bhpc_data[category],$EC$9,0)*MATCH(bhpc_data[sex],$EC$11,0)),MATCH(ROW(bhpc_data[sku]),ROW(bhpc_data[sku])),""),ROWS($A$15:A168)+$B$3)),INDEX(bhpc_data[sku],SMALL(IF(ISNUMBER(MATCH(bhpc_data[category],$EC$9,0)*MATCH(bhpc_data[sex],$EC$11,0)*MATCH(bhpc_data[size1],$EC$13,0)),MATCH(ROW(bhpc_data[sku]),ROW(bhpc_data[sku])),""),ROWS($A$15:A168)+$B$3))))),"")</f>
        <v>Y00033</v>
      </c>
      <c r="EF163" s="198" t="str" cm="1">
        <f t="array" ref="EF163">IFERROR(IF($EC$9="",IF($EC$11="",IF($EC$13="",INDEX(bhpc_data[description],SMALL(MATCH(ROW(bhpc_data[sku]),ROW(bhpc_data[sku])),ROWS($A$15:A168)+$B$3)),INDEX(bhpc_data[description],SMALL(IF(ISNUMBER(MATCH(bhpc_data[size1],$EC$13,0)),MATCH(ROW(bhpc_data[sku]),ROW(bhpc_data[sku])),""),ROWS($A$15:A168)+$B$3))),IF($EC$13="",INDEX(bhpc_data[description],SMALL(IF(ISNUMBER(MATCH(bhpc_data[sex],$EC$11,0)),MATCH(ROW(bhpc_data[sku]),ROW(bhpc_data[sku])),""),ROWS($A$15:A168)+$B$3)),INDEX(bhpc_data[description],SMALL(IF(ISNUMBER(MATCH(bhpc_data[sex],$EC$11,0)*MATCH(bhpc_data[size1],$EC$13,0)),MATCH(ROW(bhpc_data[sku]),ROW(bhpc_data[sku])),""),ROWS($A$15:A168)+$B$3)))),IF($EC$11="",IF($EC$13="",INDEX(bhpc_data[description],SMALL(IF(ISNUMBER(MATCH(bhpc_data[category],$EC$9,0)),MATCH(ROW(bhpc_data[sku]),ROW(bhpc_data[sku])),""),ROWS($A$15:A168)+$B$3)),INDEX(bhpc_data[description],SMALL(IF(ISNUMBER(MATCH(bhpc_data[category],$EC$9,0)*MATCH(bhpc_data[size1],$EC$13,0)),MATCH(ROW(bhpc_data[sku]),ROW(bhpc_data[sku])),""),ROWS($A$15:A168)+$B$3))),IF($EC$13="",INDEX(bhpc_data[description],SMALL(IF(ISNUMBER(MATCH(bhpc_data[category],$EC$9,0)*MATCH(bhpc_data[sex],$EC$11,0)),MATCH(ROW(bhpc_data[sku]),ROW(bhpc_data[sku])),""),ROWS($A$15:A168)+$B$3)),INDEX(bhpc_data[description],SMALL(IF(ISNUMBER(MATCH(bhpc_data[category],$EC$9,0)*MATCH(bhpc_data[sex],$EC$11,0)*MATCH(bhpc_data[size1],$EC$13,0)),MATCH(ROW(bhpc_data[sku]),ROW(bhpc_data[sku])),""),ROWS($A$15:A168)+$B$3))))),"")</f>
        <v>YB2315C BHPC SUNGLASSES TRANSP. VIOLET /GRADIENT SMOKE</v>
      </c>
      <c r="EG163" s="263" t="str">
        <f>IFERROR(IF(warehouse[[#This Row],[SKU]]="","",INDEX(inventory[ESISTENZA],MATCH(warehouse[[#This Row],[SKU]],inventory[ARTICOLO],0))),"")</f>
        <v/>
      </c>
      <c r="EH163" s="328"/>
      <c r="EI163" s="328"/>
      <c r="EJ163" s="263"/>
      <c r="EK163" s="113"/>
    </row>
    <row r="164" spans="63:141" x14ac:dyDescent="0.35">
      <c r="BK164" s="450"/>
      <c r="BL164" s="451"/>
      <c r="BM164" s="452"/>
      <c r="BN164" s="451"/>
      <c r="BO164" s="452"/>
      <c r="EE164" s="202" t="str" cm="1">
        <f t="array" ref="EE164">IFERROR(IF($EC$9="",IF($EC$11="",IF($EC$13="",INDEX(bhpc_data[sku],SMALL(MATCH(ROW(bhpc_data[sku]),ROW(bhpc_data[sku])),ROWS($A$15:A169)+$B$3)),INDEX(bhpc_data[sku],SMALL(IF(ISNUMBER(MATCH(bhpc_data[size1],$EC$13,0)),MATCH(ROW(bhpc_data[sku]),ROW(bhpc_data[sku])),""),ROWS($A$15:A169)+$B$3))),IF($EC$13="",INDEX(bhpc_data[sku],SMALL(IF(ISNUMBER(MATCH(bhpc_data[sex],$EC$11,0)),MATCH(ROW(bhpc_data[sku]),ROW(bhpc_data[sku])),""),ROWS($A$15:A169)+$B$3)),INDEX(bhpc_data[sku],SMALL(IF(ISNUMBER(MATCH(bhpc_data[sex],$EC$11,0)*MATCH(bhpc_data[size1],$EC$13,0)),MATCH(ROW(bhpc_data[sku]),ROW(bhpc_data[sku])),""),ROWS($A$15:A169)+$B$3)))),IF($EC$11="",IF($EC$13="",INDEX(bhpc_data[sku],SMALL(IF(ISNUMBER(MATCH(bhpc_data[category],$EC$9,0)),MATCH(ROW(bhpc_data[sku]),ROW(bhpc_data[sku])),""),ROWS($A$15:A169)+$B$3)),INDEX(bhpc_data[sku],SMALL(IF(ISNUMBER(MATCH(bhpc_data[category],$EC$9,0)*MATCH(bhpc_data[size1],$EC$13,0)),MATCH(ROW(bhpc_data[sku]),ROW(bhpc_data[sku])),""),ROWS($A$15:A169)+$B$3))),IF($EC$13="",INDEX(bhpc_data[sku],SMALL(IF(ISNUMBER(MATCH(bhpc_data[category],$EC$9,0)*MATCH(bhpc_data[sex],$EC$11,0)),MATCH(ROW(bhpc_data[sku]),ROW(bhpc_data[sku])),""),ROWS($A$15:A169)+$B$3)),INDEX(bhpc_data[sku],SMALL(IF(ISNUMBER(MATCH(bhpc_data[category],$EC$9,0)*MATCH(bhpc_data[sex],$EC$11,0)*MATCH(bhpc_data[size1],$EC$13,0)),MATCH(ROW(bhpc_data[sku]),ROW(bhpc_data[sku])),""),ROWS($A$15:A169)+$B$3))))),"")</f>
        <v>Y00034</v>
      </c>
      <c r="EF164" s="198" t="str" cm="1">
        <f t="array" ref="EF164">IFERROR(IF($EC$9="",IF($EC$11="",IF($EC$13="",INDEX(bhpc_data[description],SMALL(MATCH(ROW(bhpc_data[sku]),ROW(bhpc_data[sku])),ROWS($A$15:A169)+$B$3)),INDEX(bhpc_data[description],SMALL(IF(ISNUMBER(MATCH(bhpc_data[size1],$EC$13,0)),MATCH(ROW(bhpc_data[sku]),ROW(bhpc_data[sku])),""),ROWS($A$15:A169)+$B$3))),IF($EC$13="",INDEX(bhpc_data[description],SMALL(IF(ISNUMBER(MATCH(bhpc_data[sex],$EC$11,0)),MATCH(ROW(bhpc_data[sku]),ROW(bhpc_data[sku])),""),ROWS($A$15:A169)+$B$3)),INDEX(bhpc_data[description],SMALL(IF(ISNUMBER(MATCH(bhpc_data[sex],$EC$11,0)*MATCH(bhpc_data[size1],$EC$13,0)),MATCH(ROW(bhpc_data[sku]),ROW(bhpc_data[sku])),""),ROWS($A$15:A169)+$B$3)))),IF($EC$11="",IF($EC$13="",INDEX(bhpc_data[description],SMALL(IF(ISNUMBER(MATCH(bhpc_data[category],$EC$9,0)),MATCH(ROW(bhpc_data[sku]),ROW(bhpc_data[sku])),""),ROWS($A$15:A169)+$B$3)),INDEX(bhpc_data[description],SMALL(IF(ISNUMBER(MATCH(bhpc_data[category],$EC$9,0)*MATCH(bhpc_data[size1],$EC$13,0)),MATCH(ROW(bhpc_data[sku]),ROW(bhpc_data[sku])),""),ROWS($A$15:A169)+$B$3))),IF($EC$13="",INDEX(bhpc_data[description],SMALL(IF(ISNUMBER(MATCH(bhpc_data[category],$EC$9,0)*MATCH(bhpc_data[sex],$EC$11,0)),MATCH(ROW(bhpc_data[sku]),ROW(bhpc_data[sku])),""),ROWS($A$15:A169)+$B$3)),INDEX(bhpc_data[description],SMALL(IF(ISNUMBER(MATCH(bhpc_data[category],$EC$9,0)*MATCH(bhpc_data[sex],$EC$11,0)*MATCH(bhpc_data[size1],$EC$13,0)),MATCH(ROW(bhpc_data[sku]),ROW(bhpc_data[sku])),""),ROWS($A$15:A169)+$B$3))))),"")</f>
        <v>YB2312A BHPC SUNGLASSES BLACK / SOLID GREY</v>
      </c>
      <c r="EG164" s="263" t="str">
        <f>IFERROR(IF(warehouse[[#This Row],[SKU]]="","",INDEX(inventory[ESISTENZA],MATCH(warehouse[[#This Row],[SKU]],inventory[ARTICOLO],0))),"")</f>
        <v/>
      </c>
      <c r="EH164" s="328"/>
      <c r="EI164" s="328"/>
      <c r="EJ164" s="263"/>
      <c r="EK164" s="113"/>
    </row>
    <row r="165" spans="63:141" x14ac:dyDescent="0.35">
      <c r="BK165" s="450"/>
      <c r="BL165" s="451"/>
      <c r="BM165" s="452"/>
      <c r="BN165" s="451"/>
      <c r="BO165" s="452"/>
      <c r="EE165" s="202" t="str" cm="1">
        <f t="array" ref="EE165">IFERROR(IF($EC$9="",IF($EC$11="",IF($EC$13="",INDEX(bhpc_data[sku],SMALL(MATCH(ROW(bhpc_data[sku]),ROW(bhpc_data[sku])),ROWS($A$15:A170)+$B$3)),INDEX(bhpc_data[sku],SMALL(IF(ISNUMBER(MATCH(bhpc_data[size1],$EC$13,0)),MATCH(ROW(bhpc_data[sku]),ROW(bhpc_data[sku])),""),ROWS($A$15:A170)+$B$3))),IF($EC$13="",INDEX(bhpc_data[sku],SMALL(IF(ISNUMBER(MATCH(bhpc_data[sex],$EC$11,0)),MATCH(ROW(bhpc_data[sku]),ROW(bhpc_data[sku])),""),ROWS($A$15:A170)+$B$3)),INDEX(bhpc_data[sku],SMALL(IF(ISNUMBER(MATCH(bhpc_data[sex],$EC$11,0)*MATCH(bhpc_data[size1],$EC$13,0)),MATCH(ROW(bhpc_data[sku]),ROW(bhpc_data[sku])),""),ROWS($A$15:A170)+$B$3)))),IF($EC$11="",IF($EC$13="",INDEX(bhpc_data[sku],SMALL(IF(ISNUMBER(MATCH(bhpc_data[category],$EC$9,0)),MATCH(ROW(bhpc_data[sku]),ROW(bhpc_data[sku])),""),ROWS($A$15:A170)+$B$3)),INDEX(bhpc_data[sku],SMALL(IF(ISNUMBER(MATCH(bhpc_data[category],$EC$9,0)*MATCH(bhpc_data[size1],$EC$13,0)),MATCH(ROW(bhpc_data[sku]),ROW(bhpc_data[sku])),""),ROWS($A$15:A170)+$B$3))),IF($EC$13="",INDEX(bhpc_data[sku],SMALL(IF(ISNUMBER(MATCH(bhpc_data[category],$EC$9,0)*MATCH(bhpc_data[sex],$EC$11,0)),MATCH(ROW(bhpc_data[sku]),ROW(bhpc_data[sku])),""),ROWS($A$15:A170)+$B$3)),INDEX(bhpc_data[sku],SMALL(IF(ISNUMBER(MATCH(bhpc_data[category],$EC$9,0)*MATCH(bhpc_data[sex],$EC$11,0)*MATCH(bhpc_data[size1],$EC$13,0)),MATCH(ROW(bhpc_data[sku]),ROW(bhpc_data[sku])),""),ROWS($A$15:A170)+$B$3))))),"")</f>
        <v>Y00035</v>
      </c>
      <c r="EF165" s="198" t="str" cm="1">
        <f t="array" ref="EF165">IFERROR(IF($EC$9="",IF($EC$11="",IF($EC$13="",INDEX(bhpc_data[description],SMALL(MATCH(ROW(bhpc_data[sku]),ROW(bhpc_data[sku])),ROWS($A$15:A170)+$B$3)),INDEX(bhpc_data[description],SMALL(IF(ISNUMBER(MATCH(bhpc_data[size1],$EC$13,0)),MATCH(ROW(bhpc_data[sku]),ROW(bhpc_data[sku])),""),ROWS($A$15:A170)+$B$3))),IF($EC$13="",INDEX(bhpc_data[description],SMALL(IF(ISNUMBER(MATCH(bhpc_data[sex],$EC$11,0)),MATCH(ROW(bhpc_data[sku]),ROW(bhpc_data[sku])),""),ROWS($A$15:A170)+$B$3)),INDEX(bhpc_data[description],SMALL(IF(ISNUMBER(MATCH(bhpc_data[sex],$EC$11,0)*MATCH(bhpc_data[size1],$EC$13,0)),MATCH(ROW(bhpc_data[sku]),ROW(bhpc_data[sku])),""),ROWS($A$15:A170)+$B$3)))),IF($EC$11="",IF($EC$13="",INDEX(bhpc_data[description],SMALL(IF(ISNUMBER(MATCH(bhpc_data[category],$EC$9,0)),MATCH(ROW(bhpc_data[sku]),ROW(bhpc_data[sku])),""),ROWS($A$15:A170)+$B$3)),INDEX(bhpc_data[description],SMALL(IF(ISNUMBER(MATCH(bhpc_data[category],$EC$9,0)*MATCH(bhpc_data[size1],$EC$13,0)),MATCH(ROW(bhpc_data[sku]),ROW(bhpc_data[sku])),""),ROWS($A$15:A170)+$B$3))),IF($EC$13="",INDEX(bhpc_data[description],SMALL(IF(ISNUMBER(MATCH(bhpc_data[category],$EC$9,0)*MATCH(bhpc_data[sex],$EC$11,0)),MATCH(ROW(bhpc_data[sku]),ROW(bhpc_data[sku])),""),ROWS($A$15:A170)+$B$3)),INDEX(bhpc_data[description],SMALL(IF(ISNUMBER(MATCH(bhpc_data[category],$EC$9,0)*MATCH(bhpc_data[sex],$EC$11,0)*MATCH(bhpc_data[size1],$EC$13,0)),MATCH(ROW(bhpc_data[sku]),ROW(bhpc_data[sku])),""),ROWS($A$15:A170)+$B$3))))),"")</f>
        <v>YB2312B BHPC SUNGLASSES RED / SOLID SMOKE</v>
      </c>
      <c r="EG165" s="263" t="str">
        <f>IFERROR(IF(warehouse[[#This Row],[SKU]]="","",INDEX(inventory[ESISTENZA],MATCH(warehouse[[#This Row],[SKU]],inventory[ARTICOLO],0))),"")</f>
        <v/>
      </c>
      <c r="EH165" s="328"/>
      <c r="EI165" s="328"/>
      <c r="EJ165" s="263"/>
      <c r="EK165" s="113"/>
    </row>
    <row r="166" spans="63:141" x14ac:dyDescent="0.35">
      <c r="BK166" s="450"/>
      <c r="BL166" s="451"/>
      <c r="BM166" s="452"/>
      <c r="BN166" s="451"/>
      <c r="BO166" s="452"/>
      <c r="EE166" s="202" t="str" cm="1">
        <f t="array" ref="EE166">IFERROR(IF($EC$9="",IF($EC$11="",IF($EC$13="",INDEX(bhpc_data[sku],SMALL(MATCH(ROW(bhpc_data[sku]),ROW(bhpc_data[sku])),ROWS($A$15:A171)+$B$3)),INDEX(bhpc_data[sku],SMALL(IF(ISNUMBER(MATCH(bhpc_data[size1],$EC$13,0)),MATCH(ROW(bhpc_data[sku]),ROW(bhpc_data[sku])),""),ROWS($A$15:A171)+$B$3))),IF($EC$13="",INDEX(bhpc_data[sku],SMALL(IF(ISNUMBER(MATCH(bhpc_data[sex],$EC$11,0)),MATCH(ROW(bhpc_data[sku]),ROW(bhpc_data[sku])),""),ROWS($A$15:A171)+$B$3)),INDEX(bhpc_data[sku],SMALL(IF(ISNUMBER(MATCH(bhpc_data[sex],$EC$11,0)*MATCH(bhpc_data[size1],$EC$13,0)),MATCH(ROW(bhpc_data[sku]),ROW(bhpc_data[sku])),""),ROWS($A$15:A171)+$B$3)))),IF($EC$11="",IF($EC$13="",INDEX(bhpc_data[sku],SMALL(IF(ISNUMBER(MATCH(bhpc_data[category],$EC$9,0)),MATCH(ROW(bhpc_data[sku]),ROW(bhpc_data[sku])),""),ROWS($A$15:A171)+$B$3)),INDEX(bhpc_data[sku],SMALL(IF(ISNUMBER(MATCH(bhpc_data[category],$EC$9,0)*MATCH(bhpc_data[size1],$EC$13,0)),MATCH(ROW(bhpc_data[sku]),ROW(bhpc_data[sku])),""),ROWS($A$15:A171)+$B$3))),IF($EC$13="",INDEX(bhpc_data[sku],SMALL(IF(ISNUMBER(MATCH(bhpc_data[category],$EC$9,0)*MATCH(bhpc_data[sex],$EC$11,0)),MATCH(ROW(bhpc_data[sku]),ROW(bhpc_data[sku])),""),ROWS($A$15:A171)+$B$3)),INDEX(bhpc_data[sku],SMALL(IF(ISNUMBER(MATCH(bhpc_data[category],$EC$9,0)*MATCH(bhpc_data[sex],$EC$11,0)*MATCH(bhpc_data[size1],$EC$13,0)),MATCH(ROW(bhpc_data[sku]),ROW(bhpc_data[sku])),""),ROWS($A$15:A171)+$B$3))))),"")</f>
        <v>Y00036</v>
      </c>
      <c r="EF166" s="198" t="str" cm="1">
        <f t="array" ref="EF166">IFERROR(IF($EC$9="",IF($EC$11="",IF($EC$13="",INDEX(bhpc_data[description],SMALL(MATCH(ROW(bhpc_data[sku]),ROW(bhpc_data[sku])),ROWS($A$15:A171)+$B$3)),INDEX(bhpc_data[description],SMALL(IF(ISNUMBER(MATCH(bhpc_data[size1],$EC$13,0)),MATCH(ROW(bhpc_data[sku]),ROW(bhpc_data[sku])),""),ROWS($A$15:A171)+$B$3))),IF($EC$13="",INDEX(bhpc_data[description],SMALL(IF(ISNUMBER(MATCH(bhpc_data[sex],$EC$11,0)),MATCH(ROW(bhpc_data[sku]),ROW(bhpc_data[sku])),""),ROWS($A$15:A171)+$B$3)),INDEX(bhpc_data[description],SMALL(IF(ISNUMBER(MATCH(bhpc_data[sex],$EC$11,0)*MATCH(bhpc_data[size1],$EC$13,0)),MATCH(ROW(bhpc_data[sku]),ROW(bhpc_data[sku])),""),ROWS($A$15:A171)+$B$3)))),IF($EC$11="",IF($EC$13="",INDEX(bhpc_data[description],SMALL(IF(ISNUMBER(MATCH(bhpc_data[category],$EC$9,0)),MATCH(ROW(bhpc_data[sku]),ROW(bhpc_data[sku])),""),ROWS($A$15:A171)+$B$3)),INDEX(bhpc_data[description],SMALL(IF(ISNUMBER(MATCH(bhpc_data[category],$EC$9,0)*MATCH(bhpc_data[size1],$EC$13,0)),MATCH(ROW(bhpc_data[sku]),ROW(bhpc_data[sku])),""),ROWS($A$15:A171)+$B$3))),IF($EC$13="",INDEX(bhpc_data[description],SMALL(IF(ISNUMBER(MATCH(bhpc_data[category],$EC$9,0)*MATCH(bhpc_data[sex],$EC$11,0)),MATCH(ROW(bhpc_data[sku]),ROW(bhpc_data[sku])),""),ROWS($A$15:A171)+$B$3)),INDEX(bhpc_data[description],SMALL(IF(ISNUMBER(MATCH(bhpc_data[category],$EC$9,0)*MATCH(bhpc_data[sex],$EC$11,0)*MATCH(bhpc_data[size1],$EC$13,0)),MATCH(ROW(bhpc_data[sku]),ROW(bhpc_data[sku])),""),ROWS($A$15:A171)+$B$3))))),"")</f>
        <v>YB2312C BHPC SUNGLASSES WHITE / GRADIENT GREY</v>
      </c>
      <c r="EG166" s="263" t="str">
        <f>IFERROR(IF(warehouse[[#This Row],[SKU]]="","",INDEX(inventory[ESISTENZA],MATCH(warehouse[[#This Row],[SKU]],inventory[ARTICOLO],0))),"")</f>
        <v/>
      </c>
      <c r="EH166" s="328"/>
      <c r="EI166" s="328"/>
      <c r="EJ166" s="263"/>
      <c r="EK166" s="113"/>
    </row>
    <row r="167" spans="63:141" x14ac:dyDescent="0.35">
      <c r="BK167" s="450"/>
      <c r="BL167" s="451"/>
      <c r="BM167" s="452"/>
      <c r="BN167" s="451"/>
      <c r="BO167" s="452"/>
      <c r="EE167" s="202" t="str" cm="1">
        <f t="array" ref="EE167">IFERROR(IF($EC$9="",IF($EC$11="",IF($EC$13="",INDEX(bhpc_data[sku],SMALL(MATCH(ROW(bhpc_data[sku]),ROW(bhpc_data[sku])),ROWS($A$15:A172)+$B$3)),INDEX(bhpc_data[sku],SMALL(IF(ISNUMBER(MATCH(bhpc_data[size1],$EC$13,0)),MATCH(ROW(bhpc_data[sku]),ROW(bhpc_data[sku])),""),ROWS($A$15:A172)+$B$3))),IF($EC$13="",INDEX(bhpc_data[sku],SMALL(IF(ISNUMBER(MATCH(bhpc_data[sex],$EC$11,0)),MATCH(ROW(bhpc_data[sku]),ROW(bhpc_data[sku])),""),ROWS($A$15:A172)+$B$3)),INDEX(bhpc_data[sku],SMALL(IF(ISNUMBER(MATCH(bhpc_data[sex],$EC$11,0)*MATCH(bhpc_data[size1],$EC$13,0)),MATCH(ROW(bhpc_data[sku]),ROW(bhpc_data[sku])),""),ROWS($A$15:A172)+$B$3)))),IF($EC$11="",IF($EC$13="",INDEX(bhpc_data[sku],SMALL(IF(ISNUMBER(MATCH(bhpc_data[category],$EC$9,0)),MATCH(ROW(bhpc_data[sku]),ROW(bhpc_data[sku])),""),ROWS($A$15:A172)+$B$3)),INDEX(bhpc_data[sku],SMALL(IF(ISNUMBER(MATCH(bhpc_data[category],$EC$9,0)*MATCH(bhpc_data[size1],$EC$13,0)),MATCH(ROW(bhpc_data[sku]),ROW(bhpc_data[sku])),""),ROWS($A$15:A172)+$B$3))),IF($EC$13="",INDEX(bhpc_data[sku],SMALL(IF(ISNUMBER(MATCH(bhpc_data[category],$EC$9,0)*MATCH(bhpc_data[sex],$EC$11,0)),MATCH(ROW(bhpc_data[sku]),ROW(bhpc_data[sku])),""),ROWS($A$15:A172)+$B$3)),INDEX(bhpc_data[sku],SMALL(IF(ISNUMBER(MATCH(bhpc_data[category],$EC$9,0)*MATCH(bhpc_data[sex],$EC$11,0)*MATCH(bhpc_data[size1],$EC$13,0)),MATCH(ROW(bhpc_data[sku]),ROW(bhpc_data[sku])),""),ROWS($A$15:A172)+$B$3))))),"")</f>
        <v>Y00037</v>
      </c>
      <c r="EF167" s="198" t="str" cm="1">
        <f t="array" ref="EF167">IFERROR(IF($EC$9="",IF($EC$11="",IF($EC$13="",INDEX(bhpc_data[description],SMALL(MATCH(ROW(bhpc_data[sku]),ROW(bhpc_data[sku])),ROWS($A$15:A172)+$B$3)),INDEX(bhpc_data[description],SMALL(IF(ISNUMBER(MATCH(bhpc_data[size1],$EC$13,0)),MATCH(ROW(bhpc_data[sku]),ROW(bhpc_data[sku])),""),ROWS($A$15:A172)+$B$3))),IF($EC$13="",INDEX(bhpc_data[description],SMALL(IF(ISNUMBER(MATCH(bhpc_data[sex],$EC$11,0)),MATCH(ROW(bhpc_data[sku]),ROW(bhpc_data[sku])),""),ROWS($A$15:A172)+$B$3)),INDEX(bhpc_data[description],SMALL(IF(ISNUMBER(MATCH(bhpc_data[sex],$EC$11,0)*MATCH(bhpc_data[size1],$EC$13,0)),MATCH(ROW(bhpc_data[sku]),ROW(bhpc_data[sku])),""),ROWS($A$15:A172)+$B$3)))),IF($EC$11="",IF($EC$13="",INDEX(bhpc_data[description],SMALL(IF(ISNUMBER(MATCH(bhpc_data[category],$EC$9,0)),MATCH(ROW(bhpc_data[sku]),ROW(bhpc_data[sku])),""),ROWS($A$15:A172)+$B$3)),INDEX(bhpc_data[description],SMALL(IF(ISNUMBER(MATCH(bhpc_data[category],$EC$9,0)*MATCH(bhpc_data[size1],$EC$13,0)),MATCH(ROW(bhpc_data[sku]),ROW(bhpc_data[sku])),""),ROWS($A$15:A172)+$B$3))),IF($EC$13="",INDEX(bhpc_data[description],SMALL(IF(ISNUMBER(MATCH(bhpc_data[category],$EC$9,0)*MATCH(bhpc_data[sex],$EC$11,0)),MATCH(ROW(bhpc_data[sku]),ROW(bhpc_data[sku])),""),ROWS($A$15:A172)+$B$3)),INDEX(bhpc_data[description],SMALL(IF(ISNUMBER(MATCH(bhpc_data[category],$EC$9,0)*MATCH(bhpc_data[sex],$EC$11,0)*MATCH(bhpc_data[size1],$EC$13,0)),MATCH(ROW(bhpc_data[sku]),ROW(bhpc_data[sku])),""),ROWS($A$15:A172)+$B$3))))),"")</f>
        <v>BHPC SUNGLASSES CASE AO49L BROWN FOR MEN</v>
      </c>
      <c r="EG167" s="263" t="str">
        <f>IFERROR(IF(warehouse[[#This Row],[SKU]]="","",INDEX(inventory[ESISTENZA],MATCH(warehouse[[#This Row],[SKU]],inventory[ARTICOLO],0))),"")</f>
        <v/>
      </c>
      <c r="EH167" s="328"/>
      <c r="EI167" s="328"/>
      <c r="EJ167" s="263"/>
      <c r="EK167" s="113"/>
    </row>
    <row r="168" spans="63:141" x14ac:dyDescent="0.35">
      <c r="BK168" s="450"/>
      <c r="BL168" s="451"/>
      <c r="BM168" s="452"/>
      <c r="BN168" s="451"/>
      <c r="BO168" s="452"/>
      <c r="EE168" s="202" t="str" cm="1">
        <f t="array" ref="EE168">IFERROR(IF($EC$9="",IF($EC$11="",IF($EC$13="",INDEX(bhpc_data[sku],SMALL(MATCH(ROW(bhpc_data[sku]),ROW(bhpc_data[sku])),ROWS($A$15:A173)+$B$3)),INDEX(bhpc_data[sku],SMALL(IF(ISNUMBER(MATCH(bhpc_data[size1],$EC$13,0)),MATCH(ROW(bhpc_data[sku]),ROW(bhpc_data[sku])),""),ROWS($A$15:A173)+$B$3))),IF($EC$13="",INDEX(bhpc_data[sku],SMALL(IF(ISNUMBER(MATCH(bhpc_data[sex],$EC$11,0)),MATCH(ROW(bhpc_data[sku]),ROW(bhpc_data[sku])),""),ROWS($A$15:A173)+$B$3)),INDEX(bhpc_data[sku],SMALL(IF(ISNUMBER(MATCH(bhpc_data[sex],$EC$11,0)*MATCH(bhpc_data[size1],$EC$13,0)),MATCH(ROW(bhpc_data[sku]),ROW(bhpc_data[sku])),""),ROWS($A$15:A173)+$B$3)))),IF($EC$11="",IF($EC$13="",INDEX(bhpc_data[sku],SMALL(IF(ISNUMBER(MATCH(bhpc_data[category],$EC$9,0)),MATCH(ROW(bhpc_data[sku]),ROW(bhpc_data[sku])),""),ROWS($A$15:A173)+$B$3)),INDEX(bhpc_data[sku],SMALL(IF(ISNUMBER(MATCH(bhpc_data[category],$EC$9,0)*MATCH(bhpc_data[size1],$EC$13,0)),MATCH(ROW(bhpc_data[sku]),ROW(bhpc_data[sku])),""),ROWS($A$15:A173)+$B$3))),IF($EC$13="",INDEX(bhpc_data[sku],SMALL(IF(ISNUMBER(MATCH(bhpc_data[category],$EC$9,0)*MATCH(bhpc_data[sex],$EC$11,0)),MATCH(ROW(bhpc_data[sku]),ROW(bhpc_data[sku])),""),ROWS($A$15:A173)+$B$3)),INDEX(bhpc_data[sku],SMALL(IF(ISNUMBER(MATCH(bhpc_data[category],$EC$9,0)*MATCH(bhpc_data[sex],$EC$11,0)*MATCH(bhpc_data[size1],$EC$13,0)),MATCH(ROW(bhpc_data[sku]),ROW(bhpc_data[sku])),""),ROWS($A$15:A173)+$B$3))))),"")</f>
        <v>Y00038</v>
      </c>
      <c r="EF168" s="198" t="str" cm="1">
        <f t="array" ref="EF168">IFERROR(IF($EC$9="",IF($EC$11="",IF($EC$13="",INDEX(bhpc_data[description],SMALL(MATCH(ROW(bhpc_data[sku]),ROW(bhpc_data[sku])),ROWS($A$15:A173)+$B$3)),INDEX(bhpc_data[description],SMALL(IF(ISNUMBER(MATCH(bhpc_data[size1],$EC$13,0)),MATCH(ROW(bhpc_data[sku]),ROW(bhpc_data[sku])),""),ROWS($A$15:A173)+$B$3))),IF($EC$13="",INDEX(bhpc_data[description],SMALL(IF(ISNUMBER(MATCH(bhpc_data[sex],$EC$11,0)),MATCH(ROW(bhpc_data[sku]),ROW(bhpc_data[sku])),""),ROWS($A$15:A173)+$B$3)),INDEX(bhpc_data[description],SMALL(IF(ISNUMBER(MATCH(bhpc_data[sex],$EC$11,0)*MATCH(bhpc_data[size1],$EC$13,0)),MATCH(ROW(bhpc_data[sku]),ROW(bhpc_data[sku])),""),ROWS($A$15:A173)+$B$3)))),IF($EC$11="",IF($EC$13="",INDEX(bhpc_data[description],SMALL(IF(ISNUMBER(MATCH(bhpc_data[category],$EC$9,0)),MATCH(ROW(bhpc_data[sku]),ROW(bhpc_data[sku])),""),ROWS($A$15:A173)+$B$3)),INDEX(bhpc_data[description],SMALL(IF(ISNUMBER(MATCH(bhpc_data[category],$EC$9,0)*MATCH(bhpc_data[size1],$EC$13,0)),MATCH(ROW(bhpc_data[sku]),ROW(bhpc_data[sku])),""),ROWS($A$15:A173)+$B$3))),IF($EC$13="",INDEX(bhpc_data[description],SMALL(IF(ISNUMBER(MATCH(bhpc_data[category],$EC$9,0)*MATCH(bhpc_data[sex],$EC$11,0)),MATCH(ROW(bhpc_data[sku]),ROW(bhpc_data[sku])),""),ROWS($A$15:A173)+$B$3)),INDEX(bhpc_data[description],SMALL(IF(ISNUMBER(MATCH(bhpc_data[category],$EC$9,0)*MATCH(bhpc_data[sex],$EC$11,0)*MATCH(bhpc_data[size1],$EC$13,0)),MATCH(ROW(bhpc_data[sku]),ROW(bhpc_data[sku])),""),ROWS($A$15:A173)+$B$3))))),"")</f>
        <v>BHPC SUNGLASSES CASE AO49L WHITE FOR WOMEN</v>
      </c>
      <c r="EG168" s="263" t="str">
        <f>IFERROR(IF(warehouse[[#This Row],[SKU]]="","",INDEX(inventory[ESISTENZA],MATCH(warehouse[[#This Row],[SKU]],inventory[ARTICOLO],0))),"")</f>
        <v/>
      </c>
      <c r="EH168" s="328"/>
      <c r="EI168" s="328"/>
      <c r="EJ168" s="263"/>
      <c r="EK168" s="113"/>
    </row>
    <row r="169" spans="63:141" x14ac:dyDescent="0.35">
      <c r="BK169" s="450"/>
      <c r="BL169" s="451"/>
      <c r="BM169" s="452"/>
      <c r="BN169" s="451"/>
      <c r="BO169" s="452"/>
      <c r="EE169" s="202" cm="1">
        <f t="array" ref="EE169">IFERROR(IF($EC$9="",IF($EC$11="",IF($EC$13="",INDEX(bhpc_data[sku],SMALL(MATCH(ROW(bhpc_data[sku]),ROW(bhpc_data[sku])),ROWS($A$15:A174)+$B$3)),INDEX(bhpc_data[sku],SMALL(IF(ISNUMBER(MATCH(bhpc_data[size1],$EC$13,0)),MATCH(ROW(bhpc_data[sku]),ROW(bhpc_data[sku])),""),ROWS($A$15:A174)+$B$3))),IF($EC$13="",INDEX(bhpc_data[sku],SMALL(IF(ISNUMBER(MATCH(bhpc_data[sex],$EC$11,0)),MATCH(ROW(bhpc_data[sku]),ROW(bhpc_data[sku])),""),ROWS($A$15:A174)+$B$3)),INDEX(bhpc_data[sku],SMALL(IF(ISNUMBER(MATCH(bhpc_data[sex],$EC$11,0)*MATCH(bhpc_data[size1],$EC$13,0)),MATCH(ROW(bhpc_data[sku]),ROW(bhpc_data[sku])),""),ROWS($A$15:A174)+$B$3)))),IF($EC$11="",IF($EC$13="",INDEX(bhpc_data[sku],SMALL(IF(ISNUMBER(MATCH(bhpc_data[category],$EC$9,0)),MATCH(ROW(bhpc_data[sku]),ROW(bhpc_data[sku])),""),ROWS($A$15:A174)+$B$3)),INDEX(bhpc_data[sku],SMALL(IF(ISNUMBER(MATCH(bhpc_data[category],$EC$9,0)*MATCH(bhpc_data[size1],$EC$13,0)),MATCH(ROW(bhpc_data[sku]),ROW(bhpc_data[sku])),""),ROWS($A$15:A174)+$B$3))),IF($EC$13="",INDEX(bhpc_data[sku],SMALL(IF(ISNUMBER(MATCH(bhpc_data[category],$EC$9,0)*MATCH(bhpc_data[sex],$EC$11,0)),MATCH(ROW(bhpc_data[sku]),ROW(bhpc_data[sku])),""),ROWS($A$15:A174)+$B$3)),INDEX(bhpc_data[sku],SMALL(IF(ISNUMBER(MATCH(bhpc_data[category],$EC$9,0)*MATCH(bhpc_data[sex],$EC$11,0)*MATCH(bhpc_data[size1],$EC$13,0)),MATCH(ROW(bhpc_data[sku]),ROW(bhpc_data[sku])),""),ROWS($A$15:A174)+$B$3))))),"")</f>
        <v>0</v>
      </c>
      <c r="EF169" s="198" t="str" cm="1">
        <f t="array" ref="EF169">IFERROR(IF($EC$9="",IF($EC$11="",IF($EC$13="",INDEX(bhpc_data[description],SMALL(MATCH(ROW(bhpc_data[sku]),ROW(bhpc_data[sku])),ROWS($A$15:A174)+$B$3)),INDEX(bhpc_data[description],SMALL(IF(ISNUMBER(MATCH(bhpc_data[size1],$EC$13,0)),MATCH(ROW(bhpc_data[sku]),ROW(bhpc_data[sku])),""),ROWS($A$15:A174)+$B$3))),IF($EC$13="",INDEX(bhpc_data[description],SMALL(IF(ISNUMBER(MATCH(bhpc_data[sex],$EC$11,0)),MATCH(ROW(bhpc_data[sku]),ROW(bhpc_data[sku])),""),ROWS($A$15:A174)+$B$3)),INDEX(bhpc_data[description],SMALL(IF(ISNUMBER(MATCH(bhpc_data[sex],$EC$11,0)*MATCH(bhpc_data[size1],$EC$13,0)),MATCH(ROW(bhpc_data[sku]),ROW(bhpc_data[sku])),""),ROWS($A$15:A174)+$B$3)))),IF($EC$11="",IF($EC$13="",INDEX(bhpc_data[description],SMALL(IF(ISNUMBER(MATCH(bhpc_data[category],$EC$9,0)),MATCH(ROW(bhpc_data[sku]),ROW(bhpc_data[sku])),""),ROWS($A$15:A174)+$B$3)),INDEX(bhpc_data[description],SMALL(IF(ISNUMBER(MATCH(bhpc_data[category],$EC$9,0)*MATCH(bhpc_data[size1],$EC$13,0)),MATCH(ROW(bhpc_data[sku]),ROW(bhpc_data[sku])),""),ROWS($A$15:A174)+$B$3))),IF($EC$13="",INDEX(bhpc_data[description],SMALL(IF(ISNUMBER(MATCH(bhpc_data[category],$EC$9,0)*MATCH(bhpc_data[sex],$EC$11,0)),MATCH(ROW(bhpc_data[sku]),ROW(bhpc_data[sku])),""),ROWS($A$15:A174)+$B$3)),INDEX(bhpc_data[description],SMALL(IF(ISNUMBER(MATCH(bhpc_data[category],$EC$9,0)*MATCH(bhpc_data[sex],$EC$11,0)*MATCH(bhpc_data[size1],$EC$13,0)),MATCH(ROW(bhpc_data[sku]),ROW(bhpc_data[sku])),""),ROWS($A$15:A174)+$B$3))))),"")</f>
        <v xml:space="preserve">BHPC GIFTSET PRESTIGE ELEGANCE EDP100ML + DEO 250ML </v>
      </c>
      <c r="EG169" s="263" t="str">
        <f>IFERROR(IF(warehouse[[#This Row],[SKU]]="","",INDEX(inventory[ESISTENZA],MATCH(warehouse[[#This Row],[SKU]],inventory[ARTICOLO],0))),"")</f>
        <v/>
      </c>
      <c r="EH169" s="328"/>
      <c r="EI169" s="328"/>
      <c r="EJ169" s="263"/>
      <c r="EK169" s="113"/>
    </row>
    <row r="170" spans="63:141" x14ac:dyDescent="0.35">
      <c r="BK170" s="450"/>
      <c r="BL170" s="451"/>
      <c r="BM170" s="452"/>
      <c r="BN170" s="451"/>
      <c r="BO170" s="452"/>
      <c r="EE170" s="202" cm="1">
        <f t="array" ref="EE170">IFERROR(IF($EC$9="",IF($EC$11="",IF($EC$13="",INDEX(bhpc_data[sku],SMALL(MATCH(ROW(bhpc_data[sku]),ROW(bhpc_data[sku])),ROWS($A$15:A175)+$B$3)),INDEX(bhpc_data[sku],SMALL(IF(ISNUMBER(MATCH(bhpc_data[size1],$EC$13,0)),MATCH(ROW(bhpc_data[sku]),ROW(bhpc_data[sku])),""),ROWS($A$15:A175)+$B$3))),IF($EC$13="",INDEX(bhpc_data[sku],SMALL(IF(ISNUMBER(MATCH(bhpc_data[sex],$EC$11,0)),MATCH(ROW(bhpc_data[sku]),ROW(bhpc_data[sku])),""),ROWS($A$15:A175)+$B$3)),INDEX(bhpc_data[sku],SMALL(IF(ISNUMBER(MATCH(bhpc_data[sex],$EC$11,0)*MATCH(bhpc_data[size1],$EC$13,0)),MATCH(ROW(bhpc_data[sku]),ROW(bhpc_data[sku])),""),ROWS($A$15:A175)+$B$3)))),IF($EC$11="",IF($EC$13="",INDEX(bhpc_data[sku],SMALL(IF(ISNUMBER(MATCH(bhpc_data[category],$EC$9,0)),MATCH(ROW(bhpc_data[sku]),ROW(bhpc_data[sku])),""),ROWS($A$15:A175)+$B$3)),INDEX(bhpc_data[sku],SMALL(IF(ISNUMBER(MATCH(bhpc_data[category],$EC$9,0)*MATCH(bhpc_data[size1],$EC$13,0)),MATCH(ROW(bhpc_data[sku]),ROW(bhpc_data[sku])),""),ROWS($A$15:A175)+$B$3))),IF($EC$13="",INDEX(bhpc_data[sku],SMALL(IF(ISNUMBER(MATCH(bhpc_data[category],$EC$9,0)*MATCH(bhpc_data[sex],$EC$11,0)),MATCH(ROW(bhpc_data[sku]),ROW(bhpc_data[sku])),""),ROWS($A$15:A175)+$B$3)),INDEX(bhpc_data[sku],SMALL(IF(ISNUMBER(MATCH(bhpc_data[category],$EC$9,0)*MATCH(bhpc_data[sex],$EC$11,0)*MATCH(bhpc_data[size1],$EC$13,0)),MATCH(ROW(bhpc_data[sku]),ROW(bhpc_data[sku])),""),ROWS($A$15:A175)+$B$3))))),"")</f>
        <v>0</v>
      </c>
      <c r="EF170" s="198" t="str" cm="1">
        <f t="array" ref="EF170">IFERROR(IF($EC$9="",IF($EC$11="",IF($EC$13="",INDEX(bhpc_data[description],SMALL(MATCH(ROW(bhpc_data[sku]),ROW(bhpc_data[sku])),ROWS($A$15:A175)+$B$3)),INDEX(bhpc_data[description],SMALL(IF(ISNUMBER(MATCH(bhpc_data[size1],$EC$13,0)),MATCH(ROW(bhpc_data[sku]),ROW(bhpc_data[sku])),""),ROWS($A$15:A175)+$B$3))),IF($EC$13="",INDEX(bhpc_data[description],SMALL(IF(ISNUMBER(MATCH(bhpc_data[sex],$EC$11,0)),MATCH(ROW(bhpc_data[sku]),ROW(bhpc_data[sku])),""),ROWS($A$15:A175)+$B$3)),INDEX(bhpc_data[description],SMALL(IF(ISNUMBER(MATCH(bhpc_data[sex],$EC$11,0)*MATCH(bhpc_data[size1],$EC$13,0)),MATCH(ROW(bhpc_data[sku]),ROW(bhpc_data[sku])),""),ROWS($A$15:A175)+$B$3)))),IF($EC$11="",IF($EC$13="",INDEX(bhpc_data[description],SMALL(IF(ISNUMBER(MATCH(bhpc_data[category],$EC$9,0)),MATCH(ROW(bhpc_data[sku]),ROW(bhpc_data[sku])),""),ROWS($A$15:A175)+$B$3)),INDEX(bhpc_data[description],SMALL(IF(ISNUMBER(MATCH(bhpc_data[category],$EC$9,0)*MATCH(bhpc_data[size1],$EC$13,0)),MATCH(ROW(bhpc_data[sku]),ROW(bhpc_data[sku])),""),ROWS($A$15:A175)+$B$3))),IF($EC$13="",INDEX(bhpc_data[description],SMALL(IF(ISNUMBER(MATCH(bhpc_data[category],$EC$9,0)*MATCH(bhpc_data[sex],$EC$11,0)),MATCH(ROW(bhpc_data[sku]),ROW(bhpc_data[sku])),""),ROWS($A$15:A175)+$B$3)),INDEX(bhpc_data[description],SMALL(IF(ISNUMBER(MATCH(bhpc_data[category],$EC$9,0)*MATCH(bhpc_data[sex],$EC$11,0)*MATCH(bhpc_data[size1],$EC$13,0)),MATCH(ROW(bhpc_data[sku]),ROW(bhpc_data[sku])),""),ROWS($A$15:A175)+$B$3))))),"")</f>
        <v>BHPC PRESTIGE ELEGANCE DEO 250ML</v>
      </c>
      <c r="EG170" s="263" t="str">
        <f>IFERROR(IF(warehouse[[#This Row],[SKU]]="","",INDEX(inventory[ESISTENZA],MATCH(warehouse[[#This Row],[SKU]],inventory[ARTICOLO],0))),"")</f>
        <v/>
      </c>
      <c r="EH170" s="328"/>
      <c r="EI170" s="328"/>
      <c r="EJ170" s="263"/>
      <c r="EK170" s="113"/>
    </row>
    <row r="171" spans="63:141" x14ac:dyDescent="0.35">
      <c r="BK171" s="450"/>
      <c r="BL171" s="451"/>
      <c r="BM171" s="452"/>
      <c r="BN171" s="451"/>
      <c r="BO171" s="452"/>
      <c r="EE171" s="202" cm="1">
        <f t="array" ref="EE171">IFERROR(IF($EC$9="",IF($EC$11="",IF($EC$13="",INDEX(bhpc_data[sku],SMALL(MATCH(ROW(bhpc_data[sku]),ROW(bhpc_data[sku])),ROWS($A$15:A176)+$B$3)),INDEX(bhpc_data[sku],SMALL(IF(ISNUMBER(MATCH(bhpc_data[size1],$EC$13,0)),MATCH(ROW(bhpc_data[sku]),ROW(bhpc_data[sku])),""),ROWS($A$15:A176)+$B$3))),IF($EC$13="",INDEX(bhpc_data[sku],SMALL(IF(ISNUMBER(MATCH(bhpc_data[sex],$EC$11,0)),MATCH(ROW(bhpc_data[sku]),ROW(bhpc_data[sku])),""),ROWS($A$15:A176)+$B$3)),INDEX(bhpc_data[sku],SMALL(IF(ISNUMBER(MATCH(bhpc_data[sex],$EC$11,0)*MATCH(bhpc_data[size1],$EC$13,0)),MATCH(ROW(bhpc_data[sku]),ROW(bhpc_data[sku])),""),ROWS($A$15:A176)+$B$3)))),IF($EC$11="",IF($EC$13="",INDEX(bhpc_data[sku],SMALL(IF(ISNUMBER(MATCH(bhpc_data[category],$EC$9,0)),MATCH(ROW(bhpc_data[sku]),ROW(bhpc_data[sku])),""),ROWS($A$15:A176)+$B$3)),INDEX(bhpc_data[sku],SMALL(IF(ISNUMBER(MATCH(bhpc_data[category],$EC$9,0)*MATCH(bhpc_data[size1],$EC$13,0)),MATCH(ROW(bhpc_data[sku]),ROW(bhpc_data[sku])),""),ROWS($A$15:A176)+$B$3))),IF($EC$13="",INDEX(bhpc_data[sku],SMALL(IF(ISNUMBER(MATCH(bhpc_data[category],$EC$9,0)*MATCH(bhpc_data[sex],$EC$11,0)),MATCH(ROW(bhpc_data[sku]),ROW(bhpc_data[sku])),""),ROWS($A$15:A176)+$B$3)),INDEX(bhpc_data[sku],SMALL(IF(ISNUMBER(MATCH(bhpc_data[category],$EC$9,0)*MATCH(bhpc_data[sex],$EC$11,0)*MATCH(bhpc_data[size1],$EC$13,0)),MATCH(ROW(bhpc_data[sku]),ROW(bhpc_data[sku])),""),ROWS($A$15:A176)+$B$3))))),"")</f>
        <v>0</v>
      </c>
      <c r="EF171" s="198" t="str" cm="1">
        <f t="array" ref="EF171">IFERROR(IF($EC$9="",IF($EC$11="",IF($EC$13="",INDEX(bhpc_data[description],SMALL(MATCH(ROW(bhpc_data[sku]),ROW(bhpc_data[sku])),ROWS($A$15:A176)+$B$3)),INDEX(bhpc_data[description],SMALL(IF(ISNUMBER(MATCH(bhpc_data[size1],$EC$13,0)),MATCH(ROW(bhpc_data[sku]),ROW(bhpc_data[sku])),""),ROWS($A$15:A176)+$B$3))),IF($EC$13="",INDEX(bhpc_data[description],SMALL(IF(ISNUMBER(MATCH(bhpc_data[sex],$EC$11,0)),MATCH(ROW(bhpc_data[sku]),ROW(bhpc_data[sku])),""),ROWS($A$15:A176)+$B$3)),INDEX(bhpc_data[description],SMALL(IF(ISNUMBER(MATCH(bhpc_data[sex],$EC$11,0)*MATCH(bhpc_data[size1],$EC$13,0)),MATCH(ROW(bhpc_data[sku]),ROW(bhpc_data[sku])),""),ROWS($A$15:A176)+$B$3)))),IF($EC$11="",IF($EC$13="",INDEX(bhpc_data[description],SMALL(IF(ISNUMBER(MATCH(bhpc_data[category],$EC$9,0)),MATCH(ROW(bhpc_data[sku]),ROW(bhpc_data[sku])),""),ROWS($A$15:A176)+$B$3)),INDEX(bhpc_data[description],SMALL(IF(ISNUMBER(MATCH(bhpc_data[category],$EC$9,0)*MATCH(bhpc_data[size1],$EC$13,0)),MATCH(ROW(bhpc_data[sku]),ROW(bhpc_data[sku])),""),ROWS($A$15:A176)+$B$3))),IF($EC$13="",INDEX(bhpc_data[description],SMALL(IF(ISNUMBER(MATCH(bhpc_data[category],$EC$9,0)*MATCH(bhpc_data[sex],$EC$11,0)),MATCH(ROW(bhpc_data[sku]),ROW(bhpc_data[sku])),""),ROWS($A$15:A176)+$B$3)),INDEX(bhpc_data[description],SMALL(IF(ISNUMBER(MATCH(bhpc_data[category],$EC$9,0)*MATCH(bhpc_data[sex],$EC$11,0)*MATCH(bhpc_data[size1],$EC$13,0)),MATCH(ROW(bhpc_data[sku]),ROW(bhpc_data[sku])),""),ROWS($A$15:A176)+$B$3))))),"")</f>
        <v>BHPC PRESTIGE TROPHY DEO 300ML</v>
      </c>
      <c r="EG171" s="263" t="str">
        <f>IFERROR(IF(warehouse[[#This Row],[SKU]]="","",INDEX(inventory[ESISTENZA],MATCH(warehouse[[#This Row],[SKU]],inventory[ARTICOLO],0))),"")</f>
        <v/>
      </c>
      <c r="EH171" s="328"/>
      <c r="EI171" s="328"/>
      <c r="EJ171" s="263"/>
      <c r="EK171" s="113"/>
    </row>
    <row r="172" spans="63:141" x14ac:dyDescent="0.35">
      <c r="BK172" s="450"/>
      <c r="BL172" s="451"/>
      <c r="BM172" s="452"/>
      <c r="BN172" s="451"/>
      <c r="BO172" s="452"/>
      <c r="EE172" s="202" t="str" cm="1">
        <f t="array" ref="EE172">IFERROR(IF($EC$9="",IF($EC$11="",IF($EC$13="",INDEX(bhpc_data[sku],SMALL(MATCH(ROW(bhpc_data[sku]),ROW(bhpc_data[sku])),ROWS($A$15:A177)+$B$3)),INDEX(bhpc_data[sku],SMALL(IF(ISNUMBER(MATCH(bhpc_data[size1],$EC$13,0)),MATCH(ROW(bhpc_data[sku]),ROW(bhpc_data[sku])),""),ROWS($A$15:A177)+$B$3))),IF($EC$13="",INDEX(bhpc_data[sku],SMALL(IF(ISNUMBER(MATCH(bhpc_data[sex],$EC$11,0)),MATCH(ROW(bhpc_data[sku]),ROW(bhpc_data[sku])),""),ROWS($A$15:A177)+$B$3)),INDEX(bhpc_data[sku],SMALL(IF(ISNUMBER(MATCH(bhpc_data[sex],$EC$11,0)*MATCH(bhpc_data[size1],$EC$13,0)),MATCH(ROW(bhpc_data[sku]),ROW(bhpc_data[sku])),""),ROWS($A$15:A177)+$B$3)))),IF($EC$11="",IF($EC$13="",INDEX(bhpc_data[sku],SMALL(IF(ISNUMBER(MATCH(bhpc_data[category],$EC$9,0)),MATCH(ROW(bhpc_data[sku]),ROW(bhpc_data[sku])),""),ROWS($A$15:A177)+$B$3)),INDEX(bhpc_data[sku],SMALL(IF(ISNUMBER(MATCH(bhpc_data[category],$EC$9,0)*MATCH(bhpc_data[size1],$EC$13,0)),MATCH(ROW(bhpc_data[sku]),ROW(bhpc_data[sku])),""),ROWS($A$15:A177)+$B$3))),IF($EC$13="",INDEX(bhpc_data[sku],SMALL(IF(ISNUMBER(MATCH(bhpc_data[category],$EC$9,0)*MATCH(bhpc_data[sex],$EC$11,0)),MATCH(ROW(bhpc_data[sku]),ROW(bhpc_data[sku])),""),ROWS($A$15:A177)+$B$3)),INDEX(bhpc_data[sku],SMALL(IF(ISNUMBER(MATCH(bhpc_data[category],$EC$9,0)*MATCH(bhpc_data[sex],$EC$11,0)*MATCH(bhpc_data[size1],$EC$13,0)),MATCH(ROW(bhpc_data[sku]),ROW(bhpc_data[sku])),""),ROWS($A$15:A177)+$B$3))))),"")</f>
        <v>P07004</v>
      </c>
      <c r="EF172" s="198" t="str" cm="1">
        <f t="array" ref="EF172">IFERROR(IF($EC$9="",IF($EC$11="",IF($EC$13="",INDEX(bhpc_data[description],SMALL(MATCH(ROW(bhpc_data[sku]),ROW(bhpc_data[sku])),ROWS($A$15:A177)+$B$3)),INDEX(bhpc_data[description],SMALL(IF(ISNUMBER(MATCH(bhpc_data[size1],$EC$13,0)),MATCH(ROW(bhpc_data[sku]),ROW(bhpc_data[sku])),""),ROWS($A$15:A177)+$B$3))),IF($EC$13="",INDEX(bhpc_data[description],SMALL(IF(ISNUMBER(MATCH(bhpc_data[sex],$EC$11,0)),MATCH(ROW(bhpc_data[sku]),ROW(bhpc_data[sku])),""),ROWS($A$15:A177)+$B$3)),INDEX(bhpc_data[description],SMALL(IF(ISNUMBER(MATCH(bhpc_data[sex],$EC$11,0)*MATCH(bhpc_data[size1],$EC$13,0)),MATCH(ROW(bhpc_data[sku]),ROW(bhpc_data[sku])),""),ROWS($A$15:A177)+$B$3)))),IF($EC$11="",IF($EC$13="",INDEX(bhpc_data[description],SMALL(IF(ISNUMBER(MATCH(bhpc_data[category],$EC$9,0)),MATCH(ROW(bhpc_data[sku]),ROW(bhpc_data[sku])),""),ROWS($A$15:A177)+$B$3)),INDEX(bhpc_data[description],SMALL(IF(ISNUMBER(MATCH(bhpc_data[category],$EC$9,0)*MATCH(bhpc_data[size1],$EC$13,0)),MATCH(ROW(bhpc_data[sku]),ROW(bhpc_data[sku])),""),ROWS($A$15:A177)+$B$3))),IF($EC$13="",INDEX(bhpc_data[description],SMALL(IF(ISNUMBER(MATCH(bhpc_data[category],$EC$9,0)*MATCH(bhpc_data[sex],$EC$11,0)),MATCH(ROW(bhpc_data[sku]),ROW(bhpc_data[sku])),""),ROWS($A$15:A177)+$B$3)),INDEX(bhpc_data[description],SMALL(IF(ISNUMBER(MATCH(bhpc_data[category],$EC$9,0)*MATCH(bhpc_data[sex],$EC$11,0)*MATCH(bhpc_data[size1],$EC$13,0)),MATCH(ROW(bhpc_data[sku]),ROW(bhpc_data[sku])),""),ROWS($A$15:A177)+$B$3))))),"")</f>
        <v>BHPC WOMEN ROLL-ON 1 50ML</v>
      </c>
      <c r="EG172" s="263">
        <f>IFERROR(IF(warehouse[[#This Row],[SKU]]="","",INDEX(inventory[ESISTENZA],MATCH(warehouse[[#This Row],[SKU]],inventory[ARTICOLO],0))),"")</f>
        <v>0</v>
      </c>
      <c r="EH172" s="328"/>
      <c r="EI172" s="328"/>
      <c r="EJ172" s="263"/>
      <c r="EK172" s="113"/>
    </row>
    <row r="173" spans="63:141" x14ac:dyDescent="0.35">
      <c r="BK173" s="450"/>
      <c r="BL173" s="451"/>
      <c r="BM173" s="452"/>
      <c r="BN173" s="451"/>
      <c r="BO173" s="452"/>
      <c r="EE173" s="202" t="str" cm="1">
        <f t="array" ref="EE173">IFERROR(IF($EC$9="",IF($EC$11="",IF($EC$13="",INDEX(bhpc_data[sku],SMALL(MATCH(ROW(bhpc_data[sku]),ROW(bhpc_data[sku])),ROWS($A$15:A178)+$B$3)),INDEX(bhpc_data[sku],SMALL(IF(ISNUMBER(MATCH(bhpc_data[size1],$EC$13,0)),MATCH(ROW(bhpc_data[sku]),ROW(bhpc_data[sku])),""),ROWS($A$15:A178)+$B$3))),IF($EC$13="",INDEX(bhpc_data[sku],SMALL(IF(ISNUMBER(MATCH(bhpc_data[sex],$EC$11,0)),MATCH(ROW(bhpc_data[sku]),ROW(bhpc_data[sku])),""),ROWS($A$15:A178)+$B$3)),INDEX(bhpc_data[sku],SMALL(IF(ISNUMBER(MATCH(bhpc_data[sex],$EC$11,0)*MATCH(bhpc_data[size1],$EC$13,0)),MATCH(ROW(bhpc_data[sku]),ROW(bhpc_data[sku])),""),ROWS($A$15:A178)+$B$3)))),IF($EC$11="",IF($EC$13="",INDEX(bhpc_data[sku],SMALL(IF(ISNUMBER(MATCH(bhpc_data[category],$EC$9,0)),MATCH(ROW(bhpc_data[sku]),ROW(bhpc_data[sku])),""),ROWS($A$15:A178)+$B$3)),INDEX(bhpc_data[sku],SMALL(IF(ISNUMBER(MATCH(bhpc_data[category],$EC$9,0)*MATCH(bhpc_data[size1],$EC$13,0)),MATCH(ROW(bhpc_data[sku]),ROW(bhpc_data[sku])),""),ROWS($A$15:A178)+$B$3))),IF($EC$13="",INDEX(bhpc_data[sku],SMALL(IF(ISNUMBER(MATCH(bhpc_data[category],$EC$9,0)*MATCH(bhpc_data[sex],$EC$11,0)),MATCH(ROW(bhpc_data[sku]),ROW(bhpc_data[sku])),""),ROWS($A$15:A178)+$B$3)),INDEX(bhpc_data[sku],SMALL(IF(ISNUMBER(MATCH(bhpc_data[category],$EC$9,0)*MATCH(bhpc_data[sex],$EC$11,0)*MATCH(bhpc_data[size1],$EC$13,0)),MATCH(ROW(bhpc_data[sku]),ROW(bhpc_data[sku])),""),ROWS($A$15:A178)+$B$3))))),"")</f>
        <v>P07005</v>
      </c>
      <c r="EF173" s="198" t="str" cm="1">
        <f t="array" ref="EF173">IFERROR(IF($EC$9="",IF($EC$11="",IF($EC$13="",INDEX(bhpc_data[description],SMALL(MATCH(ROW(bhpc_data[sku]),ROW(bhpc_data[sku])),ROWS($A$15:A178)+$B$3)),INDEX(bhpc_data[description],SMALL(IF(ISNUMBER(MATCH(bhpc_data[size1],$EC$13,0)),MATCH(ROW(bhpc_data[sku]),ROW(bhpc_data[sku])),""),ROWS($A$15:A178)+$B$3))),IF($EC$13="",INDEX(bhpc_data[description],SMALL(IF(ISNUMBER(MATCH(bhpc_data[sex],$EC$11,0)),MATCH(ROW(bhpc_data[sku]),ROW(bhpc_data[sku])),""),ROWS($A$15:A178)+$B$3)),INDEX(bhpc_data[description],SMALL(IF(ISNUMBER(MATCH(bhpc_data[sex],$EC$11,0)*MATCH(bhpc_data[size1],$EC$13,0)),MATCH(ROW(bhpc_data[sku]),ROW(bhpc_data[sku])),""),ROWS($A$15:A178)+$B$3)))),IF($EC$11="",IF($EC$13="",INDEX(bhpc_data[description],SMALL(IF(ISNUMBER(MATCH(bhpc_data[category],$EC$9,0)),MATCH(ROW(bhpc_data[sku]),ROW(bhpc_data[sku])),""),ROWS($A$15:A178)+$B$3)),INDEX(bhpc_data[description],SMALL(IF(ISNUMBER(MATCH(bhpc_data[category],$EC$9,0)*MATCH(bhpc_data[size1],$EC$13,0)),MATCH(ROW(bhpc_data[sku]),ROW(bhpc_data[sku])),""),ROWS($A$15:A178)+$B$3))),IF($EC$13="",INDEX(bhpc_data[description],SMALL(IF(ISNUMBER(MATCH(bhpc_data[category],$EC$9,0)*MATCH(bhpc_data[sex],$EC$11,0)),MATCH(ROW(bhpc_data[sku]),ROW(bhpc_data[sku])),""),ROWS($A$15:A178)+$B$3)),INDEX(bhpc_data[description],SMALL(IF(ISNUMBER(MATCH(bhpc_data[category],$EC$9,0)*MATCH(bhpc_data[sex],$EC$11,0)*MATCH(bhpc_data[size1],$EC$13,0)),MATCH(ROW(bhpc_data[sku]),ROW(bhpc_data[sku])),""),ROWS($A$15:A178)+$B$3))))),"")</f>
        <v>BHPC WOMEN ROLL-ON 9 50ML</v>
      </c>
      <c r="EG173" s="263">
        <f>IFERROR(IF(warehouse[[#This Row],[SKU]]="","",INDEX(inventory[ESISTENZA],MATCH(warehouse[[#This Row],[SKU]],inventory[ARTICOLO],0))),"")</f>
        <v>0</v>
      </c>
      <c r="EH173" s="328"/>
      <c r="EI173" s="328"/>
      <c r="EJ173" s="263"/>
      <c r="EK173" s="113"/>
    </row>
    <row r="174" spans="63:141" x14ac:dyDescent="0.35">
      <c r="BK174" s="450"/>
      <c r="BL174" s="451"/>
      <c r="BM174" s="452"/>
      <c r="BN174" s="451"/>
      <c r="BO174" s="452"/>
      <c r="EE174" s="202" t="str" cm="1">
        <f t="array" ref="EE174">IFERROR(IF($EC$9="",IF($EC$11="",IF($EC$13="",INDEX(bhpc_data[sku],SMALL(MATCH(ROW(bhpc_data[sku]),ROW(bhpc_data[sku])),ROWS($A$15:A179)+$B$3)),INDEX(bhpc_data[sku],SMALL(IF(ISNUMBER(MATCH(bhpc_data[size1],$EC$13,0)),MATCH(ROW(bhpc_data[sku]),ROW(bhpc_data[sku])),""),ROWS($A$15:A179)+$B$3))),IF($EC$13="",INDEX(bhpc_data[sku],SMALL(IF(ISNUMBER(MATCH(bhpc_data[sex],$EC$11,0)),MATCH(ROW(bhpc_data[sku]),ROW(bhpc_data[sku])),""),ROWS($A$15:A179)+$B$3)),INDEX(bhpc_data[sku],SMALL(IF(ISNUMBER(MATCH(bhpc_data[sex],$EC$11,0)*MATCH(bhpc_data[size1],$EC$13,0)),MATCH(ROW(bhpc_data[sku]),ROW(bhpc_data[sku])),""),ROWS($A$15:A179)+$B$3)))),IF($EC$11="",IF($EC$13="",INDEX(bhpc_data[sku],SMALL(IF(ISNUMBER(MATCH(bhpc_data[category],$EC$9,0)),MATCH(ROW(bhpc_data[sku]),ROW(bhpc_data[sku])),""),ROWS($A$15:A179)+$B$3)),INDEX(bhpc_data[sku],SMALL(IF(ISNUMBER(MATCH(bhpc_data[category],$EC$9,0)*MATCH(bhpc_data[size1],$EC$13,0)),MATCH(ROW(bhpc_data[sku]),ROW(bhpc_data[sku])),""),ROWS($A$15:A179)+$B$3))),IF($EC$13="",INDEX(bhpc_data[sku],SMALL(IF(ISNUMBER(MATCH(bhpc_data[category],$EC$9,0)*MATCH(bhpc_data[sex],$EC$11,0)),MATCH(ROW(bhpc_data[sku]),ROW(bhpc_data[sku])),""),ROWS($A$15:A179)+$B$3)),INDEX(bhpc_data[sku],SMALL(IF(ISNUMBER(MATCH(bhpc_data[category],$EC$9,0)*MATCH(bhpc_data[sex],$EC$11,0)*MATCH(bhpc_data[size1],$EC$13,0)),MATCH(ROW(bhpc_data[sku]),ROW(bhpc_data[sku])),""),ROWS($A$15:A179)+$B$3))))),"")</f>
        <v>P07006</v>
      </c>
      <c r="EF174" s="198" t="str" cm="1">
        <f t="array" ref="EF174">IFERROR(IF($EC$9="",IF($EC$11="",IF($EC$13="",INDEX(bhpc_data[description],SMALL(MATCH(ROW(bhpc_data[sku]),ROW(bhpc_data[sku])),ROWS($A$15:A179)+$B$3)),INDEX(bhpc_data[description],SMALL(IF(ISNUMBER(MATCH(bhpc_data[size1],$EC$13,0)),MATCH(ROW(bhpc_data[sku]),ROW(bhpc_data[sku])),""),ROWS($A$15:A179)+$B$3))),IF($EC$13="",INDEX(bhpc_data[description],SMALL(IF(ISNUMBER(MATCH(bhpc_data[sex],$EC$11,0)),MATCH(ROW(bhpc_data[sku]),ROW(bhpc_data[sku])),""),ROWS($A$15:A179)+$B$3)),INDEX(bhpc_data[description],SMALL(IF(ISNUMBER(MATCH(bhpc_data[sex],$EC$11,0)*MATCH(bhpc_data[size1],$EC$13,0)),MATCH(ROW(bhpc_data[sku]),ROW(bhpc_data[sku])),""),ROWS($A$15:A179)+$B$3)))),IF($EC$11="",IF($EC$13="",INDEX(bhpc_data[description],SMALL(IF(ISNUMBER(MATCH(bhpc_data[category],$EC$9,0)),MATCH(ROW(bhpc_data[sku]),ROW(bhpc_data[sku])),""),ROWS($A$15:A179)+$B$3)),INDEX(bhpc_data[description],SMALL(IF(ISNUMBER(MATCH(bhpc_data[category],$EC$9,0)*MATCH(bhpc_data[size1],$EC$13,0)),MATCH(ROW(bhpc_data[sku]),ROW(bhpc_data[sku])),""),ROWS($A$15:A179)+$B$3))),IF($EC$13="",INDEX(bhpc_data[description],SMALL(IF(ISNUMBER(MATCH(bhpc_data[category],$EC$9,0)*MATCH(bhpc_data[sex],$EC$11,0)),MATCH(ROW(bhpc_data[sku]),ROW(bhpc_data[sku])),""),ROWS($A$15:A179)+$B$3)),INDEX(bhpc_data[description],SMALL(IF(ISNUMBER(MATCH(bhpc_data[category],$EC$9,0)*MATCH(bhpc_data[sex],$EC$11,0)*MATCH(bhpc_data[size1],$EC$13,0)),MATCH(ROW(bhpc_data[sku]),ROW(bhpc_data[sku])),""),ROWS($A$15:A179)+$B$3))))),"")</f>
        <v>BHPC WOMEN ROLL-ON 8 50ML</v>
      </c>
      <c r="EG174" s="263">
        <f>IFERROR(IF(warehouse[[#This Row],[SKU]]="","",INDEX(inventory[ESISTENZA],MATCH(warehouse[[#This Row],[SKU]],inventory[ARTICOLO],0))),"")</f>
        <v>0</v>
      </c>
      <c r="EH174" s="328"/>
      <c r="EI174" s="328"/>
      <c r="EJ174" s="263"/>
      <c r="EK174" s="113"/>
    </row>
    <row r="175" spans="63:141" x14ac:dyDescent="0.35">
      <c r="BK175" s="450"/>
      <c r="BL175" s="451"/>
      <c r="BM175" s="452"/>
      <c r="BN175" s="451"/>
      <c r="BO175" s="452"/>
      <c r="EE175" s="202" t="str" cm="1">
        <f t="array" ref="EE175">IFERROR(IF($EC$9="",IF($EC$11="",IF($EC$13="",INDEX(bhpc_data[sku],SMALL(MATCH(ROW(bhpc_data[sku]),ROW(bhpc_data[sku])),ROWS($A$15:A180)+$B$3)),INDEX(bhpc_data[sku],SMALL(IF(ISNUMBER(MATCH(bhpc_data[size1],$EC$13,0)),MATCH(ROW(bhpc_data[sku]),ROW(bhpc_data[sku])),""),ROWS($A$15:A180)+$B$3))),IF($EC$13="",INDEX(bhpc_data[sku],SMALL(IF(ISNUMBER(MATCH(bhpc_data[sex],$EC$11,0)),MATCH(ROW(bhpc_data[sku]),ROW(bhpc_data[sku])),""),ROWS($A$15:A180)+$B$3)),INDEX(bhpc_data[sku],SMALL(IF(ISNUMBER(MATCH(bhpc_data[sex],$EC$11,0)*MATCH(bhpc_data[size1],$EC$13,0)),MATCH(ROW(bhpc_data[sku]),ROW(bhpc_data[sku])),""),ROWS($A$15:A180)+$B$3)))),IF($EC$11="",IF($EC$13="",INDEX(bhpc_data[sku],SMALL(IF(ISNUMBER(MATCH(bhpc_data[category],$EC$9,0)),MATCH(ROW(bhpc_data[sku]),ROW(bhpc_data[sku])),""),ROWS($A$15:A180)+$B$3)),INDEX(bhpc_data[sku],SMALL(IF(ISNUMBER(MATCH(bhpc_data[category],$EC$9,0)*MATCH(bhpc_data[size1],$EC$13,0)),MATCH(ROW(bhpc_data[sku]),ROW(bhpc_data[sku])),""),ROWS($A$15:A180)+$B$3))),IF($EC$13="",INDEX(bhpc_data[sku],SMALL(IF(ISNUMBER(MATCH(bhpc_data[category],$EC$9,0)*MATCH(bhpc_data[sex],$EC$11,0)),MATCH(ROW(bhpc_data[sku]),ROW(bhpc_data[sku])),""),ROWS($A$15:A180)+$B$3)),INDEX(bhpc_data[sku],SMALL(IF(ISNUMBER(MATCH(bhpc_data[category],$EC$9,0)*MATCH(bhpc_data[sex],$EC$11,0)*MATCH(bhpc_data[size1],$EC$13,0)),MATCH(ROW(bhpc_data[sku]),ROW(bhpc_data[sku])),""),ROWS($A$15:A180)+$B$3))))),"")</f>
        <v>P07007</v>
      </c>
      <c r="EF175" s="198" t="str" cm="1">
        <f t="array" ref="EF175">IFERROR(IF($EC$9="",IF($EC$11="",IF($EC$13="",INDEX(bhpc_data[description],SMALL(MATCH(ROW(bhpc_data[sku]),ROW(bhpc_data[sku])),ROWS($A$15:A180)+$B$3)),INDEX(bhpc_data[description],SMALL(IF(ISNUMBER(MATCH(bhpc_data[size1],$EC$13,0)),MATCH(ROW(bhpc_data[sku]),ROW(bhpc_data[sku])),""),ROWS($A$15:A180)+$B$3))),IF($EC$13="",INDEX(bhpc_data[description],SMALL(IF(ISNUMBER(MATCH(bhpc_data[sex],$EC$11,0)),MATCH(ROW(bhpc_data[sku]),ROW(bhpc_data[sku])),""),ROWS($A$15:A180)+$B$3)),INDEX(bhpc_data[description],SMALL(IF(ISNUMBER(MATCH(bhpc_data[sex],$EC$11,0)*MATCH(bhpc_data[size1],$EC$13,0)),MATCH(ROW(bhpc_data[sku]),ROW(bhpc_data[sku])),""),ROWS($A$15:A180)+$B$3)))),IF($EC$11="",IF($EC$13="",INDEX(bhpc_data[description],SMALL(IF(ISNUMBER(MATCH(bhpc_data[category],$EC$9,0)),MATCH(ROW(bhpc_data[sku]),ROW(bhpc_data[sku])),""),ROWS($A$15:A180)+$B$3)),INDEX(bhpc_data[description],SMALL(IF(ISNUMBER(MATCH(bhpc_data[category],$EC$9,0)*MATCH(bhpc_data[size1],$EC$13,0)),MATCH(ROW(bhpc_data[sku]),ROW(bhpc_data[sku])),""),ROWS($A$15:A180)+$B$3))),IF($EC$13="",INDEX(bhpc_data[description],SMALL(IF(ISNUMBER(MATCH(bhpc_data[category],$EC$9,0)*MATCH(bhpc_data[sex],$EC$11,0)),MATCH(ROW(bhpc_data[sku]),ROW(bhpc_data[sku])),""),ROWS($A$15:A180)+$B$3)),INDEX(bhpc_data[description],SMALL(IF(ISNUMBER(MATCH(bhpc_data[category],$EC$9,0)*MATCH(bhpc_data[sex],$EC$11,0)*MATCH(bhpc_data[size1],$EC$13,0)),MATCH(ROW(bhpc_data[sku]),ROW(bhpc_data[sku])),""),ROWS($A$15:A180)+$B$3))))),"")</f>
        <v>BHPC WOMEN ROLL-ON 2 50ML</v>
      </c>
      <c r="EG175" s="263">
        <f>IFERROR(IF(warehouse[[#This Row],[SKU]]="","",INDEX(inventory[ESISTENZA],MATCH(warehouse[[#This Row],[SKU]],inventory[ARTICOLO],0))),"")</f>
        <v>0</v>
      </c>
      <c r="EH175" s="328"/>
      <c r="EI175" s="328"/>
      <c r="EJ175" s="263"/>
      <c r="EK175" s="113"/>
    </row>
    <row r="176" spans="63:141" x14ac:dyDescent="0.35">
      <c r="BK176" s="450"/>
      <c r="BL176" s="451"/>
      <c r="BM176" s="452"/>
      <c r="BN176" s="451"/>
      <c r="BO176" s="452"/>
      <c r="EE176" s="202" t="str" cm="1">
        <f t="array" ref="EE176">IFERROR(IF($EC$9="",IF($EC$11="",IF($EC$13="",INDEX(bhpc_data[sku],SMALL(MATCH(ROW(bhpc_data[sku]),ROW(bhpc_data[sku])),ROWS($A$15:A181)+$B$3)),INDEX(bhpc_data[sku],SMALL(IF(ISNUMBER(MATCH(bhpc_data[size1],$EC$13,0)),MATCH(ROW(bhpc_data[sku]),ROW(bhpc_data[sku])),""),ROWS($A$15:A181)+$B$3))),IF($EC$13="",INDEX(bhpc_data[sku],SMALL(IF(ISNUMBER(MATCH(bhpc_data[sex],$EC$11,0)),MATCH(ROW(bhpc_data[sku]),ROW(bhpc_data[sku])),""),ROWS($A$15:A181)+$B$3)),INDEX(bhpc_data[sku],SMALL(IF(ISNUMBER(MATCH(bhpc_data[sex],$EC$11,0)*MATCH(bhpc_data[size1],$EC$13,0)),MATCH(ROW(bhpc_data[sku]),ROW(bhpc_data[sku])),""),ROWS($A$15:A181)+$B$3)))),IF($EC$11="",IF($EC$13="",INDEX(bhpc_data[sku],SMALL(IF(ISNUMBER(MATCH(bhpc_data[category],$EC$9,0)),MATCH(ROW(bhpc_data[sku]),ROW(bhpc_data[sku])),""),ROWS($A$15:A181)+$B$3)),INDEX(bhpc_data[sku],SMALL(IF(ISNUMBER(MATCH(bhpc_data[category],$EC$9,0)*MATCH(bhpc_data[size1],$EC$13,0)),MATCH(ROW(bhpc_data[sku]),ROW(bhpc_data[sku])),""),ROWS($A$15:A181)+$B$3))),IF($EC$13="",INDEX(bhpc_data[sku],SMALL(IF(ISNUMBER(MATCH(bhpc_data[category],$EC$9,0)*MATCH(bhpc_data[sex],$EC$11,0)),MATCH(ROW(bhpc_data[sku]),ROW(bhpc_data[sku])),""),ROWS($A$15:A181)+$B$3)),INDEX(bhpc_data[sku],SMALL(IF(ISNUMBER(MATCH(bhpc_data[category],$EC$9,0)*MATCH(bhpc_data[sex],$EC$11,0)*MATCH(bhpc_data[size1],$EC$13,0)),MATCH(ROW(bhpc_data[sku]),ROW(bhpc_data[sku])),""),ROWS($A$15:A181)+$B$3))))),"")</f>
        <v/>
      </c>
      <c r="EF176" s="198" t="str" cm="1">
        <f t="array" ref="EF176">IFERROR(IF($EC$9="",IF($EC$11="",IF($EC$13="",INDEX(bhpc_data[description],SMALL(MATCH(ROW(bhpc_data[sku]),ROW(bhpc_data[sku])),ROWS($A$15:A181)+$B$3)),INDEX(bhpc_data[description],SMALL(IF(ISNUMBER(MATCH(bhpc_data[size1],$EC$13,0)),MATCH(ROW(bhpc_data[sku]),ROW(bhpc_data[sku])),""),ROWS($A$15:A181)+$B$3))),IF($EC$13="",INDEX(bhpc_data[description],SMALL(IF(ISNUMBER(MATCH(bhpc_data[sex],$EC$11,0)),MATCH(ROW(bhpc_data[sku]),ROW(bhpc_data[sku])),""),ROWS($A$15:A181)+$B$3)),INDEX(bhpc_data[description],SMALL(IF(ISNUMBER(MATCH(bhpc_data[sex],$EC$11,0)*MATCH(bhpc_data[size1],$EC$13,0)),MATCH(ROW(bhpc_data[sku]),ROW(bhpc_data[sku])),""),ROWS($A$15:A181)+$B$3)))),IF($EC$11="",IF($EC$13="",INDEX(bhpc_data[description],SMALL(IF(ISNUMBER(MATCH(bhpc_data[category],$EC$9,0)),MATCH(ROW(bhpc_data[sku]),ROW(bhpc_data[sku])),""),ROWS($A$15:A181)+$B$3)),INDEX(bhpc_data[description],SMALL(IF(ISNUMBER(MATCH(bhpc_data[category],$EC$9,0)*MATCH(bhpc_data[size1],$EC$13,0)),MATCH(ROW(bhpc_data[sku]),ROW(bhpc_data[sku])),""),ROWS($A$15:A181)+$B$3))),IF($EC$13="",INDEX(bhpc_data[description],SMALL(IF(ISNUMBER(MATCH(bhpc_data[category],$EC$9,0)*MATCH(bhpc_data[sex],$EC$11,0)),MATCH(ROW(bhpc_data[sku]),ROW(bhpc_data[sku])),""),ROWS($A$15:A181)+$B$3)),INDEX(bhpc_data[description],SMALL(IF(ISNUMBER(MATCH(bhpc_data[category],$EC$9,0)*MATCH(bhpc_data[sex],$EC$11,0)*MATCH(bhpc_data[size1],$EC$13,0)),MATCH(ROW(bhpc_data[sku]),ROW(bhpc_data[sku])),""),ROWS($A$15:A181)+$B$3))))),"")</f>
        <v/>
      </c>
      <c r="EG176" s="263" t="str">
        <f>IFERROR(IF(warehouse[[#This Row],[SKU]]="","",INDEX(inventory[ESISTENZA],MATCH(warehouse[[#This Row],[SKU]],inventory[ARTICOLO],0))),"")</f>
        <v/>
      </c>
      <c r="EH176" s="328"/>
      <c r="EI176" s="328"/>
      <c r="EJ176" s="263"/>
      <c r="EK176" s="113"/>
    </row>
    <row r="177" spans="63:141" x14ac:dyDescent="0.35">
      <c r="BK177" s="450"/>
      <c r="BL177" s="451"/>
      <c r="BM177" s="452"/>
      <c r="BN177" s="451"/>
      <c r="BO177" s="452"/>
      <c r="EE177" s="202" t="str" cm="1">
        <f t="array" ref="EE177">IFERROR(IF($EC$9="",IF($EC$11="",IF($EC$13="",INDEX(bhpc_data[sku],SMALL(MATCH(ROW(bhpc_data[sku]),ROW(bhpc_data[sku])),ROWS($A$15:A182)+$B$3)),INDEX(bhpc_data[sku],SMALL(IF(ISNUMBER(MATCH(bhpc_data[size1],$EC$13,0)),MATCH(ROW(bhpc_data[sku]),ROW(bhpc_data[sku])),""),ROWS($A$15:A182)+$B$3))),IF($EC$13="",INDEX(bhpc_data[sku],SMALL(IF(ISNUMBER(MATCH(bhpc_data[sex],$EC$11,0)),MATCH(ROW(bhpc_data[sku]),ROW(bhpc_data[sku])),""),ROWS($A$15:A182)+$B$3)),INDEX(bhpc_data[sku],SMALL(IF(ISNUMBER(MATCH(bhpc_data[sex],$EC$11,0)*MATCH(bhpc_data[size1],$EC$13,0)),MATCH(ROW(bhpc_data[sku]),ROW(bhpc_data[sku])),""),ROWS($A$15:A182)+$B$3)))),IF($EC$11="",IF($EC$13="",INDEX(bhpc_data[sku],SMALL(IF(ISNUMBER(MATCH(bhpc_data[category],$EC$9,0)),MATCH(ROW(bhpc_data[sku]),ROW(bhpc_data[sku])),""),ROWS($A$15:A182)+$B$3)),INDEX(bhpc_data[sku],SMALL(IF(ISNUMBER(MATCH(bhpc_data[category],$EC$9,0)*MATCH(bhpc_data[size1],$EC$13,0)),MATCH(ROW(bhpc_data[sku]),ROW(bhpc_data[sku])),""),ROWS($A$15:A182)+$B$3))),IF($EC$13="",INDEX(bhpc_data[sku],SMALL(IF(ISNUMBER(MATCH(bhpc_data[category],$EC$9,0)*MATCH(bhpc_data[sex],$EC$11,0)),MATCH(ROW(bhpc_data[sku]),ROW(bhpc_data[sku])),""),ROWS($A$15:A182)+$B$3)),INDEX(bhpc_data[sku],SMALL(IF(ISNUMBER(MATCH(bhpc_data[category],$EC$9,0)*MATCH(bhpc_data[sex],$EC$11,0)*MATCH(bhpc_data[size1],$EC$13,0)),MATCH(ROW(bhpc_data[sku]),ROW(bhpc_data[sku])),""),ROWS($A$15:A182)+$B$3))))),"")</f>
        <v/>
      </c>
      <c r="EF177" s="198" t="str" cm="1">
        <f t="array" ref="EF177">IFERROR(IF($EC$9="",IF($EC$11="",IF($EC$13="",INDEX(bhpc_data[description],SMALL(MATCH(ROW(bhpc_data[sku]),ROW(bhpc_data[sku])),ROWS($A$15:A182)+$B$3)),INDEX(bhpc_data[description],SMALL(IF(ISNUMBER(MATCH(bhpc_data[size1],$EC$13,0)),MATCH(ROW(bhpc_data[sku]),ROW(bhpc_data[sku])),""),ROWS($A$15:A182)+$B$3))),IF($EC$13="",INDEX(bhpc_data[description],SMALL(IF(ISNUMBER(MATCH(bhpc_data[sex],$EC$11,0)),MATCH(ROW(bhpc_data[sku]),ROW(bhpc_data[sku])),""),ROWS($A$15:A182)+$B$3)),INDEX(bhpc_data[description],SMALL(IF(ISNUMBER(MATCH(bhpc_data[sex],$EC$11,0)*MATCH(bhpc_data[size1],$EC$13,0)),MATCH(ROW(bhpc_data[sku]),ROW(bhpc_data[sku])),""),ROWS($A$15:A182)+$B$3)))),IF($EC$11="",IF($EC$13="",INDEX(bhpc_data[description],SMALL(IF(ISNUMBER(MATCH(bhpc_data[category],$EC$9,0)),MATCH(ROW(bhpc_data[sku]),ROW(bhpc_data[sku])),""),ROWS($A$15:A182)+$B$3)),INDEX(bhpc_data[description],SMALL(IF(ISNUMBER(MATCH(bhpc_data[category],$EC$9,0)*MATCH(bhpc_data[size1],$EC$13,0)),MATCH(ROW(bhpc_data[sku]),ROW(bhpc_data[sku])),""),ROWS($A$15:A182)+$B$3))),IF($EC$13="",INDEX(bhpc_data[description],SMALL(IF(ISNUMBER(MATCH(bhpc_data[category],$EC$9,0)*MATCH(bhpc_data[sex],$EC$11,0)),MATCH(ROW(bhpc_data[sku]),ROW(bhpc_data[sku])),""),ROWS($A$15:A182)+$B$3)),INDEX(bhpc_data[description],SMALL(IF(ISNUMBER(MATCH(bhpc_data[category],$EC$9,0)*MATCH(bhpc_data[sex],$EC$11,0)*MATCH(bhpc_data[size1],$EC$13,0)),MATCH(ROW(bhpc_data[sku]),ROW(bhpc_data[sku])),""),ROWS($A$15:A182)+$B$3))))),"")</f>
        <v/>
      </c>
      <c r="EG177" s="263" t="str">
        <f>IFERROR(IF(warehouse[[#This Row],[SKU]]="","",INDEX(inventory[ESISTENZA],MATCH(warehouse[[#This Row],[SKU]],inventory[ARTICOLO],0))),"")</f>
        <v/>
      </c>
      <c r="EH177" s="328"/>
      <c r="EI177" s="328"/>
      <c r="EJ177" s="263"/>
      <c r="EK177" s="113"/>
    </row>
    <row r="178" spans="63:141" x14ac:dyDescent="0.35">
      <c r="BK178" s="450"/>
      <c r="BL178" s="451"/>
      <c r="BM178" s="452"/>
      <c r="BN178" s="451"/>
      <c r="BO178" s="452"/>
      <c r="EE178" s="202" t="str" cm="1">
        <f t="array" ref="EE178">IFERROR(IF($EC$9="",IF($EC$11="",IF($EC$13="",INDEX(bhpc_data[sku],SMALL(MATCH(ROW(bhpc_data[sku]),ROW(bhpc_data[sku])),ROWS($A$15:A183)+$B$3)),INDEX(bhpc_data[sku],SMALL(IF(ISNUMBER(MATCH(bhpc_data[size1],$EC$13,0)),MATCH(ROW(bhpc_data[sku]),ROW(bhpc_data[sku])),""),ROWS($A$15:A183)+$B$3))),IF($EC$13="",INDEX(bhpc_data[sku],SMALL(IF(ISNUMBER(MATCH(bhpc_data[sex],$EC$11,0)),MATCH(ROW(bhpc_data[sku]),ROW(bhpc_data[sku])),""),ROWS($A$15:A183)+$B$3)),INDEX(bhpc_data[sku],SMALL(IF(ISNUMBER(MATCH(bhpc_data[sex],$EC$11,0)*MATCH(bhpc_data[size1],$EC$13,0)),MATCH(ROW(bhpc_data[sku]),ROW(bhpc_data[sku])),""),ROWS($A$15:A183)+$B$3)))),IF($EC$11="",IF($EC$13="",INDEX(bhpc_data[sku],SMALL(IF(ISNUMBER(MATCH(bhpc_data[category],$EC$9,0)),MATCH(ROW(bhpc_data[sku]),ROW(bhpc_data[sku])),""),ROWS($A$15:A183)+$B$3)),INDEX(bhpc_data[sku],SMALL(IF(ISNUMBER(MATCH(bhpc_data[category],$EC$9,0)*MATCH(bhpc_data[size1],$EC$13,0)),MATCH(ROW(bhpc_data[sku]),ROW(bhpc_data[sku])),""),ROWS($A$15:A183)+$B$3))),IF($EC$13="",INDEX(bhpc_data[sku],SMALL(IF(ISNUMBER(MATCH(bhpc_data[category],$EC$9,0)*MATCH(bhpc_data[sex],$EC$11,0)),MATCH(ROW(bhpc_data[sku]),ROW(bhpc_data[sku])),""),ROWS($A$15:A183)+$B$3)),INDEX(bhpc_data[sku],SMALL(IF(ISNUMBER(MATCH(bhpc_data[category],$EC$9,0)*MATCH(bhpc_data[sex],$EC$11,0)*MATCH(bhpc_data[size1],$EC$13,0)),MATCH(ROW(bhpc_data[sku]),ROW(bhpc_data[sku])),""),ROWS($A$15:A183)+$B$3))))),"")</f>
        <v/>
      </c>
      <c r="EF178" s="198" t="str" cm="1">
        <f t="array" ref="EF178">IFERROR(IF($EC$9="",IF($EC$11="",IF($EC$13="",INDEX(bhpc_data[description],SMALL(MATCH(ROW(bhpc_data[sku]),ROW(bhpc_data[sku])),ROWS($A$15:A183)+$B$3)),INDEX(bhpc_data[description],SMALL(IF(ISNUMBER(MATCH(bhpc_data[size1],$EC$13,0)),MATCH(ROW(bhpc_data[sku]),ROW(bhpc_data[sku])),""),ROWS($A$15:A183)+$B$3))),IF($EC$13="",INDEX(bhpc_data[description],SMALL(IF(ISNUMBER(MATCH(bhpc_data[sex],$EC$11,0)),MATCH(ROW(bhpc_data[sku]),ROW(bhpc_data[sku])),""),ROWS($A$15:A183)+$B$3)),INDEX(bhpc_data[description],SMALL(IF(ISNUMBER(MATCH(bhpc_data[sex],$EC$11,0)*MATCH(bhpc_data[size1],$EC$13,0)),MATCH(ROW(bhpc_data[sku]),ROW(bhpc_data[sku])),""),ROWS($A$15:A183)+$B$3)))),IF($EC$11="",IF($EC$13="",INDEX(bhpc_data[description],SMALL(IF(ISNUMBER(MATCH(bhpc_data[category],$EC$9,0)),MATCH(ROW(bhpc_data[sku]),ROW(bhpc_data[sku])),""),ROWS($A$15:A183)+$B$3)),INDEX(bhpc_data[description],SMALL(IF(ISNUMBER(MATCH(bhpc_data[category],$EC$9,0)*MATCH(bhpc_data[size1],$EC$13,0)),MATCH(ROW(bhpc_data[sku]),ROW(bhpc_data[sku])),""),ROWS($A$15:A183)+$B$3))),IF($EC$13="",INDEX(bhpc_data[description],SMALL(IF(ISNUMBER(MATCH(bhpc_data[category],$EC$9,0)*MATCH(bhpc_data[sex],$EC$11,0)),MATCH(ROW(bhpc_data[sku]),ROW(bhpc_data[sku])),""),ROWS($A$15:A183)+$B$3)),INDEX(bhpc_data[description],SMALL(IF(ISNUMBER(MATCH(bhpc_data[category],$EC$9,0)*MATCH(bhpc_data[sex],$EC$11,0)*MATCH(bhpc_data[size1],$EC$13,0)),MATCH(ROW(bhpc_data[sku]),ROW(bhpc_data[sku])),""),ROWS($A$15:A183)+$B$3))))),"")</f>
        <v/>
      </c>
      <c r="EG178" s="263" t="str">
        <f>IFERROR(IF(warehouse[[#This Row],[SKU]]="","",INDEX(inventory[ESISTENZA],MATCH(warehouse[[#This Row],[SKU]],inventory[ARTICOLO],0))),"")</f>
        <v/>
      </c>
      <c r="EH178" s="328"/>
      <c r="EI178" s="328"/>
      <c r="EJ178" s="263"/>
      <c r="EK178" s="113"/>
    </row>
    <row r="179" spans="63:141" x14ac:dyDescent="0.35">
      <c r="BK179" s="450"/>
      <c r="BL179" s="451"/>
      <c r="BM179" s="452"/>
      <c r="BN179" s="451"/>
      <c r="BO179" s="452"/>
      <c r="EE179" s="202" t="str" cm="1">
        <f t="array" ref="EE179">IFERROR(IF($EC$9="",IF($EC$11="",IF($EC$13="",INDEX(bhpc_data[sku],SMALL(MATCH(ROW(bhpc_data[sku]),ROW(bhpc_data[sku])),ROWS($A$15:A184)+$B$3)),INDEX(bhpc_data[sku],SMALL(IF(ISNUMBER(MATCH(bhpc_data[size1],$EC$13,0)),MATCH(ROW(bhpc_data[sku]),ROW(bhpc_data[sku])),""),ROWS($A$15:A184)+$B$3))),IF($EC$13="",INDEX(bhpc_data[sku],SMALL(IF(ISNUMBER(MATCH(bhpc_data[sex],$EC$11,0)),MATCH(ROW(bhpc_data[sku]),ROW(bhpc_data[sku])),""),ROWS($A$15:A184)+$B$3)),INDEX(bhpc_data[sku],SMALL(IF(ISNUMBER(MATCH(bhpc_data[sex],$EC$11,0)*MATCH(bhpc_data[size1],$EC$13,0)),MATCH(ROW(bhpc_data[sku]),ROW(bhpc_data[sku])),""),ROWS($A$15:A184)+$B$3)))),IF($EC$11="",IF($EC$13="",INDEX(bhpc_data[sku],SMALL(IF(ISNUMBER(MATCH(bhpc_data[category],$EC$9,0)),MATCH(ROW(bhpc_data[sku]),ROW(bhpc_data[sku])),""),ROWS($A$15:A184)+$B$3)),INDEX(bhpc_data[sku],SMALL(IF(ISNUMBER(MATCH(bhpc_data[category],$EC$9,0)*MATCH(bhpc_data[size1],$EC$13,0)),MATCH(ROW(bhpc_data[sku]),ROW(bhpc_data[sku])),""),ROWS($A$15:A184)+$B$3))),IF($EC$13="",INDEX(bhpc_data[sku],SMALL(IF(ISNUMBER(MATCH(bhpc_data[category],$EC$9,0)*MATCH(bhpc_data[sex],$EC$11,0)),MATCH(ROW(bhpc_data[sku]),ROW(bhpc_data[sku])),""),ROWS($A$15:A184)+$B$3)),INDEX(bhpc_data[sku],SMALL(IF(ISNUMBER(MATCH(bhpc_data[category],$EC$9,0)*MATCH(bhpc_data[sex],$EC$11,0)*MATCH(bhpc_data[size1],$EC$13,0)),MATCH(ROW(bhpc_data[sku]),ROW(bhpc_data[sku])),""),ROWS($A$15:A184)+$B$3))))),"")</f>
        <v/>
      </c>
      <c r="EF179" s="198" t="str" cm="1">
        <f t="array" ref="EF179">IFERROR(IF($EC$9="",IF($EC$11="",IF($EC$13="",INDEX(bhpc_data[description],SMALL(MATCH(ROW(bhpc_data[sku]),ROW(bhpc_data[sku])),ROWS($A$15:A184)+$B$3)),INDEX(bhpc_data[description],SMALL(IF(ISNUMBER(MATCH(bhpc_data[size1],$EC$13,0)),MATCH(ROW(bhpc_data[sku]),ROW(bhpc_data[sku])),""),ROWS($A$15:A184)+$B$3))),IF($EC$13="",INDEX(bhpc_data[description],SMALL(IF(ISNUMBER(MATCH(bhpc_data[sex],$EC$11,0)),MATCH(ROW(bhpc_data[sku]),ROW(bhpc_data[sku])),""),ROWS($A$15:A184)+$B$3)),INDEX(bhpc_data[description],SMALL(IF(ISNUMBER(MATCH(bhpc_data[sex],$EC$11,0)*MATCH(bhpc_data[size1],$EC$13,0)),MATCH(ROW(bhpc_data[sku]),ROW(bhpc_data[sku])),""),ROWS($A$15:A184)+$B$3)))),IF($EC$11="",IF($EC$13="",INDEX(bhpc_data[description],SMALL(IF(ISNUMBER(MATCH(bhpc_data[category],$EC$9,0)),MATCH(ROW(bhpc_data[sku]),ROW(bhpc_data[sku])),""),ROWS($A$15:A184)+$B$3)),INDEX(bhpc_data[description],SMALL(IF(ISNUMBER(MATCH(bhpc_data[category],$EC$9,0)*MATCH(bhpc_data[size1],$EC$13,0)),MATCH(ROW(bhpc_data[sku]),ROW(bhpc_data[sku])),""),ROWS($A$15:A184)+$B$3))),IF($EC$13="",INDEX(bhpc_data[description],SMALL(IF(ISNUMBER(MATCH(bhpc_data[category],$EC$9,0)*MATCH(bhpc_data[sex],$EC$11,0)),MATCH(ROW(bhpc_data[sku]),ROW(bhpc_data[sku])),""),ROWS($A$15:A184)+$B$3)),INDEX(bhpc_data[description],SMALL(IF(ISNUMBER(MATCH(bhpc_data[category],$EC$9,0)*MATCH(bhpc_data[sex],$EC$11,0)*MATCH(bhpc_data[size1],$EC$13,0)),MATCH(ROW(bhpc_data[sku]),ROW(bhpc_data[sku])),""),ROWS($A$15:A184)+$B$3))))),"")</f>
        <v/>
      </c>
      <c r="EG179" s="263" t="str">
        <f>IFERROR(IF(warehouse[[#This Row],[SKU]]="","",INDEX(inventory[ESISTENZA],MATCH(warehouse[[#This Row],[SKU]],inventory[ARTICOLO],0))),"")</f>
        <v/>
      </c>
      <c r="EH179" s="328"/>
      <c r="EI179" s="328"/>
      <c r="EJ179" s="263"/>
      <c r="EK179" s="113"/>
    </row>
    <row r="180" spans="63:141" x14ac:dyDescent="0.35">
      <c r="BK180" s="450"/>
      <c r="BL180" s="451"/>
      <c r="BM180" s="452"/>
      <c r="BN180" s="451"/>
      <c r="BO180" s="452"/>
      <c r="EE180" s="202" t="str" cm="1">
        <f t="array" ref="EE180">IFERROR(IF($EC$9="",IF($EC$11="",IF($EC$13="",INDEX(bhpc_data[sku],SMALL(MATCH(ROW(bhpc_data[sku]),ROW(bhpc_data[sku])),ROWS($A$15:A185)+$B$3)),INDEX(bhpc_data[sku],SMALL(IF(ISNUMBER(MATCH(bhpc_data[size1],$EC$13,0)),MATCH(ROW(bhpc_data[sku]),ROW(bhpc_data[sku])),""),ROWS($A$15:A185)+$B$3))),IF($EC$13="",INDEX(bhpc_data[sku],SMALL(IF(ISNUMBER(MATCH(bhpc_data[sex],$EC$11,0)),MATCH(ROW(bhpc_data[sku]),ROW(bhpc_data[sku])),""),ROWS($A$15:A185)+$B$3)),INDEX(bhpc_data[sku],SMALL(IF(ISNUMBER(MATCH(bhpc_data[sex],$EC$11,0)*MATCH(bhpc_data[size1],$EC$13,0)),MATCH(ROW(bhpc_data[sku]),ROW(bhpc_data[sku])),""),ROWS($A$15:A185)+$B$3)))),IF($EC$11="",IF($EC$13="",INDEX(bhpc_data[sku],SMALL(IF(ISNUMBER(MATCH(bhpc_data[category],$EC$9,0)),MATCH(ROW(bhpc_data[sku]),ROW(bhpc_data[sku])),""),ROWS($A$15:A185)+$B$3)),INDEX(bhpc_data[sku],SMALL(IF(ISNUMBER(MATCH(bhpc_data[category],$EC$9,0)*MATCH(bhpc_data[size1],$EC$13,0)),MATCH(ROW(bhpc_data[sku]),ROW(bhpc_data[sku])),""),ROWS($A$15:A185)+$B$3))),IF($EC$13="",INDEX(bhpc_data[sku],SMALL(IF(ISNUMBER(MATCH(bhpc_data[category],$EC$9,0)*MATCH(bhpc_data[sex],$EC$11,0)),MATCH(ROW(bhpc_data[sku]),ROW(bhpc_data[sku])),""),ROWS($A$15:A185)+$B$3)),INDEX(bhpc_data[sku],SMALL(IF(ISNUMBER(MATCH(bhpc_data[category],$EC$9,0)*MATCH(bhpc_data[sex],$EC$11,0)*MATCH(bhpc_data[size1],$EC$13,0)),MATCH(ROW(bhpc_data[sku]),ROW(bhpc_data[sku])),""),ROWS($A$15:A185)+$B$3))))),"")</f>
        <v/>
      </c>
      <c r="EF180" s="198" t="str" cm="1">
        <f t="array" ref="EF180">IFERROR(IF($EC$9="",IF($EC$11="",IF($EC$13="",INDEX(bhpc_data[description],SMALL(MATCH(ROW(bhpc_data[sku]),ROW(bhpc_data[sku])),ROWS($A$15:A185)+$B$3)),INDEX(bhpc_data[description],SMALL(IF(ISNUMBER(MATCH(bhpc_data[size1],$EC$13,0)),MATCH(ROW(bhpc_data[sku]),ROW(bhpc_data[sku])),""),ROWS($A$15:A185)+$B$3))),IF($EC$13="",INDEX(bhpc_data[description],SMALL(IF(ISNUMBER(MATCH(bhpc_data[sex],$EC$11,0)),MATCH(ROW(bhpc_data[sku]),ROW(bhpc_data[sku])),""),ROWS($A$15:A185)+$B$3)),INDEX(bhpc_data[description],SMALL(IF(ISNUMBER(MATCH(bhpc_data[sex],$EC$11,0)*MATCH(bhpc_data[size1],$EC$13,0)),MATCH(ROW(bhpc_data[sku]),ROW(bhpc_data[sku])),""),ROWS($A$15:A185)+$B$3)))),IF($EC$11="",IF($EC$13="",INDEX(bhpc_data[description],SMALL(IF(ISNUMBER(MATCH(bhpc_data[category],$EC$9,0)),MATCH(ROW(bhpc_data[sku]),ROW(bhpc_data[sku])),""),ROWS($A$15:A185)+$B$3)),INDEX(bhpc_data[description],SMALL(IF(ISNUMBER(MATCH(bhpc_data[category],$EC$9,0)*MATCH(bhpc_data[size1],$EC$13,0)),MATCH(ROW(bhpc_data[sku]),ROW(bhpc_data[sku])),""),ROWS($A$15:A185)+$B$3))),IF($EC$13="",INDEX(bhpc_data[description],SMALL(IF(ISNUMBER(MATCH(bhpc_data[category],$EC$9,0)*MATCH(bhpc_data[sex],$EC$11,0)),MATCH(ROW(bhpc_data[sku]),ROW(bhpc_data[sku])),""),ROWS($A$15:A185)+$B$3)),INDEX(bhpc_data[description],SMALL(IF(ISNUMBER(MATCH(bhpc_data[category],$EC$9,0)*MATCH(bhpc_data[sex],$EC$11,0)*MATCH(bhpc_data[size1],$EC$13,0)),MATCH(ROW(bhpc_data[sku]),ROW(bhpc_data[sku])),""),ROWS($A$15:A185)+$B$3))))),"")</f>
        <v/>
      </c>
      <c r="EG180" s="263" t="str">
        <f>IFERROR(IF(warehouse[[#This Row],[SKU]]="","",INDEX(inventory[ESISTENZA],MATCH(warehouse[[#This Row],[SKU]],inventory[ARTICOLO],0))),"")</f>
        <v/>
      </c>
      <c r="EH180" s="328"/>
      <c r="EI180" s="328"/>
      <c r="EJ180" s="263"/>
      <c r="EK180" s="113"/>
    </row>
    <row r="181" spans="63:141" x14ac:dyDescent="0.35">
      <c r="BK181" s="450"/>
      <c r="BL181" s="451"/>
      <c r="BM181" s="452"/>
      <c r="BN181" s="451"/>
      <c r="BO181" s="452"/>
      <c r="EE181" s="202" t="str" cm="1">
        <f t="array" ref="EE181">IFERROR(IF($EC$9="",IF($EC$11="",IF($EC$13="",INDEX(bhpc_data[sku],SMALL(MATCH(ROW(bhpc_data[sku]),ROW(bhpc_data[sku])),ROWS($A$15:A186)+$B$3)),INDEX(bhpc_data[sku],SMALL(IF(ISNUMBER(MATCH(bhpc_data[size1],$EC$13,0)),MATCH(ROW(bhpc_data[sku]),ROW(bhpc_data[sku])),""),ROWS($A$15:A186)+$B$3))),IF($EC$13="",INDEX(bhpc_data[sku],SMALL(IF(ISNUMBER(MATCH(bhpc_data[sex],$EC$11,0)),MATCH(ROW(bhpc_data[sku]),ROW(bhpc_data[sku])),""),ROWS($A$15:A186)+$B$3)),INDEX(bhpc_data[sku],SMALL(IF(ISNUMBER(MATCH(bhpc_data[sex],$EC$11,0)*MATCH(bhpc_data[size1],$EC$13,0)),MATCH(ROW(bhpc_data[sku]),ROW(bhpc_data[sku])),""),ROWS($A$15:A186)+$B$3)))),IF($EC$11="",IF($EC$13="",INDEX(bhpc_data[sku],SMALL(IF(ISNUMBER(MATCH(bhpc_data[category],$EC$9,0)),MATCH(ROW(bhpc_data[sku]),ROW(bhpc_data[sku])),""),ROWS($A$15:A186)+$B$3)),INDEX(bhpc_data[sku],SMALL(IF(ISNUMBER(MATCH(bhpc_data[category],$EC$9,0)*MATCH(bhpc_data[size1],$EC$13,0)),MATCH(ROW(bhpc_data[sku]),ROW(bhpc_data[sku])),""),ROWS($A$15:A186)+$B$3))),IF($EC$13="",INDEX(bhpc_data[sku],SMALL(IF(ISNUMBER(MATCH(bhpc_data[category],$EC$9,0)*MATCH(bhpc_data[sex],$EC$11,0)),MATCH(ROW(bhpc_data[sku]),ROW(bhpc_data[sku])),""),ROWS($A$15:A186)+$B$3)),INDEX(bhpc_data[sku],SMALL(IF(ISNUMBER(MATCH(bhpc_data[category],$EC$9,0)*MATCH(bhpc_data[sex],$EC$11,0)*MATCH(bhpc_data[size1],$EC$13,0)),MATCH(ROW(bhpc_data[sku]),ROW(bhpc_data[sku])),""),ROWS($A$15:A186)+$B$3))))),"")</f>
        <v/>
      </c>
      <c r="EF181" s="198" t="str" cm="1">
        <f t="array" ref="EF181">IFERROR(IF($EC$9="",IF($EC$11="",IF($EC$13="",INDEX(bhpc_data[description],SMALL(MATCH(ROW(bhpc_data[sku]),ROW(bhpc_data[sku])),ROWS($A$15:A186)+$B$3)),INDEX(bhpc_data[description],SMALL(IF(ISNUMBER(MATCH(bhpc_data[size1],$EC$13,0)),MATCH(ROW(bhpc_data[sku]),ROW(bhpc_data[sku])),""),ROWS($A$15:A186)+$B$3))),IF($EC$13="",INDEX(bhpc_data[description],SMALL(IF(ISNUMBER(MATCH(bhpc_data[sex],$EC$11,0)),MATCH(ROW(bhpc_data[sku]),ROW(bhpc_data[sku])),""),ROWS($A$15:A186)+$B$3)),INDEX(bhpc_data[description],SMALL(IF(ISNUMBER(MATCH(bhpc_data[sex],$EC$11,0)*MATCH(bhpc_data[size1],$EC$13,0)),MATCH(ROW(bhpc_data[sku]),ROW(bhpc_data[sku])),""),ROWS($A$15:A186)+$B$3)))),IF($EC$11="",IF($EC$13="",INDEX(bhpc_data[description],SMALL(IF(ISNUMBER(MATCH(bhpc_data[category],$EC$9,0)),MATCH(ROW(bhpc_data[sku]),ROW(bhpc_data[sku])),""),ROWS($A$15:A186)+$B$3)),INDEX(bhpc_data[description],SMALL(IF(ISNUMBER(MATCH(bhpc_data[category],$EC$9,0)*MATCH(bhpc_data[size1],$EC$13,0)),MATCH(ROW(bhpc_data[sku]),ROW(bhpc_data[sku])),""),ROWS($A$15:A186)+$B$3))),IF($EC$13="",INDEX(bhpc_data[description],SMALL(IF(ISNUMBER(MATCH(bhpc_data[category],$EC$9,0)*MATCH(bhpc_data[sex],$EC$11,0)),MATCH(ROW(bhpc_data[sku]),ROW(bhpc_data[sku])),""),ROWS($A$15:A186)+$B$3)),INDEX(bhpc_data[description],SMALL(IF(ISNUMBER(MATCH(bhpc_data[category],$EC$9,0)*MATCH(bhpc_data[sex],$EC$11,0)*MATCH(bhpc_data[size1],$EC$13,0)),MATCH(ROW(bhpc_data[sku]),ROW(bhpc_data[sku])),""),ROWS($A$15:A186)+$B$3))))),"")</f>
        <v/>
      </c>
      <c r="EG181" s="263" t="str">
        <f>IFERROR(IF(warehouse[[#This Row],[SKU]]="","",INDEX(inventory[ESISTENZA],MATCH(warehouse[[#This Row],[SKU]],inventory[ARTICOLO],0))),"")</f>
        <v/>
      </c>
      <c r="EH181" s="328"/>
      <c r="EI181" s="328"/>
      <c r="EJ181" s="263"/>
      <c r="EK181" s="113"/>
    </row>
    <row r="182" spans="63:141" x14ac:dyDescent="0.35">
      <c r="BK182" s="450"/>
      <c r="BL182" s="451"/>
      <c r="BM182" s="452"/>
      <c r="BN182" s="451"/>
      <c r="BO182" s="452"/>
      <c r="EE182" s="202" t="str" cm="1">
        <f t="array" ref="EE182">IFERROR(IF($EC$9="",IF($EC$11="",IF($EC$13="",INDEX(bhpc_data[sku],SMALL(MATCH(ROW(bhpc_data[sku]),ROW(bhpc_data[sku])),ROWS($A$15:A187)+$B$3)),INDEX(bhpc_data[sku],SMALL(IF(ISNUMBER(MATCH(bhpc_data[size1],$EC$13,0)),MATCH(ROW(bhpc_data[sku]),ROW(bhpc_data[sku])),""),ROWS($A$15:A187)+$B$3))),IF($EC$13="",INDEX(bhpc_data[sku],SMALL(IF(ISNUMBER(MATCH(bhpc_data[sex],$EC$11,0)),MATCH(ROW(bhpc_data[sku]),ROW(bhpc_data[sku])),""),ROWS($A$15:A187)+$B$3)),INDEX(bhpc_data[sku],SMALL(IF(ISNUMBER(MATCH(bhpc_data[sex],$EC$11,0)*MATCH(bhpc_data[size1],$EC$13,0)),MATCH(ROW(bhpc_data[sku]),ROW(bhpc_data[sku])),""),ROWS($A$15:A187)+$B$3)))),IF($EC$11="",IF($EC$13="",INDEX(bhpc_data[sku],SMALL(IF(ISNUMBER(MATCH(bhpc_data[category],$EC$9,0)),MATCH(ROW(bhpc_data[sku]),ROW(bhpc_data[sku])),""),ROWS($A$15:A187)+$B$3)),INDEX(bhpc_data[sku],SMALL(IF(ISNUMBER(MATCH(bhpc_data[category],$EC$9,0)*MATCH(bhpc_data[size1],$EC$13,0)),MATCH(ROW(bhpc_data[sku]),ROW(bhpc_data[sku])),""),ROWS($A$15:A187)+$B$3))),IF($EC$13="",INDEX(bhpc_data[sku],SMALL(IF(ISNUMBER(MATCH(bhpc_data[category],$EC$9,0)*MATCH(bhpc_data[sex],$EC$11,0)),MATCH(ROW(bhpc_data[sku]),ROW(bhpc_data[sku])),""),ROWS($A$15:A187)+$B$3)),INDEX(bhpc_data[sku],SMALL(IF(ISNUMBER(MATCH(bhpc_data[category],$EC$9,0)*MATCH(bhpc_data[sex],$EC$11,0)*MATCH(bhpc_data[size1],$EC$13,0)),MATCH(ROW(bhpc_data[sku]),ROW(bhpc_data[sku])),""),ROWS($A$15:A187)+$B$3))))),"")</f>
        <v/>
      </c>
      <c r="EF182" s="198" t="str" cm="1">
        <f t="array" ref="EF182">IFERROR(IF($EC$9="",IF($EC$11="",IF($EC$13="",INDEX(bhpc_data[description],SMALL(MATCH(ROW(bhpc_data[sku]),ROW(bhpc_data[sku])),ROWS($A$15:A187)+$B$3)),INDEX(bhpc_data[description],SMALL(IF(ISNUMBER(MATCH(bhpc_data[size1],$EC$13,0)),MATCH(ROW(bhpc_data[sku]),ROW(bhpc_data[sku])),""),ROWS($A$15:A187)+$B$3))),IF($EC$13="",INDEX(bhpc_data[description],SMALL(IF(ISNUMBER(MATCH(bhpc_data[sex],$EC$11,0)),MATCH(ROW(bhpc_data[sku]),ROW(bhpc_data[sku])),""),ROWS($A$15:A187)+$B$3)),INDEX(bhpc_data[description],SMALL(IF(ISNUMBER(MATCH(bhpc_data[sex],$EC$11,0)*MATCH(bhpc_data[size1],$EC$13,0)),MATCH(ROW(bhpc_data[sku]),ROW(bhpc_data[sku])),""),ROWS($A$15:A187)+$B$3)))),IF($EC$11="",IF($EC$13="",INDEX(bhpc_data[description],SMALL(IF(ISNUMBER(MATCH(bhpc_data[category],$EC$9,0)),MATCH(ROW(bhpc_data[sku]),ROW(bhpc_data[sku])),""),ROWS($A$15:A187)+$B$3)),INDEX(bhpc_data[description],SMALL(IF(ISNUMBER(MATCH(bhpc_data[category],$EC$9,0)*MATCH(bhpc_data[size1],$EC$13,0)),MATCH(ROW(bhpc_data[sku]),ROW(bhpc_data[sku])),""),ROWS($A$15:A187)+$B$3))),IF($EC$13="",INDEX(bhpc_data[description],SMALL(IF(ISNUMBER(MATCH(bhpc_data[category],$EC$9,0)*MATCH(bhpc_data[sex],$EC$11,0)),MATCH(ROW(bhpc_data[sku]),ROW(bhpc_data[sku])),""),ROWS($A$15:A187)+$B$3)),INDEX(bhpc_data[description],SMALL(IF(ISNUMBER(MATCH(bhpc_data[category],$EC$9,0)*MATCH(bhpc_data[sex],$EC$11,0)*MATCH(bhpc_data[size1],$EC$13,0)),MATCH(ROW(bhpc_data[sku]),ROW(bhpc_data[sku])),""),ROWS($A$15:A187)+$B$3))))),"")</f>
        <v/>
      </c>
      <c r="EG182" s="263" t="str">
        <f>IFERROR(IF(warehouse[[#This Row],[SKU]]="","",INDEX(inventory[ESISTENZA],MATCH(warehouse[[#This Row],[SKU]],inventory[ARTICOLO],0))),"")</f>
        <v/>
      </c>
      <c r="EH182" s="328"/>
      <c r="EI182" s="328"/>
      <c r="EJ182" s="263"/>
      <c r="EK182" s="113"/>
    </row>
    <row r="183" spans="63:141" x14ac:dyDescent="0.35">
      <c r="BK183" s="450"/>
      <c r="BL183" s="451"/>
      <c r="BM183" s="452"/>
      <c r="BN183" s="451"/>
      <c r="BO183" s="452"/>
      <c r="EE183" s="202" t="str" cm="1">
        <f t="array" ref="EE183">IFERROR(IF($EC$9="",IF($EC$11="",IF($EC$13="",INDEX(bhpc_data[sku],SMALL(MATCH(ROW(bhpc_data[sku]),ROW(bhpc_data[sku])),ROWS($A$15:A188)+$B$3)),INDEX(bhpc_data[sku],SMALL(IF(ISNUMBER(MATCH(bhpc_data[size1],$EC$13,0)),MATCH(ROW(bhpc_data[sku]),ROW(bhpc_data[sku])),""),ROWS($A$15:A188)+$B$3))),IF($EC$13="",INDEX(bhpc_data[sku],SMALL(IF(ISNUMBER(MATCH(bhpc_data[sex],$EC$11,0)),MATCH(ROW(bhpc_data[sku]),ROW(bhpc_data[sku])),""),ROWS($A$15:A188)+$B$3)),INDEX(bhpc_data[sku],SMALL(IF(ISNUMBER(MATCH(bhpc_data[sex],$EC$11,0)*MATCH(bhpc_data[size1],$EC$13,0)),MATCH(ROW(bhpc_data[sku]),ROW(bhpc_data[sku])),""),ROWS($A$15:A188)+$B$3)))),IF($EC$11="",IF($EC$13="",INDEX(bhpc_data[sku],SMALL(IF(ISNUMBER(MATCH(bhpc_data[category],$EC$9,0)),MATCH(ROW(bhpc_data[sku]),ROW(bhpc_data[sku])),""),ROWS($A$15:A188)+$B$3)),INDEX(bhpc_data[sku],SMALL(IF(ISNUMBER(MATCH(bhpc_data[category],$EC$9,0)*MATCH(bhpc_data[size1],$EC$13,0)),MATCH(ROW(bhpc_data[sku]),ROW(bhpc_data[sku])),""),ROWS($A$15:A188)+$B$3))),IF($EC$13="",INDEX(bhpc_data[sku],SMALL(IF(ISNUMBER(MATCH(bhpc_data[category],$EC$9,0)*MATCH(bhpc_data[sex],$EC$11,0)),MATCH(ROW(bhpc_data[sku]),ROW(bhpc_data[sku])),""),ROWS($A$15:A188)+$B$3)),INDEX(bhpc_data[sku],SMALL(IF(ISNUMBER(MATCH(bhpc_data[category],$EC$9,0)*MATCH(bhpc_data[sex],$EC$11,0)*MATCH(bhpc_data[size1],$EC$13,0)),MATCH(ROW(bhpc_data[sku]),ROW(bhpc_data[sku])),""),ROWS($A$15:A188)+$B$3))))),"")</f>
        <v/>
      </c>
      <c r="EF183" s="198" t="str" cm="1">
        <f t="array" ref="EF183">IFERROR(IF($EC$9="",IF($EC$11="",IF($EC$13="",INDEX(bhpc_data[description],SMALL(MATCH(ROW(bhpc_data[sku]),ROW(bhpc_data[sku])),ROWS($A$15:A188)+$B$3)),INDEX(bhpc_data[description],SMALL(IF(ISNUMBER(MATCH(bhpc_data[size1],$EC$13,0)),MATCH(ROW(bhpc_data[sku]),ROW(bhpc_data[sku])),""),ROWS($A$15:A188)+$B$3))),IF($EC$13="",INDEX(bhpc_data[description],SMALL(IF(ISNUMBER(MATCH(bhpc_data[sex],$EC$11,0)),MATCH(ROW(bhpc_data[sku]),ROW(bhpc_data[sku])),""),ROWS($A$15:A188)+$B$3)),INDEX(bhpc_data[description],SMALL(IF(ISNUMBER(MATCH(bhpc_data[sex],$EC$11,0)*MATCH(bhpc_data[size1],$EC$13,0)),MATCH(ROW(bhpc_data[sku]),ROW(bhpc_data[sku])),""),ROWS($A$15:A188)+$B$3)))),IF($EC$11="",IF($EC$13="",INDEX(bhpc_data[description],SMALL(IF(ISNUMBER(MATCH(bhpc_data[category],$EC$9,0)),MATCH(ROW(bhpc_data[sku]),ROW(bhpc_data[sku])),""),ROWS($A$15:A188)+$B$3)),INDEX(bhpc_data[description],SMALL(IF(ISNUMBER(MATCH(bhpc_data[category],$EC$9,0)*MATCH(bhpc_data[size1],$EC$13,0)),MATCH(ROW(bhpc_data[sku]),ROW(bhpc_data[sku])),""),ROWS($A$15:A188)+$B$3))),IF($EC$13="",INDEX(bhpc_data[description],SMALL(IF(ISNUMBER(MATCH(bhpc_data[category],$EC$9,0)*MATCH(bhpc_data[sex],$EC$11,0)),MATCH(ROW(bhpc_data[sku]),ROW(bhpc_data[sku])),""),ROWS($A$15:A188)+$B$3)),INDEX(bhpc_data[description],SMALL(IF(ISNUMBER(MATCH(bhpc_data[category],$EC$9,0)*MATCH(bhpc_data[sex],$EC$11,0)*MATCH(bhpc_data[size1],$EC$13,0)),MATCH(ROW(bhpc_data[sku]),ROW(bhpc_data[sku])),""),ROWS($A$15:A188)+$B$3))))),"")</f>
        <v/>
      </c>
      <c r="EG183" s="263" t="str">
        <f>IFERROR(IF(warehouse[[#This Row],[SKU]]="","",INDEX(inventory[ESISTENZA],MATCH(warehouse[[#This Row],[SKU]],inventory[ARTICOLO],0))),"")</f>
        <v/>
      </c>
      <c r="EH183" s="328"/>
      <c r="EI183" s="328"/>
      <c r="EJ183" s="263"/>
      <c r="EK183" s="113"/>
    </row>
    <row r="184" spans="63:141" x14ac:dyDescent="0.35">
      <c r="BK184" s="450"/>
      <c r="BL184" s="451"/>
      <c r="BM184" s="452"/>
      <c r="BN184" s="451"/>
      <c r="BO184" s="452"/>
      <c r="EE184" s="202" t="str" cm="1">
        <f t="array" ref="EE184">IFERROR(IF($EC$9="",IF($EC$11="",IF($EC$13="",INDEX(bhpc_data[sku],SMALL(MATCH(ROW(bhpc_data[sku]),ROW(bhpc_data[sku])),ROWS($A$15:A189)+$B$3)),INDEX(bhpc_data[sku],SMALL(IF(ISNUMBER(MATCH(bhpc_data[size1],$EC$13,0)),MATCH(ROW(bhpc_data[sku]),ROW(bhpc_data[sku])),""),ROWS($A$15:A189)+$B$3))),IF($EC$13="",INDEX(bhpc_data[sku],SMALL(IF(ISNUMBER(MATCH(bhpc_data[sex],$EC$11,0)),MATCH(ROW(bhpc_data[sku]),ROW(bhpc_data[sku])),""),ROWS($A$15:A189)+$B$3)),INDEX(bhpc_data[sku],SMALL(IF(ISNUMBER(MATCH(bhpc_data[sex],$EC$11,0)*MATCH(bhpc_data[size1],$EC$13,0)),MATCH(ROW(bhpc_data[sku]),ROW(bhpc_data[sku])),""),ROWS($A$15:A189)+$B$3)))),IF($EC$11="",IF($EC$13="",INDEX(bhpc_data[sku],SMALL(IF(ISNUMBER(MATCH(bhpc_data[category],$EC$9,0)),MATCH(ROW(bhpc_data[sku]),ROW(bhpc_data[sku])),""),ROWS($A$15:A189)+$B$3)),INDEX(bhpc_data[sku],SMALL(IF(ISNUMBER(MATCH(bhpc_data[category],$EC$9,0)*MATCH(bhpc_data[size1],$EC$13,0)),MATCH(ROW(bhpc_data[sku]),ROW(bhpc_data[sku])),""),ROWS($A$15:A189)+$B$3))),IF($EC$13="",INDEX(bhpc_data[sku],SMALL(IF(ISNUMBER(MATCH(bhpc_data[category],$EC$9,0)*MATCH(bhpc_data[sex],$EC$11,0)),MATCH(ROW(bhpc_data[sku]),ROW(bhpc_data[sku])),""),ROWS($A$15:A189)+$B$3)),INDEX(bhpc_data[sku],SMALL(IF(ISNUMBER(MATCH(bhpc_data[category],$EC$9,0)*MATCH(bhpc_data[sex],$EC$11,0)*MATCH(bhpc_data[size1],$EC$13,0)),MATCH(ROW(bhpc_data[sku]),ROW(bhpc_data[sku])),""),ROWS($A$15:A189)+$B$3))))),"")</f>
        <v/>
      </c>
      <c r="EF184" s="198" t="str" cm="1">
        <f t="array" ref="EF184">IFERROR(IF($EC$9="",IF($EC$11="",IF($EC$13="",INDEX(bhpc_data[description],SMALL(MATCH(ROW(bhpc_data[sku]),ROW(bhpc_data[sku])),ROWS($A$15:A189)+$B$3)),INDEX(bhpc_data[description],SMALL(IF(ISNUMBER(MATCH(bhpc_data[size1],$EC$13,0)),MATCH(ROW(bhpc_data[sku]),ROW(bhpc_data[sku])),""),ROWS($A$15:A189)+$B$3))),IF($EC$13="",INDEX(bhpc_data[description],SMALL(IF(ISNUMBER(MATCH(bhpc_data[sex],$EC$11,0)),MATCH(ROW(bhpc_data[sku]),ROW(bhpc_data[sku])),""),ROWS($A$15:A189)+$B$3)),INDEX(bhpc_data[description],SMALL(IF(ISNUMBER(MATCH(bhpc_data[sex],$EC$11,0)*MATCH(bhpc_data[size1],$EC$13,0)),MATCH(ROW(bhpc_data[sku]),ROW(bhpc_data[sku])),""),ROWS($A$15:A189)+$B$3)))),IF($EC$11="",IF($EC$13="",INDEX(bhpc_data[description],SMALL(IF(ISNUMBER(MATCH(bhpc_data[category],$EC$9,0)),MATCH(ROW(bhpc_data[sku]),ROW(bhpc_data[sku])),""),ROWS($A$15:A189)+$B$3)),INDEX(bhpc_data[description],SMALL(IF(ISNUMBER(MATCH(bhpc_data[category],$EC$9,0)*MATCH(bhpc_data[size1],$EC$13,0)),MATCH(ROW(bhpc_data[sku]),ROW(bhpc_data[sku])),""),ROWS($A$15:A189)+$B$3))),IF($EC$13="",INDEX(bhpc_data[description],SMALL(IF(ISNUMBER(MATCH(bhpc_data[category],$EC$9,0)*MATCH(bhpc_data[sex],$EC$11,0)),MATCH(ROW(bhpc_data[sku]),ROW(bhpc_data[sku])),""),ROWS($A$15:A189)+$B$3)),INDEX(bhpc_data[description],SMALL(IF(ISNUMBER(MATCH(bhpc_data[category],$EC$9,0)*MATCH(bhpc_data[sex],$EC$11,0)*MATCH(bhpc_data[size1],$EC$13,0)),MATCH(ROW(bhpc_data[sku]),ROW(bhpc_data[sku])),""),ROWS($A$15:A189)+$B$3))))),"")</f>
        <v/>
      </c>
      <c r="EG184" s="263" t="str">
        <f>IFERROR(IF(warehouse[[#This Row],[SKU]]="","",INDEX(inventory[ESISTENZA],MATCH(warehouse[[#This Row],[SKU]],inventory[ARTICOLO],0))),"")</f>
        <v/>
      </c>
      <c r="EH184" s="328"/>
      <c r="EI184" s="328"/>
      <c r="EJ184" s="263"/>
      <c r="EK184" s="113"/>
    </row>
    <row r="185" spans="63:141" x14ac:dyDescent="0.35">
      <c r="BK185" s="450"/>
      <c r="BL185" s="451"/>
      <c r="BM185" s="452"/>
      <c r="BN185" s="451"/>
      <c r="BO185" s="452"/>
      <c r="EE185" s="202" t="str" cm="1">
        <f t="array" ref="EE185">IFERROR(IF($EC$9="",IF($EC$11="",IF($EC$13="",INDEX(bhpc_data[sku],SMALL(MATCH(ROW(bhpc_data[sku]),ROW(bhpc_data[sku])),ROWS($A$15:A190)+$B$3)),INDEX(bhpc_data[sku],SMALL(IF(ISNUMBER(MATCH(bhpc_data[size1],$EC$13,0)),MATCH(ROW(bhpc_data[sku]),ROW(bhpc_data[sku])),""),ROWS($A$15:A190)+$B$3))),IF($EC$13="",INDEX(bhpc_data[sku],SMALL(IF(ISNUMBER(MATCH(bhpc_data[sex],$EC$11,0)),MATCH(ROW(bhpc_data[sku]),ROW(bhpc_data[sku])),""),ROWS($A$15:A190)+$B$3)),INDEX(bhpc_data[sku],SMALL(IF(ISNUMBER(MATCH(bhpc_data[sex],$EC$11,0)*MATCH(bhpc_data[size1],$EC$13,0)),MATCH(ROW(bhpc_data[sku]),ROW(bhpc_data[sku])),""),ROWS($A$15:A190)+$B$3)))),IF($EC$11="",IF($EC$13="",INDEX(bhpc_data[sku],SMALL(IF(ISNUMBER(MATCH(bhpc_data[category],$EC$9,0)),MATCH(ROW(bhpc_data[sku]),ROW(bhpc_data[sku])),""),ROWS($A$15:A190)+$B$3)),INDEX(bhpc_data[sku],SMALL(IF(ISNUMBER(MATCH(bhpc_data[category],$EC$9,0)*MATCH(bhpc_data[size1],$EC$13,0)),MATCH(ROW(bhpc_data[sku]),ROW(bhpc_data[sku])),""),ROWS($A$15:A190)+$B$3))),IF($EC$13="",INDEX(bhpc_data[sku],SMALL(IF(ISNUMBER(MATCH(bhpc_data[category],$EC$9,0)*MATCH(bhpc_data[sex],$EC$11,0)),MATCH(ROW(bhpc_data[sku]),ROW(bhpc_data[sku])),""),ROWS($A$15:A190)+$B$3)),INDEX(bhpc_data[sku],SMALL(IF(ISNUMBER(MATCH(bhpc_data[category],$EC$9,0)*MATCH(bhpc_data[sex],$EC$11,0)*MATCH(bhpc_data[size1],$EC$13,0)),MATCH(ROW(bhpc_data[sku]),ROW(bhpc_data[sku])),""),ROWS($A$15:A190)+$B$3))))),"")</f>
        <v/>
      </c>
      <c r="EF185" s="198" t="str" cm="1">
        <f t="array" ref="EF185">IFERROR(IF($EC$9="",IF($EC$11="",IF($EC$13="",INDEX(bhpc_data[description],SMALL(MATCH(ROW(bhpc_data[sku]),ROW(bhpc_data[sku])),ROWS($A$15:A190)+$B$3)),INDEX(bhpc_data[description],SMALL(IF(ISNUMBER(MATCH(bhpc_data[size1],$EC$13,0)),MATCH(ROW(bhpc_data[sku]),ROW(bhpc_data[sku])),""),ROWS($A$15:A190)+$B$3))),IF($EC$13="",INDEX(bhpc_data[description],SMALL(IF(ISNUMBER(MATCH(bhpc_data[sex],$EC$11,0)),MATCH(ROW(bhpc_data[sku]),ROW(bhpc_data[sku])),""),ROWS($A$15:A190)+$B$3)),INDEX(bhpc_data[description],SMALL(IF(ISNUMBER(MATCH(bhpc_data[sex],$EC$11,0)*MATCH(bhpc_data[size1],$EC$13,0)),MATCH(ROW(bhpc_data[sku]),ROW(bhpc_data[sku])),""),ROWS($A$15:A190)+$B$3)))),IF($EC$11="",IF($EC$13="",INDEX(bhpc_data[description],SMALL(IF(ISNUMBER(MATCH(bhpc_data[category],$EC$9,0)),MATCH(ROW(bhpc_data[sku]),ROW(bhpc_data[sku])),""),ROWS($A$15:A190)+$B$3)),INDEX(bhpc_data[description],SMALL(IF(ISNUMBER(MATCH(bhpc_data[category],$EC$9,0)*MATCH(bhpc_data[size1],$EC$13,0)),MATCH(ROW(bhpc_data[sku]),ROW(bhpc_data[sku])),""),ROWS($A$15:A190)+$B$3))),IF($EC$13="",INDEX(bhpc_data[description],SMALL(IF(ISNUMBER(MATCH(bhpc_data[category],$EC$9,0)*MATCH(bhpc_data[sex],$EC$11,0)),MATCH(ROW(bhpc_data[sku]),ROW(bhpc_data[sku])),""),ROWS($A$15:A190)+$B$3)),INDEX(bhpc_data[description],SMALL(IF(ISNUMBER(MATCH(bhpc_data[category],$EC$9,0)*MATCH(bhpc_data[sex],$EC$11,0)*MATCH(bhpc_data[size1],$EC$13,0)),MATCH(ROW(bhpc_data[sku]),ROW(bhpc_data[sku])),""),ROWS($A$15:A190)+$B$3))))),"")</f>
        <v/>
      </c>
      <c r="EG185" s="263" t="str">
        <f>IFERROR(IF(warehouse[[#This Row],[SKU]]="","",INDEX(inventory[ESISTENZA],MATCH(warehouse[[#This Row],[SKU]],inventory[ARTICOLO],0))),"")</f>
        <v/>
      </c>
      <c r="EH185" s="328"/>
      <c r="EI185" s="328"/>
      <c r="EJ185" s="263"/>
      <c r="EK185" s="113"/>
    </row>
    <row r="186" spans="63:141" x14ac:dyDescent="0.35">
      <c r="BK186" s="450"/>
      <c r="BL186" s="451"/>
      <c r="BM186" s="452"/>
      <c r="BN186" s="451"/>
      <c r="BO186" s="452"/>
      <c r="EE186" s="202" t="str" cm="1">
        <f t="array" ref="EE186">IFERROR(IF($EC$9="",IF($EC$11="",IF($EC$13="",INDEX(bhpc_data[sku],SMALL(MATCH(ROW(bhpc_data[sku]),ROW(bhpc_data[sku])),ROWS($A$15:A191)+$B$3)),INDEX(bhpc_data[sku],SMALL(IF(ISNUMBER(MATCH(bhpc_data[size1],$EC$13,0)),MATCH(ROW(bhpc_data[sku]),ROW(bhpc_data[sku])),""),ROWS($A$15:A191)+$B$3))),IF($EC$13="",INDEX(bhpc_data[sku],SMALL(IF(ISNUMBER(MATCH(bhpc_data[sex],$EC$11,0)),MATCH(ROW(bhpc_data[sku]),ROW(bhpc_data[sku])),""),ROWS($A$15:A191)+$B$3)),INDEX(bhpc_data[sku],SMALL(IF(ISNUMBER(MATCH(bhpc_data[sex],$EC$11,0)*MATCH(bhpc_data[size1],$EC$13,0)),MATCH(ROW(bhpc_data[sku]),ROW(bhpc_data[sku])),""),ROWS($A$15:A191)+$B$3)))),IF($EC$11="",IF($EC$13="",INDEX(bhpc_data[sku],SMALL(IF(ISNUMBER(MATCH(bhpc_data[category],$EC$9,0)),MATCH(ROW(bhpc_data[sku]),ROW(bhpc_data[sku])),""),ROWS($A$15:A191)+$B$3)),INDEX(bhpc_data[sku],SMALL(IF(ISNUMBER(MATCH(bhpc_data[category],$EC$9,0)*MATCH(bhpc_data[size1],$EC$13,0)),MATCH(ROW(bhpc_data[sku]),ROW(bhpc_data[sku])),""),ROWS($A$15:A191)+$B$3))),IF($EC$13="",INDEX(bhpc_data[sku],SMALL(IF(ISNUMBER(MATCH(bhpc_data[category],$EC$9,0)*MATCH(bhpc_data[sex],$EC$11,0)),MATCH(ROW(bhpc_data[sku]),ROW(bhpc_data[sku])),""),ROWS($A$15:A191)+$B$3)),INDEX(bhpc_data[sku],SMALL(IF(ISNUMBER(MATCH(bhpc_data[category],$EC$9,0)*MATCH(bhpc_data[sex],$EC$11,0)*MATCH(bhpc_data[size1],$EC$13,0)),MATCH(ROW(bhpc_data[sku]),ROW(bhpc_data[sku])),""),ROWS($A$15:A191)+$B$3))))),"")</f>
        <v/>
      </c>
      <c r="EF186" s="198" t="str" cm="1">
        <f t="array" ref="EF186">IFERROR(IF($EC$9="",IF($EC$11="",IF($EC$13="",INDEX(bhpc_data[description],SMALL(MATCH(ROW(bhpc_data[sku]),ROW(bhpc_data[sku])),ROWS($A$15:A191)+$B$3)),INDEX(bhpc_data[description],SMALL(IF(ISNUMBER(MATCH(bhpc_data[size1],$EC$13,0)),MATCH(ROW(bhpc_data[sku]),ROW(bhpc_data[sku])),""),ROWS($A$15:A191)+$B$3))),IF($EC$13="",INDEX(bhpc_data[description],SMALL(IF(ISNUMBER(MATCH(bhpc_data[sex],$EC$11,0)),MATCH(ROW(bhpc_data[sku]),ROW(bhpc_data[sku])),""),ROWS($A$15:A191)+$B$3)),INDEX(bhpc_data[description],SMALL(IF(ISNUMBER(MATCH(bhpc_data[sex],$EC$11,0)*MATCH(bhpc_data[size1],$EC$13,0)),MATCH(ROW(bhpc_data[sku]),ROW(bhpc_data[sku])),""),ROWS($A$15:A191)+$B$3)))),IF($EC$11="",IF($EC$13="",INDEX(bhpc_data[description],SMALL(IF(ISNUMBER(MATCH(bhpc_data[category],$EC$9,0)),MATCH(ROW(bhpc_data[sku]),ROW(bhpc_data[sku])),""),ROWS($A$15:A191)+$B$3)),INDEX(bhpc_data[description],SMALL(IF(ISNUMBER(MATCH(bhpc_data[category],$EC$9,0)*MATCH(bhpc_data[size1],$EC$13,0)),MATCH(ROW(bhpc_data[sku]),ROW(bhpc_data[sku])),""),ROWS($A$15:A191)+$B$3))),IF($EC$13="",INDEX(bhpc_data[description],SMALL(IF(ISNUMBER(MATCH(bhpc_data[category],$EC$9,0)*MATCH(bhpc_data[sex],$EC$11,0)),MATCH(ROW(bhpc_data[sku]),ROW(bhpc_data[sku])),""),ROWS($A$15:A191)+$B$3)),INDEX(bhpc_data[description],SMALL(IF(ISNUMBER(MATCH(bhpc_data[category],$EC$9,0)*MATCH(bhpc_data[sex],$EC$11,0)*MATCH(bhpc_data[size1],$EC$13,0)),MATCH(ROW(bhpc_data[sku]),ROW(bhpc_data[sku])),""),ROWS($A$15:A191)+$B$3))))),"")</f>
        <v/>
      </c>
      <c r="EG186" s="263" t="str">
        <f>IFERROR(IF(warehouse[[#This Row],[SKU]]="","",INDEX(inventory[ESISTENZA],MATCH(warehouse[[#This Row],[SKU]],inventory[ARTICOLO],0))),"")</f>
        <v/>
      </c>
      <c r="EH186" s="328"/>
      <c r="EI186" s="328"/>
      <c r="EJ186" s="263"/>
      <c r="EK186" s="113"/>
    </row>
    <row r="187" spans="63:141" x14ac:dyDescent="0.35">
      <c r="BK187" s="450"/>
      <c r="BL187" s="451"/>
      <c r="BM187" s="452"/>
      <c r="BN187" s="451"/>
      <c r="BO187" s="452"/>
      <c r="EE187" s="202" t="str" cm="1">
        <f t="array" ref="EE187">IFERROR(IF($EC$9="",IF($EC$11="",IF($EC$13="",INDEX(bhpc_data[sku],SMALL(MATCH(ROW(bhpc_data[sku]),ROW(bhpc_data[sku])),ROWS($A$15:A192)+$B$3)),INDEX(bhpc_data[sku],SMALL(IF(ISNUMBER(MATCH(bhpc_data[size1],$EC$13,0)),MATCH(ROW(bhpc_data[sku]),ROW(bhpc_data[sku])),""),ROWS($A$15:A192)+$B$3))),IF($EC$13="",INDEX(bhpc_data[sku],SMALL(IF(ISNUMBER(MATCH(bhpc_data[sex],$EC$11,0)),MATCH(ROW(bhpc_data[sku]),ROW(bhpc_data[sku])),""),ROWS($A$15:A192)+$B$3)),INDEX(bhpc_data[sku],SMALL(IF(ISNUMBER(MATCH(bhpc_data[sex],$EC$11,0)*MATCH(bhpc_data[size1],$EC$13,0)),MATCH(ROW(bhpc_data[sku]),ROW(bhpc_data[sku])),""),ROWS($A$15:A192)+$B$3)))),IF($EC$11="",IF($EC$13="",INDEX(bhpc_data[sku],SMALL(IF(ISNUMBER(MATCH(bhpc_data[category],$EC$9,0)),MATCH(ROW(bhpc_data[sku]),ROW(bhpc_data[sku])),""),ROWS($A$15:A192)+$B$3)),INDEX(bhpc_data[sku],SMALL(IF(ISNUMBER(MATCH(bhpc_data[category],$EC$9,0)*MATCH(bhpc_data[size1],$EC$13,0)),MATCH(ROW(bhpc_data[sku]),ROW(bhpc_data[sku])),""),ROWS($A$15:A192)+$B$3))),IF($EC$13="",INDEX(bhpc_data[sku],SMALL(IF(ISNUMBER(MATCH(bhpc_data[category],$EC$9,0)*MATCH(bhpc_data[sex],$EC$11,0)),MATCH(ROW(bhpc_data[sku]),ROW(bhpc_data[sku])),""),ROWS($A$15:A192)+$B$3)),INDEX(bhpc_data[sku],SMALL(IF(ISNUMBER(MATCH(bhpc_data[category],$EC$9,0)*MATCH(bhpc_data[sex],$EC$11,0)*MATCH(bhpc_data[size1],$EC$13,0)),MATCH(ROW(bhpc_data[sku]),ROW(bhpc_data[sku])),""),ROWS($A$15:A192)+$B$3))))),"")</f>
        <v/>
      </c>
      <c r="EF187" s="198" t="str" cm="1">
        <f t="array" ref="EF187">IFERROR(IF($EC$9="",IF($EC$11="",IF($EC$13="",INDEX(bhpc_data[description],SMALL(MATCH(ROW(bhpc_data[sku]),ROW(bhpc_data[sku])),ROWS($A$15:A192)+$B$3)),INDEX(bhpc_data[description],SMALL(IF(ISNUMBER(MATCH(bhpc_data[size1],$EC$13,0)),MATCH(ROW(bhpc_data[sku]),ROW(bhpc_data[sku])),""),ROWS($A$15:A192)+$B$3))),IF($EC$13="",INDEX(bhpc_data[description],SMALL(IF(ISNUMBER(MATCH(bhpc_data[sex],$EC$11,0)),MATCH(ROW(bhpc_data[sku]),ROW(bhpc_data[sku])),""),ROWS($A$15:A192)+$B$3)),INDEX(bhpc_data[description],SMALL(IF(ISNUMBER(MATCH(bhpc_data[sex],$EC$11,0)*MATCH(bhpc_data[size1],$EC$13,0)),MATCH(ROW(bhpc_data[sku]),ROW(bhpc_data[sku])),""),ROWS($A$15:A192)+$B$3)))),IF($EC$11="",IF($EC$13="",INDEX(bhpc_data[description],SMALL(IF(ISNUMBER(MATCH(bhpc_data[category],$EC$9,0)),MATCH(ROW(bhpc_data[sku]),ROW(bhpc_data[sku])),""),ROWS($A$15:A192)+$B$3)),INDEX(bhpc_data[description],SMALL(IF(ISNUMBER(MATCH(bhpc_data[category],$EC$9,0)*MATCH(bhpc_data[size1],$EC$13,0)),MATCH(ROW(bhpc_data[sku]),ROW(bhpc_data[sku])),""),ROWS($A$15:A192)+$B$3))),IF($EC$13="",INDEX(bhpc_data[description],SMALL(IF(ISNUMBER(MATCH(bhpc_data[category],$EC$9,0)*MATCH(bhpc_data[sex],$EC$11,0)),MATCH(ROW(bhpc_data[sku]),ROW(bhpc_data[sku])),""),ROWS($A$15:A192)+$B$3)),INDEX(bhpc_data[description],SMALL(IF(ISNUMBER(MATCH(bhpc_data[category],$EC$9,0)*MATCH(bhpc_data[sex],$EC$11,0)*MATCH(bhpc_data[size1],$EC$13,0)),MATCH(ROW(bhpc_data[sku]),ROW(bhpc_data[sku])),""),ROWS($A$15:A192)+$B$3))))),"")</f>
        <v/>
      </c>
      <c r="EG187" s="263" t="str">
        <f>IFERROR(IF(warehouse[[#This Row],[SKU]]="","",INDEX(inventory[ESISTENZA],MATCH(warehouse[[#This Row],[SKU]],inventory[ARTICOLO],0))),"")</f>
        <v/>
      </c>
      <c r="EH187" s="328"/>
      <c r="EI187" s="328"/>
      <c r="EJ187" s="263"/>
      <c r="EK187" s="113"/>
    </row>
    <row r="188" spans="63:141" x14ac:dyDescent="0.35">
      <c r="BK188" s="450"/>
      <c r="BL188" s="451"/>
      <c r="BM188" s="452"/>
      <c r="BN188" s="451"/>
      <c r="BO188" s="452"/>
      <c r="EE188" s="202" t="str" cm="1">
        <f t="array" ref="EE188">IFERROR(IF($EC$9="",IF($EC$11="",IF($EC$13="",INDEX(bhpc_data[sku],SMALL(MATCH(ROW(bhpc_data[sku]),ROW(bhpc_data[sku])),ROWS($A$15:A193)+$B$3)),INDEX(bhpc_data[sku],SMALL(IF(ISNUMBER(MATCH(bhpc_data[size1],$EC$13,0)),MATCH(ROW(bhpc_data[sku]),ROW(bhpc_data[sku])),""),ROWS($A$15:A193)+$B$3))),IF($EC$13="",INDEX(bhpc_data[sku],SMALL(IF(ISNUMBER(MATCH(bhpc_data[sex],$EC$11,0)),MATCH(ROW(bhpc_data[sku]),ROW(bhpc_data[sku])),""),ROWS($A$15:A193)+$B$3)),INDEX(bhpc_data[sku],SMALL(IF(ISNUMBER(MATCH(bhpc_data[sex],$EC$11,0)*MATCH(bhpc_data[size1],$EC$13,0)),MATCH(ROW(bhpc_data[sku]),ROW(bhpc_data[sku])),""),ROWS($A$15:A193)+$B$3)))),IF($EC$11="",IF($EC$13="",INDEX(bhpc_data[sku],SMALL(IF(ISNUMBER(MATCH(bhpc_data[category],$EC$9,0)),MATCH(ROW(bhpc_data[sku]),ROW(bhpc_data[sku])),""),ROWS($A$15:A193)+$B$3)),INDEX(bhpc_data[sku],SMALL(IF(ISNUMBER(MATCH(bhpc_data[category],$EC$9,0)*MATCH(bhpc_data[size1],$EC$13,0)),MATCH(ROW(bhpc_data[sku]),ROW(bhpc_data[sku])),""),ROWS($A$15:A193)+$B$3))),IF($EC$13="",INDEX(bhpc_data[sku],SMALL(IF(ISNUMBER(MATCH(bhpc_data[category],$EC$9,0)*MATCH(bhpc_data[sex],$EC$11,0)),MATCH(ROW(bhpc_data[sku]),ROW(bhpc_data[sku])),""),ROWS($A$15:A193)+$B$3)),INDEX(bhpc_data[sku],SMALL(IF(ISNUMBER(MATCH(bhpc_data[category],$EC$9,0)*MATCH(bhpc_data[sex],$EC$11,0)*MATCH(bhpc_data[size1],$EC$13,0)),MATCH(ROW(bhpc_data[sku]),ROW(bhpc_data[sku])),""),ROWS($A$15:A193)+$B$3))))),"")</f>
        <v/>
      </c>
      <c r="EF188" s="198" t="str" cm="1">
        <f t="array" ref="EF188">IFERROR(IF($EC$9="",IF($EC$11="",IF($EC$13="",INDEX(bhpc_data[description],SMALL(MATCH(ROW(bhpc_data[sku]),ROW(bhpc_data[sku])),ROWS($A$15:A193)+$B$3)),INDEX(bhpc_data[description],SMALL(IF(ISNUMBER(MATCH(bhpc_data[size1],$EC$13,0)),MATCH(ROW(bhpc_data[sku]),ROW(bhpc_data[sku])),""),ROWS($A$15:A193)+$B$3))),IF($EC$13="",INDEX(bhpc_data[description],SMALL(IF(ISNUMBER(MATCH(bhpc_data[sex],$EC$11,0)),MATCH(ROW(bhpc_data[sku]),ROW(bhpc_data[sku])),""),ROWS($A$15:A193)+$B$3)),INDEX(bhpc_data[description],SMALL(IF(ISNUMBER(MATCH(bhpc_data[sex],$EC$11,0)*MATCH(bhpc_data[size1],$EC$13,0)),MATCH(ROW(bhpc_data[sku]),ROW(bhpc_data[sku])),""),ROWS($A$15:A193)+$B$3)))),IF($EC$11="",IF($EC$13="",INDEX(bhpc_data[description],SMALL(IF(ISNUMBER(MATCH(bhpc_data[category],$EC$9,0)),MATCH(ROW(bhpc_data[sku]),ROW(bhpc_data[sku])),""),ROWS($A$15:A193)+$B$3)),INDEX(bhpc_data[description],SMALL(IF(ISNUMBER(MATCH(bhpc_data[category],$EC$9,0)*MATCH(bhpc_data[size1],$EC$13,0)),MATCH(ROW(bhpc_data[sku]),ROW(bhpc_data[sku])),""),ROWS($A$15:A193)+$B$3))),IF($EC$13="",INDEX(bhpc_data[description],SMALL(IF(ISNUMBER(MATCH(bhpc_data[category],$EC$9,0)*MATCH(bhpc_data[sex],$EC$11,0)),MATCH(ROW(bhpc_data[sku]),ROW(bhpc_data[sku])),""),ROWS($A$15:A193)+$B$3)),INDEX(bhpc_data[description],SMALL(IF(ISNUMBER(MATCH(bhpc_data[category],$EC$9,0)*MATCH(bhpc_data[sex],$EC$11,0)*MATCH(bhpc_data[size1],$EC$13,0)),MATCH(ROW(bhpc_data[sku]),ROW(bhpc_data[sku])),""),ROWS($A$15:A193)+$B$3))))),"")</f>
        <v/>
      </c>
      <c r="EG188" s="263" t="str">
        <f>IFERROR(IF(warehouse[[#This Row],[SKU]]="","",INDEX(inventory[ESISTENZA],MATCH(warehouse[[#This Row],[SKU]],inventory[ARTICOLO],0))),"")</f>
        <v/>
      </c>
      <c r="EH188" s="328"/>
      <c r="EI188" s="328"/>
      <c r="EJ188" s="263"/>
      <c r="EK188" s="113"/>
    </row>
    <row r="189" spans="63:141" x14ac:dyDescent="0.35">
      <c r="BK189" s="450"/>
      <c r="BL189" s="451"/>
      <c r="BM189" s="452"/>
      <c r="BN189" s="451"/>
      <c r="BO189" s="452"/>
      <c r="EE189" s="202" t="str" cm="1">
        <f t="array" ref="EE189">IFERROR(IF($EC$9="",IF($EC$11="",IF($EC$13="",INDEX(bhpc_data[sku],SMALL(MATCH(ROW(bhpc_data[sku]),ROW(bhpc_data[sku])),ROWS($A$15:A194)+$B$3)),INDEX(bhpc_data[sku],SMALL(IF(ISNUMBER(MATCH(bhpc_data[size1],$EC$13,0)),MATCH(ROW(bhpc_data[sku]),ROW(bhpc_data[sku])),""),ROWS($A$15:A194)+$B$3))),IF($EC$13="",INDEX(bhpc_data[sku],SMALL(IF(ISNUMBER(MATCH(bhpc_data[sex],$EC$11,0)),MATCH(ROW(bhpc_data[sku]),ROW(bhpc_data[sku])),""),ROWS($A$15:A194)+$B$3)),INDEX(bhpc_data[sku],SMALL(IF(ISNUMBER(MATCH(bhpc_data[sex],$EC$11,0)*MATCH(bhpc_data[size1],$EC$13,0)),MATCH(ROW(bhpc_data[sku]),ROW(bhpc_data[sku])),""),ROWS($A$15:A194)+$B$3)))),IF($EC$11="",IF($EC$13="",INDEX(bhpc_data[sku],SMALL(IF(ISNUMBER(MATCH(bhpc_data[category],$EC$9,0)),MATCH(ROW(bhpc_data[sku]),ROW(bhpc_data[sku])),""),ROWS($A$15:A194)+$B$3)),INDEX(bhpc_data[sku],SMALL(IF(ISNUMBER(MATCH(bhpc_data[category],$EC$9,0)*MATCH(bhpc_data[size1],$EC$13,0)),MATCH(ROW(bhpc_data[sku]),ROW(bhpc_data[sku])),""),ROWS($A$15:A194)+$B$3))),IF($EC$13="",INDEX(bhpc_data[sku],SMALL(IF(ISNUMBER(MATCH(bhpc_data[category],$EC$9,0)*MATCH(bhpc_data[sex],$EC$11,0)),MATCH(ROW(bhpc_data[sku]),ROW(bhpc_data[sku])),""),ROWS($A$15:A194)+$B$3)),INDEX(bhpc_data[sku],SMALL(IF(ISNUMBER(MATCH(bhpc_data[category],$EC$9,0)*MATCH(bhpc_data[sex],$EC$11,0)*MATCH(bhpc_data[size1],$EC$13,0)),MATCH(ROW(bhpc_data[sku]),ROW(bhpc_data[sku])),""),ROWS($A$15:A194)+$B$3))))),"")</f>
        <v/>
      </c>
      <c r="EF189" s="198" t="str" cm="1">
        <f t="array" ref="EF189">IFERROR(IF($EC$9="",IF($EC$11="",IF($EC$13="",INDEX(bhpc_data[description],SMALL(MATCH(ROW(bhpc_data[sku]),ROW(bhpc_data[sku])),ROWS($A$15:A194)+$B$3)),INDEX(bhpc_data[description],SMALL(IF(ISNUMBER(MATCH(bhpc_data[size1],$EC$13,0)),MATCH(ROW(bhpc_data[sku]),ROW(bhpc_data[sku])),""),ROWS($A$15:A194)+$B$3))),IF($EC$13="",INDEX(bhpc_data[description],SMALL(IF(ISNUMBER(MATCH(bhpc_data[sex],$EC$11,0)),MATCH(ROW(bhpc_data[sku]),ROW(bhpc_data[sku])),""),ROWS($A$15:A194)+$B$3)),INDEX(bhpc_data[description],SMALL(IF(ISNUMBER(MATCH(bhpc_data[sex],$EC$11,0)*MATCH(bhpc_data[size1],$EC$13,0)),MATCH(ROW(bhpc_data[sku]),ROW(bhpc_data[sku])),""),ROWS($A$15:A194)+$B$3)))),IF($EC$11="",IF($EC$13="",INDEX(bhpc_data[description],SMALL(IF(ISNUMBER(MATCH(bhpc_data[category],$EC$9,0)),MATCH(ROW(bhpc_data[sku]),ROW(bhpc_data[sku])),""),ROWS($A$15:A194)+$B$3)),INDEX(bhpc_data[description],SMALL(IF(ISNUMBER(MATCH(bhpc_data[category],$EC$9,0)*MATCH(bhpc_data[size1],$EC$13,0)),MATCH(ROW(bhpc_data[sku]),ROW(bhpc_data[sku])),""),ROWS($A$15:A194)+$B$3))),IF($EC$13="",INDEX(bhpc_data[description],SMALL(IF(ISNUMBER(MATCH(bhpc_data[category],$EC$9,0)*MATCH(bhpc_data[sex],$EC$11,0)),MATCH(ROW(bhpc_data[sku]),ROW(bhpc_data[sku])),""),ROWS($A$15:A194)+$B$3)),INDEX(bhpc_data[description],SMALL(IF(ISNUMBER(MATCH(bhpc_data[category],$EC$9,0)*MATCH(bhpc_data[sex],$EC$11,0)*MATCH(bhpc_data[size1],$EC$13,0)),MATCH(ROW(bhpc_data[sku]),ROW(bhpc_data[sku])),""),ROWS($A$15:A194)+$B$3))))),"")</f>
        <v/>
      </c>
      <c r="EG189" s="263" t="str">
        <f>IFERROR(IF(warehouse[[#This Row],[SKU]]="","",INDEX(inventory[ESISTENZA],MATCH(warehouse[[#This Row],[SKU]],inventory[ARTICOLO],0))),"")</f>
        <v/>
      </c>
      <c r="EH189" s="328"/>
      <c r="EI189" s="328"/>
      <c r="EJ189" s="263"/>
      <c r="EK189" s="113"/>
    </row>
    <row r="190" spans="63:141" x14ac:dyDescent="0.35">
      <c r="BK190" s="450"/>
      <c r="BL190" s="451"/>
      <c r="BM190" s="452"/>
      <c r="BN190" s="451"/>
      <c r="BO190" s="452"/>
      <c r="EE190" s="202" t="str" cm="1">
        <f t="array" ref="EE190">IFERROR(IF($EC$9="",IF($EC$11="",IF($EC$13="",INDEX(bhpc_data[sku],SMALL(MATCH(ROW(bhpc_data[sku]),ROW(bhpc_data[sku])),ROWS($A$15:A195)+$B$3)),INDEX(bhpc_data[sku],SMALL(IF(ISNUMBER(MATCH(bhpc_data[size1],$EC$13,0)),MATCH(ROW(bhpc_data[sku]),ROW(bhpc_data[sku])),""),ROWS($A$15:A195)+$B$3))),IF($EC$13="",INDEX(bhpc_data[sku],SMALL(IF(ISNUMBER(MATCH(bhpc_data[sex],$EC$11,0)),MATCH(ROW(bhpc_data[sku]),ROW(bhpc_data[sku])),""),ROWS($A$15:A195)+$B$3)),INDEX(bhpc_data[sku],SMALL(IF(ISNUMBER(MATCH(bhpc_data[sex],$EC$11,0)*MATCH(bhpc_data[size1],$EC$13,0)),MATCH(ROW(bhpc_data[sku]),ROW(bhpc_data[sku])),""),ROWS($A$15:A195)+$B$3)))),IF($EC$11="",IF($EC$13="",INDEX(bhpc_data[sku],SMALL(IF(ISNUMBER(MATCH(bhpc_data[category],$EC$9,0)),MATCH(ROW(bhpc_data[sku]),ROW(bhpc_data[sku])),""),ROWS($A$15:A195)+$B$3)),INDEX(bhpc_data[sku],SMALL(IF(ISNUMBER(MATCH(bhpc_data[category],$EC$9,0)*MATCH(bhpc_data[size1],$EC$13,0)),MATCH(ROW(bhpc_data[sku]),ROW(bhpc_data[sku])),""),ROWS($A$15:A195)+$B$3))),IF($EC$13="",INDEX(bhpc_data[sku],SMALL(IF(ISNUMBER(MATCH(bhpc_data[category],$EC$9,0)*MATCH(bhpc_data[sex],$EC$11,0)),MATCH(ROW(bhpc_data[sku]),ROW(bhpc_data[sku])),""),ROWS($A$15:A195)+$B$3)),INDEX(bhpc_data[sku],SMALL(IF(ISNUMBER(MATCH(bhpc_data[category],$EC$9,0)*MATCH(bhpc_data[sex],$EC$11,0)*MATCH(bhpc_data[size1],$EC$13,0)),MATCH(ROW(bhpc_data[sku]),ROW(bhpc_data[sku])),""),ROWS($A$15:A195)+$B$3))))),"")</f>
        <v/>
      </c>
      <c r="EF190" s="198" t="str" cm="1">
        <f t="array" ref="EF190">IFERROR(IF($EC$9="",IF($EC$11="",IF($EC$13="",INDEX(bhpc_data[description],SMALL(MATCH(ROW(bhpc_data[sku]),ROW(bhpc_data[sku])),ROWS($A$15:A195)+$B$3)),INDEX(bhpc_data[description],SMALL(IF(ISNUMBER(MATCH(bhpc_data[size1],$EC$13,0)),MATCH(ROW(bhpc_data[sku]),ROW(bhpc_data[sku])),""),ROWS($A$15:A195)+$B$3))),IF($EC$13="",INDEX(bhpc_data[description],SMALL(IF(ISNUMBER(MATCH(bhpc_data[sex],$EC$11,0)),MATCH(ROW(bhpc_data[sku]),ROW(bhpc_data[sku])),""),ROWS($A$15:A195)+$B$3)),INDEX(bhpc_data[description],SMALL(IF(ISNUMBER(MATCH(bhpc_data[sex],$EC$11,0)*MATCH(bhpc_data[size1],$EC$13,0)),MATCH(ROW(bhpc_data[sku]),ROW(bhpc_data[sku])),""),ROWS($A$15:A195)+$B$3)))),IF($EC$11="",IF($EC$13="",INDEX(bhpc_data[description],SMALL(IF(ISNUMBER(MATCH(bhpc_data[category],$EC$9,0)),MATCH(ROW(bhpc_data[sku]),ROW(bhpc_data[sku])),""),ROWS($A$15:A195)+$B$3)),INDEX(bhpc_data[description],SMALL(IF(ISNUMBER(MATCH(bhpc_data[category],$EC$9,0)*MATCH(bhpc_data[size1],$EC$13,0)),MATCH(ROW(bhpc_data[sku]),ROW(bhpc_data[sku])),""),ROWS($A$15:A195)+$B$3))),IF($EC$13="",INDEX(bhpc_data[description],SMALL(IF(ISNUMBER(MATCH(bhpc_data[category],$EC$9,0)*MATCH(bhpc_data[sex],$EC$11,0)),MATCH(ROW(bhpc_data[sku]),ROW(bhpc_data[sku])),""),ROWS($A$15:A195)+$B$3)),INDEX(bhpc_data[description],SMALL(IF(ISNUMBER(MATCH(bhpc_data[category],$EC$9,0)*MATCH(bhpc_data[sex],$EC$11,0)*MATCH(bhpc_data[size1],$EC$13,0)),MATCH(ROW(bhpc_data[sku]),ROW(bhpc_data[sku])),""),ROWS($A$15:A195)+$B$3))))),"")</f>
        <v/>
      </c>
      <c r="EG190" s="263" t="str">
        <f>IFERROR(IF(warehouse[[#This Row],[SKU]]="","",INDEX(inventory[ESISTENZA],MATCH(warehouse[[#This Row],[SKU]],inventory[ARTICOLO],0))),"")</f>
        <v/>
      </c>
      <c r="EH190" s="328"/>
      <c r="EI190" s="328"/>
      <c r="EJ190" s="263"/>
      <c r="EK190" s="113"/>
    </row>
    <row r="191" spans="63:141" x14ac:dyDescent="0.35">
      <c r="BK191" s="450"/>
      <c r="BL191" s="451"/>
      <c r="BM191" s="452"/>
      <c r="BN191" s="451"/>
      <c r="BO191" s="452"/>
      <c r="EE191" s="202" t="str" cm="1">
        <f t="array" ref="EE191">IFERROR(IF($EC$9="",IF($EC$11="",IF($EC$13="",INDEX(bhpc_data[sku],SMALL(MATCH(ROW(bhpc_data[sku]),ROW(bhpc_data[sku])),ROWS($A$15:A196)+$B$3)),INDEX(bhpc_data[sku],SMALL(IF(ISNUMBER(MATCH(bhpc_data[size1],$EC$13,0)),MATCH(ROW(bhpc_data[sku]),ROW(bhpc_data[sku])),""),ROWS($A$15:A196)+$B$3))),IF($EC$13="",INDEX(bhpc_data[sku],SMALL(IF(ISNUMBER(MATCH(bhpc_data[sex],$EC$11,0)),MATCH(ROW(bhpc_data[sku]),ROW(bhpc_data[sku])),""),ROWS($A$15:A196)+$B$3)),INDEX(bhpc_data[sku],SMALL(IF(ISNUMBER(MATCH(bhpc_data[sex],$EC$11,0)*MATCH(bhpc_data[size1],$EC$13,0)),MATCH(ROW(bhpc_data[sku]),ROW(bhpc_data[sku])),""),ROWS($A$15:A196)+$B$3)))),IF($EC$11="",IF($EC$13="",INDEX(bhpc_data[sku],SMALL(IF(ISNUMBER(MATCH(bhpc_data[category],$EC$9,0)),MATCH(ROW(bhpc_data[sku]),ROW(bhpc_data[sku])),""),ROWS($A$15:A196)+$B$3)),INDEX(bhpc_data[sku],SMALL(IF(ISNUMBER(MATCH(bhpc_data[category],$EC$9,0)*MATCH(bhpc_data[size1],$EC$13,0)),MATCH(ROW(bhpc_data[sku]),ROW(bhpc_data[sku])),""),ROWS($A$15:A196)+$B$3))),IF($EC$13="",INDEX(bhpc_data[sku],SMALL(IF(ISNUMBER(MATCH(bhpc_data[category],$EC$9,0)*MATCH(bhpc_data[sex],$EC$11,0)),MATCH(ROW(bhpc_data[sku]),ROW(bhpc_data[sku])),""),ROWS($A$15:A196)+$B$3)),INDEX(bhpc_data[sku],SMALL(IF(ISNUMBER(MATCH(bhpc_data[category],$EC$9,0)*MATCH(bhpc_data[sex],$EC$11,0)*MATCH(bhpc_data[size1],$EC$13,0)),MATCH(ROW(bhpc_data[sku]),ROW(bhpc_data[sku])),""),ROWS($A$15:A196)+$B$3))))),"")</f>
        <v/>
      </c>
      <c r="EF191" s="198" t="str" cm="1">
        <f t="array" ref="EF191">IFERROR(IF($EC$9="",IF($EC$11="",IF($EC$13="",INDEX(bhpc_data[description],SMALL(MATCH(ROW(bhpc_data[sku]),ROW(bhpc_data[sku])),ROWS($A$15:A196)+$B$3)),INDEX(bhpc_data[description],SMALL(IF(ISNUMBER(MATCH(bhpc_data[size1],$EC$13,0)),MATCH(ROW(bhpc_data[sku]),ROW(bhpc_data[sku])),""),ROWS($A$15:A196)+$B$3))),IF($EC$13="",INDEX(bhpc_data[description],SMALL(IF(ISNUMBER(MATCH(bhpc_data[sex],$EC$11,0)),MATCH(ROW(bhpc_data[sku]),ROW(bhpc_data[sku])),""),ROWS($A$15:A196)+$B$3)),INDEX(bhpc_data[description],SMALL(IF(ISNUMBER(MATCH(bhpc_data[sex],$EC$11,0)*MATCH(bhpc_data[size1],$EC$13,0)),MATCH(ROW(bhpc_data[sku]),ROW(bhpc_data[sku])),""),ROWS($A$15:A196)+$B$3)))),IF($EC$11="",IF($EC$13="",INDEX(bhpc_data[description],SMALL(IF(ISNUMBER(MATCH(bhpc_data[category],$EC$9,0)),MATCH(ROW(bhpc_data[sku]),ROW(bhpc_data[sku])),""),ROWS($A$15:A196)+$B$3)),INDEX(bhpc_data[description],SMALL(IF(ISNUMBER(MATCH(bhpc_data[category],$EC$9,0)*MATCH(bhpc_data[size1],$EC$13,0)),MATCH(ROW(bhpc_data[sku]),ROW(bhpc_data[sku])),""),ROWS($A$15:A196)+$B$3))),IF($EC$13="",INDEX(bhpc_data[description],SMALL(IF(ISNUMBER(MATCH(bhpc_data[category],$EC$9,0)*MATCH(bhpc_data[sex],$EC$11,0)),MATCH(ROW(bhpc_data[sku]),ROW(bhpc_data[sku])),""),ROWS($A$15:A196)+$B$3)),INDEX(bhpc_data[description],SMALL(IF(ISNUMBER(MATCH(bhpc_data[category],$EC$9,0)*MATCH(bhpc_data[sex],$EC$11,0)*MATCH(bhpc_data[size1],$EC$13,0)),MATCH(ROW(bhpc_data[sku]),ROW(bhpc_data[sku])),""),ROWS($A$15:A196)+$B$3))))),"")</f>
        <v/>
      </c>
      <c r="EG191" s="263" t="str">
        <f>IFERROR(IF(warehouse[[#This Row],[SKU]]="","",INDEX(inventory[ESISTENZA],MATCH(warehouse[[#This Row],[SKU]],inventory[ARTICOLO],0))),"")</f>
        <v/>
      </c>
      <c r="EH191" s="328"/>
      <c r="EI191" s="328"/>
      <c r="EJ191" s="263"/>
      <c r="EK191" s="113"/>
    </row>
    <row r="192" spans="63:141" x14ac:dyDescent="0.35">
      <c r="BK192" s="450"/>
      <c r="BL192" s="451"/>
      <c r="BM192" s="452"/>
      <c r="BN192" s="451"/>
      <c r="BO192" s="452"/>
      <c r="EE192" s="202" t="str" cm="1">
        <f t="array" ref="EE192">IFERROR(IF($EC$9="",IF($EC$11="",IF($EC$13="",INDEX(bhpc_data[sku],SMALL(MATCH(ROW(bhpc_data[sku]),ROW(bhpc_data[sku])),ROWS($A$15:A197)+$B$3)),INDEX(bhpc_data[sku],SMALL(IF(ISNUMBER(MATCH(bhpc_data[size1],$EC$13,0)),MATCH(ROW(bhpc_data[sku]),ROW(bhpc_data[sku])),""),ROWS($A$15:A197)+$B$3))),IF($EC$13="",INDEX(bhpc_data[sku],SMALL(IF(ISNUMBER(MATCH(bhpc_data[sex],$EC$11,0)),MATCH(ROW(bhpc_data[sku]),ROW(bhpc_data[sku])),""),ROWS($A$15:A197)+$B$3)),INDEX(bhpc_data[sku],SMALL(IF(ISNUMBER(MATCH(bhpc_data[sex],$EC$11,0)*MATCH(bhpc_data[size1],$EC$13,0)),MATCH(ROW(bhpc_data[sku]),ROW(bhpc_data[sku])),""),ROWS($A$15:A197)+$B$3)))),IF($EC$11="",IF($EC$13="",INDEX(bhpc_data[sku],SMALL(IF(ISNUMBER(MATCH(bhpc_data[category],$EC$9,0)),MATCH(ROW(bhpc_data[sku]),ROW(bhpc_data[sku])),""),ROWS($A$15:A197)+$B$3)),INDEX(bhpc_data[sku],SMALL(IF(ISNUMBER(MATCH(bhpc_data[category],$EC$9,0)*MATCH(bhpc_data[size1],$EC$13,0)),MATCH(ROW(bhpc_data[sku]),ROW(bhpc_data[sku])),""),ROWS($A$15:A197)+$B$3))),IF($EC$13="",INDEX(bhpc_data[sku],SMALL(IF(ISNUMBER(MATCH(bhpc_data[category],$EC$9,0)*MATCH(bhpc_data[sex],$EC$11,0)),MATCH(ROW(bhpc_data[sku]),ROW(bhpc_data[sku])),""),ROWS($A$15:A197)+$B$3)),INDEX(bhpc_data[sku],SMALL(IF(ISNUMBER(MATCH(bhpc_data[category],$EC$9,0)*MATCH(bhpc_data[sex],$EC$11,0)*MATCH(bhpc_data[size1],$EC$13,0)),MATCH(ROW(bhpc_data[sku]),ROW(bhpc_data[sku])),""),ROWS($A$15:A197)+$B$3))))),"")</f>
        <v/>
      </c>
      <c r="EF192" s="198" t="str" cm="1">
        <f t="array" ref="EF192">IFERROR(IF($EC$9="",IF($EC$11="",IF($EC$13="",INDEX(bhpc_data[description],SMALL(MATCH(ROW(bhpc_data[sku]),ROW(bhpc_data[sku])),ROWS($A$15:A197)+$B$3)),INDEX(bhpc_data[description],SMALL(IF(ISNUMBER(MATCH(bhpc_data[size1],$EC$13,0)),MATCH(ROW(bhpc_data[sku]),ROW(bhpc_data[sku])),""),ROWS($A$15:A197)+$B$3))),IF($EC$13="",INDEX(bhpc_data[description],SMALL(IF(ISNUMBER(MATCH(bhpc_data[sex],$EC$11,0)),MATCH(ROW(bhpc_data[sku]),ROW(bhpc_data[sku])),""),ROWS($A$15:A197)+$B$3)),INDEX(bhpc_data[description],SMALL(IF(ISNUMBER(MATCH(bhpc_data[sex],$EC$11,0)*MATCH(bhpc_data[size1],$EC$13,0)),MATCH(ROW(bhpc_data[sku]),ROW(bhpc_data[sku])),""),ROWS($A$15:A197)+$B$3)))),IF($EC$11="",IF($EC$13="",INDEX(bhpc_data[description],SMALL(IF(ISNUMBER(MATCH(bhpc_data[category],$EC$9,0)),MATCH(ROW(bhpc_data[sku]),ROW(bhpc_data[sku])),""),ROWS($A$15:A197)+$B$3)),INDEX(bhpc_data[description],SMALL(IF(ISNUMBER(MATCH(bhpc_data[category],$EC$9,0)*MATCH(bhpc_data[size1],$EC$13,0)),MATCH(ROW(bhpc_data[sku]),ROW(bhpc_data[sku])),""),ROWS($A$15:A197)+$B$3))),IF($EC$13="",INDEX(bhpc_data[description],SMALL(IF(ISNUMBER(MATCH(bhpc_data[category],$EC$9,0)*MATCH(bhpc_data[sex],$EC$11,0)),MATCH(ROW(bhpc_data[sku]),ROW(bhpc_data[sku])),""),ROWS($A$15:A197)+$B$3)),INDEX(bhpc_data[description],SMALL(IF(ISNUMBER(MATCH(bhpc_data[category],$EC$9,0)*MATCH(bhpc_data[sex],$EC$11,0)*MATCH(bhpc_data[size1],$EC$13,0)),MATCH(ROW(bhpc_data[sku]),ROW(bhpc_data[sku])),""),ROWS($A$15:A197)+$B$3))))),"")</f>
        <v/>
      </c>
      <c r="EG192" s="263" t="str">
        <f>IFERROR(IF(warehouse[[#This Row],[SKU]]="","",INDEX(inventory[ESISTENZA],MATCH(warehouse[[#This Row],[SKU]],inventory[ARTICOLO],0))),"")</f>
        <v/>
      </c>
      <c r="EH192" s="328"/>
      <c r="EI192" s="328"/>
      <c r="EJ192" s="263"/>
      <c r="EK192" s="113"/>
    </row>
    <row r="193" spans="63:141" x14ac:dyDescent="0.35">
      <c r="BK193" s="450"/>
      <c r="BL193" s="451"/>
      <c r="BM193" s="452"/>
      <c r="BN193" s="451"/>
      <c r="BO193" s="452"/>
      <c r="EE193" s="202" t="str" cm="1">
        <f t="array" ref="EE193">IFERROR(IF($EC$9="",IF($EC$11="",IF($EC$13="",INDEX(bhpc_data[sku],SMALL(MATCH(ROW(bhpc_data[sku]),ROW(bhpc_data[sku])),ROWS($A$15:A198)+$B$3)),INDEX(bhpc_data[sku],SMALL(IF(ISNUMBER(MATCH(bhpc_data[size1],$EC$13,0)),MATCH(ROW(bhpc_data[sku]),ROW(bhpc_data[sku])),""),ROWS($A$15:A198)+$B$3))),IF($EC$13="",INDEX(bhpc_data[sku],SMALL(IF(ISNUMBER(MATCH(bhpc_data[sex],$EC$11,0)),MATCH(ROW(bhpc_data[sku]),ROW(bhpc_data[sku])),""),ROWS($A$15:A198)+$B$3)),INDEX(bhpc_data[sku],SMALL(IF(ISNUMBER(MATCH(bhpc_data[sex],$EC$11,0)*MATCH(bhpc_data[size1],$EC$13,0)),MATCH(ROW(bhpc_data[sku]),ROW(bhpc_data[sku])),""),ROWS($A$15:A198)+$B$3)))),IF($EC$11="",IF($EC$13="",INDEX(bhpc_data[sku],SMALL(IF(ISNUMBER(MATCH(bhpc_data[category],$EC$9,0)),MATCH(ROW(bhpc_data[sku]),ROW(bhpc_data[sku])),""),ROWS($A$15:A198)+$B$3)),INDEX(bhpc_data[sku],SMALL(IF(ISNUMBER(MATCH(bhpc_data[category],$EC$9,0)*MATCH(bhpc_data[size1],$EC$13,0)),MATCH(ROW(bhpc_data[sku]),ROW(bhpc_data[sku])),""),ROWS($A$15:A198)+$B$3))),IF($EC$13="",INDEX(bhpc_data[sku],SMALL(IF(ISNUMBER(MATCH(bhpc_data[category],$EC$9,0)*MATCH(bhpc_data[sex],$EC$11,0)),MATCH(ROW(bhpc_data[sku]),ROW(bhpc_data[sku])),""),ROWS($A$15:A198)+$B$3)),INDEX(bhpc_data[sku],SMALL(IF(ISNUMBER(MATCH(bhpc_data[category],$EC$9,0)*MATCH(bhpc_data[sex],$EC$11,0)*MATCH(bhpc_data[size1],$EC$13,0)),MATCH(ROW(bhpc_data[sku]),ROW(bhpc_data[sku])),""),ROWS($A$15:A198)+$B$3))))),"")</f>
        <v/>
      </c>
      <c r="EF193" s="198" t="str" cm="1">
        <f t="array" ref="EF193">IFERROR(IF($EC$9="",IF($EC$11="",IF($EC$13="",INDEX(bhpc_data[description],SMALL(MATCH(ROW(bhpc_data[sku]),ROW(bhpc_data[sku])),ROWS($A$15:A198)+$B$3)),INDEX(bhpc_data[description],SMALL(IF(ISNUMBER(MATCH(bhpc_data[size1],$EC$13,0)),MATCH(ROW(bhpc_data[sku]),ROW(bhpc_data[sku])),""),ROWS($A$15:A198)+$B$3))),IF($EC$13="",INDEX(bhpc_data[description],SMALL(IF(ISNUMBER(MATCH(bhpc_data[sex],$EC$11,0)),MATCH(ROW(bhpc_data[sku]),ROW(bhpc_data[sku])),""),ROWS($A$15:A198)+$B$3)),INDEX(bhpc_data[description],SMALL(IF(ISNUMBER(MATCH(bhpc_data[sex],$EC$11,0)*MATCH(bhpc_data[size1],$EC$13,0)),MATCH(ROW(bhpc_data[sku]),ROW(bhpc_data[sku])),""),ROWS($A$15:A198)+$B$3)))),IF($EC$11="",IF($EC$13="",INDEX(bhpc_data[description],SMALL(IF(ISNUMBER(MATCH(bhpc_data[category],$EC$9,0)),MATCH(ROW(bhpc_data[sku]),ROW(bhpc_data[sku])),""),ROWS($A$15:A198)+$B$3)),INDEX(bhpc_data[description],SMALL(IF(ISNUMBER(MATCH(bhpc_data[category],$EC$9,0)*MATCH(bhpc_data[size1],$EC$13,0)),MATCH(ROW(bhpc_data[sku]),ROW(bhpc_data[sku])),""),ROWS($A$15:A198)+$B$3))),IF($EC$13="",INDEX(bhpc_data[description],SMALL(IF(ISNUMBER(MATCH(bhpc_data[category],$EC$9,0)*MATCH(bhpc_data[sex],$EC$11,0)),MATCH(ROW(bhpc_data[sku]),ROW(bhpc_data[sku])),""),ROWS($A$15:A198)+$B$3)),INDEX(bhpc_data[description],SMALL(IF(ISNUMBER(MATCH(bhpc_data[category],$EC$9,0)*MATCH(bhpc_data[sex],$EC$11,0)*MATCH(bhpc_data[size1],$EC$13,0)),MATCH(ROW(bhpc_data[sku]),ROW(bhpc_data[sku])),""),ROWS($A$15:A198)+$B$3))))),"")</f>
        <v/>
      </c>
      <c r="EG193" s="263" t="str">
        <f>IFERROR(IF(warehouse[[#This Row],[SKU]]="","",INDEX(inventory[ESISTENZA],MATCH(warehouse[[#This Row],[SKU]],inventory[ARTICOLO],0))),"")</f>
        <v/>
      </c>
      <c r="EH193" s="328"/>
      <c r="EI193" s="328"/>
      <c r="EJ193" s="263"/>
      <c r="EK193" s="113"/>
    </row>
    <row r="194" spans="63:141" x14ac:dyDescent="0.35">
      <c r="BK194" s="450"/>
      <c r="BL194" s="451"/>
      <c r="BM194" s="452"/>
      <c r="BN194" s="451"/>
      <c r="BO194" s="452"/>
      <c r="EE194" s="202" t="str" cm="1">
        <f t="array" ref="EE194">IFERROR(IF($EC$9="",IF($EC$11="",IF($EC$13="",INDEX(bhpc_data[sku],SMALL(MATCH(ROW(bhpc_data[sku]),ROW(bhpc_data[sku])),ROWS($A$15:A199)+$B$3)),INDEX(bhpc_data[sku],SMALL(IF(ISNUMBER(MATCH(bhpc_data[size1],$EC$13,0)),MATCH(ROW(bhpc_data[sku]),ROW(bhpc_data[sku])),""),ROWS($A$15:A199)+$B$3))),IF($EC$13="",INDEX(bhpc_data[sku],SMALL(IF(ISNUMBER(MATCH(bhpc_data[sex],$EC$11,0)),MATCH(ROW(bhpc_data[sku]),ROW(bhpc_data[sku])),""),ROWS($A$15:A199)+$B$3)),INDEX(bhpc_data[sku],SMALL(IF(ISNUMBER(MATCH(bhpc_data[sex],$EC$11,0)*MATCH(bhpc_data[size1],$EC$13,0)),MATCH(ROW(bhpc_data[sku]),ROW(bhpc_data[sku])),""),ROWS($A$15:A199)+$B$3)))),IF($EC$11="",IF($EC$13="",INDEX(bhpc_data[sku],SMALL(IF(ISNUMBER(MATCH(bhpc_data[category],$EC$9,0)),MATCH(ROW(bhpc_data[sku]),ROW(bhpc_data[sku])),""),ROWS($A$15:A199)+$B$3)),INDEX(bhpc_data[sku],SMALL(IF(ISNUMBER(MATCH(bhpc_data[category],$EC$9,0)*MATCH(bhpc_data[size1],$EC$13,0)),MATCH(ROW(bhpc_data[sku]),ROW(bhpc_data[sku])),""),ROWS($A$15:A199)+$B$3))),IF($EC$13="",INDEX(bhpc_data[sku],SMALL(IF(ISNUMBER(MATCH(bhpc_data[category],$EC$9,0)*MATCH(bhpc_data[sex],$EC$11,0)),MATCH(ROW(bhpc_data[sku]),ROW(bhpc_data[sku])),""),ROWS($A$15:A199)+$B$3)),INDEX(bhpc_data[sku],SMALL(IF(ISNUMBER(MATCH(bhpc_data[category],$EC$9,0)*MATCH(bhpc_data[sex],$EC$11,0)*MATCH(bhpc_data[size1],$EC$13,0)),MATCH(ROW(bhpc_data[sku]),ROW(bhpc_data[sku])),""),ROWS($A$15:A199)+$B$3))))),"")</f>
        <v/>
      </c>
      <c r="EF194" s="198" t="str" cm="1">
        <f t="array" ref="EF194">IFERROR(IF($EC$9="",IF($EC$11="",IF($EC$13="",INDEX(bhpc_data[description],SMALL(MATCH(ROW(bhpc_data[sku]),ROW(bhpc_data[sku])),ROWS($A$15:A199)+$B$3)),INDEX(bhpc_data[description],SMALL(IF(ISNUMBER(MATCH(bhpc_data[size1],$EC$13,0)),MATCH(ROW(bhpc_data[sku]),ROW(bhpc_data[sku])),""),ROWS($A$15:A199)+$B$3))),IF($EC$13="",INDEX(bhpc_data[description],SMALL(IF(ISNUMBER(MATCH(bhpc_data[sex],$EC$11,0)),MATCH(ROW(bhpc_data[sku]),ROW(bhpc_data[sku])),""),ROWS($A$15:A199)+$B$3)),INDEX(bhpc_data[description],SMALL(IF(ISNUMBER(MATCH(bhpc_data[sex],$EC$11,0)*MATCH(bhpc_data[size1],$EC$13,0)),MATCH(ROW(bhpc_data[sku]),ROW(bhpc_data[sku])),""),ROWS($A$15:A199)+$B$3)))),IF($EC$11="",IF($EC$13="",INDEX(bhpc_data[description],SMALL(IF(ISNUMBER(MATCH(bhpc_data[category],$EC$9,0)),MATCH(ROW(bhpc_data[sku]),ROW(bhpc_data[sku])),""),ROWS($A$15:A199)+$B$3)),INDEX(bhpc_data[description],SMALL(IF(ISNUMBER(MATCH(bhpc_data[category],$EC$9,0)*MATCH(bhpc_data[size1],$EC$13,0)),MATCH(ROW(bhpc_data[sku]),ROW(bhpc_data[sku])),""),ROWS($A$15:A199)+$B$3))),IF($EC$13="",INDEX(bhpc_data[description],SMALL(IF(ISNUMBER(MATCH(bhpc_data[category],$EC$9,0)*MATCH(bhpc_data[sex],$EC$11,0)),MATCH(ROW(bhpc_data[sku]),ROW(bhpc_data[sku])),""),ROWS($A$15:A199)+$B$3)),INDEX(bhpc_data[description],SMALL(IF(ISNUMBER(MATCH(bhpc_data[category],$EC$9,0)*MATCH(bhpc_data[sex],$EC$11,0)*MATCH(bhpc_data[size1],$EC$13,0)),MATCH(ROW(bhpc_data[sku]),ROW(bhpc_data[sku])),""),ROWS($A$15:A199)+$B$3))))),"")</f>
        <v/>
      </c>
      <c r="EG194" s="263" t="str">
        <f>IFERROR(IF(warehouse[[#This Row],[SKU]]="","",INDEX(inventory[ESISTENZA],MATCH(warehouse[[#This Row],[SKU]],inventory[ARTICOLO],0))),"")</f>
        <v/>
      </c>
      <c r="EH194" s="328"/>
      <c r="EI194" s="328"/>
      <c r="EJ194" s="263"/>
      <c r="EK194" s="113"/>
    </row>
    <row r="195" spans="63:141" x14ac:dyDescent="0.35">
      <c r="BK195" s="450"/>
      <c r="BL195" s="451"/>
      <c r="BM195" s="452"/>
      <c r="BN195" s="451"/>
      <c r="BO195" s="452"/>
      <c r="EE195" s="202" t="str" cm="1">
        <f t="array" ref="EE195">IFERROR(IF($EC$9="",IF($EC$11="",IF($EC$13="",INDEX(bhpc_data[sku],SMALL(MATCH(ROW(bhpc_data[sku]),ROW(bhpc_data[sku])),ROWS($A$15:A200)+$B$3)),INDEX(bhpc_data[sku],SMALL(IF(ISNUMBER(MATCH(bhpc_data[size1],$EC$13,0)),MATCH(ROW(bhpc_data[sku]),ROW(bhpc_data[sku])),""),ROWS($A$15:A200)+$B$3))),IF($EC$13="",INDEX(bhpc_data[sku],SMALL(IF(ISNUMBER(MATCH(bhpc_data[sex],$EC$11,0)),MATCH(ROW(bhpc_data[sku]),ROW(bhpc_data[sku])),""),ROWS($A$15:A200)+$B$3)),INDEX(bhpc_data[sku],SMALL(IF(ISNUMBER(MATCH(bhpc_data[sex],$EC$11,0)*MATCH(bhpc_data[size1],$EC$13,0)),MATCH(ROW(bhpc_data[sku]),ROW(bhpc_data[sku])),""),ROWS($A$15:A200)+$B$3)))),IF($EC$11="",IF($EC$13="",INDEX(bhpc_data[sku],SMALL(IF(ISNUMBER(MATCH(bhpc_data[category],$EC$9,0)),MATCH(ROW(bhpc_data[sku]),ROW(bhpc_data[sku])),""),ROWS($A$15:A200)+$B$3)),INDEX(bhpc_data[sku],SMALL(IF(ISNUMBER(MATCH(bhpc_data[category],$EC$9,0)*MATCH(bhpc_data[size1],$EC$13,0)),MATCH(ROW(bhpc_data[sku]),ROW(bhpc_data[sku])),""),ROWS($A$15:A200)+$B$3))),IF($EC$13="",INDEX(bhpc_data[sku],SMALL(IF(ISNUMBER(MATCH(bhpc_data[category],$EC$9,0)*MATCH(bhpc_data[sex],$EC$11,0)),MATCH(ROW(bhpc_data[sku]),ROW(bhpc_data[sku])),""),ROWS($A$15:A200)+$B$3)),INDEX(bhpc_data[sku],SMALL(IF(ISNUMBER(MATCH(bhpc_data[category],$EC$9,0)*MATCH(bhpc_data[sex],$EC$11,0)*MATCH(bhpc_data[size1],$EC$13,0)),MATCH(ROW(bhpc_data[sku]),ROW(bhpc_data[sku])),""),ROWS($A$15:A200)+$B$3))))),"")</f>
        <v/>
      </c>
      <c r="EF195" s="198" t="str" cm="1">
        <f t="array" ref="EF195">IFERROR(IF($EC$9="",IF($EC$11="",IF($EC$13="",INDEX(bhpc_data[description],SMALL(MATCH(ROW(bhpc_data[sku]),ROW(bhpc_data[sku])),ROWS($A$15:A200)+$B$3)),INDEX(bhpc_data[description],SMALL(IF(ISNUMBER(MATCH(bhpc_data[size1],$EC$13,0)),MATCH(ROW(bhpc_data[sku]),ROW(bhpc_data[sku])),""),ROWS($A$15:A200)+$B$3))),IF($EC$13="",INDEX(bhpc_data[description],SMALL(IF(ISNUMBER(MATCH(bhpc_data[sex],$EC$11,0)),MATCH(ROW(bhpc_data[sku]),ROW(bhpc_data[sku])),""),ROWS($A$15:A200)+$B$3)),INDEX(bhpc_data[description],SMALL(IF(ISNUMBER(MATCH(bhpc_data[sex],$EC$11,0)*MATCH(bhpc_data[size1],$EC$13,0)),MATCH(ROW(bhpc_data[sku]),ROW(bhpc_data[sku])),""),ROWS($A$15:A200)+$B$3)))),IF($EC$11="",IF($EC$13="",INDEX(bhpc_data[description],SMALL(IF(ISNUMBER(MATCH(bhpc_data[category],$EC$9,0)),MATCH(ROW(bhpc_data[sku]),ROW(bhpc_data[sku])),""),ROWS($A$15:A200)+$B$3)),INDEX(bhpc_data[description],SMALL(IF(ISNUMBER(MATCH(bhpc_data[category],$EC$9,0)*MATCH(bhpc_data[size1],$EC$13,0)),MATCH(ROW(bhpc_data[sku]),ROW(bhpc_data[sku])),""),ROWS($A$15:A200)+$B$3))),IF($EC$13="",INDEX(bhpc_data[description],SMALL(IF(ISNUMBER(MATCH(bhpc_data[category],$EC$9,0)*MATCH(bhpc_data[sex],$EC$11,0)),MATCH(ROW(bhpc_data[sku]),ROW(bhpc_data[sku])),""),ROWS($A$15:A200)+$B$3)),INDEX(bhpc_data[description],SMALL(IF(ISNUMBER(MATCH(bhpc_data[category],$EC$9,0)*MATCH(bhpc_data[sex],$EC$11,0)*MATCH(bhpc_data[size1],$EC$13,0)),MATCH(ROW(bhpc_data[sku]),ROW(bhpc_data[sku])),""),ROWS($A$15:A200)+$B$3))))),"")</f>
        <v/>
      </c>
      <c r="EG195" s="263" t="str">
        <f>IFERROR(IF(warehouse[[#This Row],[SKU]]="","",INDEX(inventory[ESISTENZA],MATCH(warehouse[[#This Row],[SKU]],inventory[ARTICOLO],0))),"")</f>
        <v/>
      </c>
      <c r="EH195" s="328"/>
      <c r="EI195" s="328"/>
      <c r="EJ195" s="263"/>
      <c r="EK195" s="113"/>
    </row>
    <row r="196" spans="63:141" x14ac:dyDescent="0.35">
      <c r="BK196" s="450"/>
      <c r="BL196" s="451"/>
      <c r="BM196" s="452"/>
      <c r="BN196" s="451"/>
      <c r="BO196" s="452"/>
      <c r="EE196" s="202" t="str" cm="1">
        <f t="array" ref="EE196">IFERROR(IF($EC$9="",IF($EC$11="",IF($EC$13="",INDEX(bhpc_data[sku],SMALL(MATCH(ROW(bhpc_data[sku]),ROW(bhpc_data[sku])),ROWS($A$15:A201)+$B$3)),INDEX(bhpc_data[sku],SMALL(IF(ISNUMBER(MATCH(bhpc_data[size1],$EC$13,0)),MATCH(ROW(bhpc_data[sku]),ROW(bhpc_data[sku])),""),ROWS($A$15:A201)+$B$3))),IF($EC$13="",INDEX(bhpc_data[sku],SMALL(IF(ISNUMBER(MATCH(bhpc_data[sex],$EC$11,0)),MATCH(ROW(bhpc_data[sku]),ROW(bhpc_data[sku])),""),ROWS($A$15:A201)+$B$3)),INDEX(bhpc_data[sku],SMALL(IF(ISNUMBER(MATCH(bhpc_data[sex],$EC$11,0)*MATCH(bhpc_data[size1],$EC$13,0)),MATCH(ROW(bhpc_data[sku]),ROW(bhpc_data[sku])),""),ROWS($A$15:A201)+$B$3)))),IF($EC$11="",IF($EC$13="",INDEX(bhpc_data[sku],SMALL(IF(ISNUMBER(MATCH(bhpc_data[category],$EC$9,0)),MATCH(ROW(bhpc_data[sku]),ROW(bhpc_data[sku])),""),ROWS($A$15:A201)+$B$3)),INDEX(bhpc_data[sku],SMALL(IF(ISNUMBER(MATCH(bhpc_data[category],$EC$9,0)*MATCH(bhpc_data[size1],$EC$13,0)),MATCH(ROW(bhpc_data[sku]),ROW(bhpc_data[sku])),""),ROWS($A$15:A201)+$B$3))),IF($EC$13="",INDEX(bhpc_data[sku],SMALL(IF(ISNUMBER(MATCH(bhpc_data[category],$EC$9,0)*MATCH(bhpc_data[sex],$EC$11,0)),MATCH(ROW(bhpc_data[sku]),ROW(bhpc_data[sku])),""),ROWS($A$15:A201)+$B$3)),INDEX(bhpc_data[sku],SMALL(IF(ISNUMBER(MATCH(bhpc_data[category],$EC$9,0)*MATCH(bhpc_data[sex],$EC$11,0)*MATCH(bhpc_data[size1],$EC$13,0)),MATCH(ROW(bhpc_data[sku]),ROW(bhpc_data[sku])),""),ROWS($A$15:A201)+$B$3))))),"")</f>
        <v/>
      </c>
      <c r="EF196" s="198" t="str" cm="1">
        <f t="array" ref="EF196">IFERROR(IF($EC$9="",IF($EC$11="",IF($EC$13="",INDEX(bhpc_data[description],SMALL(MATCH(ROW(bhpc_data[sku]),ROW(bhpc_data[sku])),ROWS($A$15:A201)+$B$3)),INDEX(bhpc_data[description],SMALL(IF(ISNUMBER(MATCH(bhpc_data[size1],$EC$13,0)),MATCH(ROW(bhpc_data[sku]),ROW(bhpc_data[sku])),""),ROWS($A$15:A201)+$B$3))),IF($EC$13="",INDEX(bhpc_data[description],SMALL(IF(ISNUMBER(MATCH(bhpc_data[sex],$EC$11,0)),MATCH(ROW(bhpc_data[sku]),ROW(bhpc_data[sku])),""),ROWS($A$15:A201)+$B$3)),INDEX(bhpc_data[description],SMALL(IF(ISNUMBER(MATCH(bhpc_data[sex],$EC$11,0)*MATCH(bhpc_data[size1],$EC$13,0)),MATCH(ROW(bhpc_data[sku]),ROW(bhpc_data[sku])),""),ROWS($A$15:A201)+$B$3)))),IF($EC$11="",IF($EC$13="",INDEX(bhpc_data[description],SMALL(IF(ISNUMBER(MATCH(bhpc_data[category],$EC$9,0)),MATCH(ROW(bhpc_data[sku]),ROW(bhpc_data[sku])),""),ROWS($A$15:A201)+$B$3)),INDEX(bhpc_data[description],SMALL(IF(ISNUMBER(MATCH(bhpc_data[category],$EC$9,0)*MATCH(bhpc_data[size1],$EC$13,0)),MATCH(ROW(bhpc_data[sku]),ROW(bhpc_data[sku])),""),ROWS($A$15:A201)+$B$3))),IF($EC$13="",INDEX(bhpc_data[description],SMALL(IF(ISNUMBER(MATCH(bhpc_data[category],$EC$9,0)*MATCH(bhpc_data[sex],$EC$11,0)),MATCH(ROW(bhpc_data[sku]),ROW(bhpc_data[sku])),""),ROWS($A$15:A201)+$B$3)),INDEX(bhpc_data[description],SMALL(IF(ISNUMBER(MATCH(bhpc_data[category],$EC$9,0)*MATCH(bhpc_data[sex],$EC$11,0)*MATCH(bhpc_data[size1],$EC$13,0)),MATCH(ROW(bhpc_data[sku]),ROW(bhpc_data[sku])),""),ROWS($A$15:A201)+$B$3))))),"")</f>
        <v/>
      </c>
      <c r="EG196" s="263" t="str">
        <f>IFERROR(IF(warehouse[[#This Row],[SKU]]="","",INDEX(inventory[ESISTENZA],MATCH(warehouse[[#This Row],[SKU]],inventory[ARTICOLO],0))),"")</f>
        <v/>
      </c>
      <c r="EH196" s="328"/>
      <c r="EI196" s="328"/>
      <c r="EJ196" s="263"/>
      <c r="EK196" s="113"/>
    </row>
    <row r="197" spans="63:141" x14ac:dyDescent="0.35">
      <c r="BK197" s="450"/>
      <c r="BL197" s="451"/>
      <c r="BM197" s="452"/>
      <c r="BN197" s="451"/>
      <c r="BO197" s="452"/>
      <c r="EE197" s="202" t="str" cm="1">
        <f t="array" ref="EE197">IFERROR(IF($EC$9="",IF($EC$11="",IF($EC$13="",INDEX(bhpc_data[sku],SMALL(MATCH(ROW(bhpc_data[sku]),ROW(bhpc_data[sku])),ROWS($A$15:A202)+$B$3)),INDEX(bhpc_data[sku],SMALL(IF(ISNUMBER(MATCH(bhpc_data[size1],$EC$13,0)),MATCH(ROW(bhpc_data[sku]),ROW(bhpc_data[sku])),""),ROWS($A$15:A202)+$B$3))),IF($EC$13="",INDEX(bhpc_data[sku],SMALL(IF(ISNUMBER(MATCH(bhpc_data[sex],$EC$11,0)),MATCH(ROW(bhpc_data[sku]),ROW(bhpc_data[sku])),""),ROWS($A$15:A202)+$B$3)),INDEX(bhpc_data[sku],SMALL(IF(ISNUMBER(MATCH(bhpc_data[sex],$EC$11,0)*MATCH(bhpc_data[size1],$EC$13,0)),MATCH(ROW(bhpc_data[sku]),ROW(bhpc_data[sku])),""),ROWS($A$15:A202)+$B$3)))),IF($EC$11="",IF($EC$13="",INDEX(bhpc_data[sku],SMALL(IF(ISNUMBER(MATCH(bhpc_data[category],$EC$9,0)),MATCH(ROW(bhpc_data[sku]),ROW(bhpc_data[sku])),""),ROWS($A$15:A202)+$B$3)),INDEX(bhpc_data[sku],SMALL(IF(ISNUMBER(MATCH(bhpc_data[category],$EC$9,0)*MATCH(bhpc_data[size1],$EC$13,0)),MATCH(ROW(bhpc_data[sku]),ROW(bhpc_data[sku])),""),ROWS($A$15:A202)+$B$3))),IF($EC$13="",INDEX(bhpc_data[sku],SMALL(IF(ISNUMBER(MATCH(bhpc_data[category],$EC$9,0)*MATCH(bhpc_data[sex],$EC$11,0)),MATCH(ROW(bhpc_data[sku]),ROW(bhpc_data[sku])),""),ROWS($A$15:A202)+$B$3)),INDEX(bhpc_data[sku],SMALL(IF(ISNUMBER(MATCH(bhpc_data[category],$EC$9,0)*MATCH(bhpc_data[sex],$EC$11,0)*MATCH(bhpc_data[size1],$EC$13,0)),MATCH(ROW(bhpc_data[sku]),ROW(bhpc_data[sku])),""),ROWS($A$15:A202)+$B$3))))),"")</f>
        <v/>
      </c>
      <c r="EF197" s="198" t="str" cm="1">
        <f t="array" ref="EF197">IFERROR(IF($EC$9="",IF($EC$11="",IF($EC$13="",INDEX(bhpc_data[description],SMALL(MATCH(ROW(bhpc_data[sku]),ROW(bhpc_data[sku])),ROWS($A$15:A202)+$B$3)),INDEX(bhpc_data[description],SMALL(IF(ISNUMBER(MATCH(bhpc_data[size1],$EC$13,0)),MATCH(ROW(bhpc_data[sku]),ROW(bhpc_data[sku])),""),ROWS($A$15:A202)+$B$3))),IF($EC$13="",INDEX(bhpc_data[description],SMALL(IF(ISNUMBER(MATCH(bhpc_data[sex],$EC$11,0)),MATCH(ROW(bhpc_data[sku]),ROW(bhpc_data[sku])),""),ROWS($A$15:A202)+$B$3)),INDEX(bhpc_data[description],SMALL(IF(ISNUMBER(MATCH(bhpc_data[sex],$EC$11,0)*MATCH(bhpc_data[size1],$EC$13,0)),MATCH(ROW(bhpc_data[sku]),ROW(bhpc_data[sku])),""),ROWS($A$15:A202)+$B$3)))),IF($EC$11="",IF($EC$13="",INDEX(bhpc_data[description],SMALL(IF(ISNUMBER(MATCH(bhpc_data[category],$EC$9,0)),MATCH(ROW(bhpc_data[sku]),ROW(bhpc_data[sku])),""),ROWS($A$15:A202)+$B$3)),INDEX(bhpc_data[description],SMALL(IF(ISNUMBER(MATCH(bhpc_data[category],$EC$9,0)*MATCH(bhpc_data[size1],$EC$13,0)),MATCH(ROW(bhpc_data[sku]),ROW(bhpc_data[sku])),""),ROWS($A$15:A202)+$B$3))),IF($EC$13="",INDEX(bhpc_data[description],SMALL(IF(ISNUMBER(MATCH(bhpc_data[category],$EC$9,0)*MATCH(bhpc_data[sex],$EC$11,0)),MATCH(ROW(bhpc_data[sku]),ROW(bhpc_data[sku])),""),ROWS($A$15:A202)+$B$3)),INDEX(bhpc_data[description],SMALL(IF(ISNUMBER(MATCH(bhpc_data[category],$EC$9,0)*MATCH(bhpc_data[sex],$EC$11,0)*MATCH(bhpc_data[size1],$EC$13,0)),MATCH(ROW(bhpc_data[sku]),ROW(bhpc_data[sku])),""),ROWS($A$15:A202)+$B$3))))),"")</f>
        <v/>
      </c>
      <c r="EG197" s="263" t="str">
        <f>IFERROR(IF(warehouse[[#This Row],[SKU]]="","",INDEX(inventory[ESISTENZA],MATCH(warehouse[[#This Row],[SKU]],inventory[ARTICOLO],0))),"")</f>
        <v/>
      </c>
      <c r="EH197" s="328"/>
      <c r="EI197" s="328"/>
      <c r="EJ197" s="263"/>
      <c r="EK197" s="113"/>
    </row>
    <row r="198" spans="63:141" x14ac:dyDescent="0.35">
      <c r="BK198" s="450"/>
      <c r="BL198" s="451"/>
      <c r="BM198" s="452"/>
      <c r="BN198" s="451"/>
      <c r="BO198" s="452"/>
      <c r="EE198" s="202" t="str" cm="1">
        <f t="array" ref="EE198">IFERROR(IF($EC$9="",IF($EC$11="",IF($EC$13="",INDEX(bhpc_data[sku],SMALL(MATCH(ROW(bhpc_data[sku]),ROW(bhpc_data[sku])),ROWS($A$15:A203)+$B$3)),INDEX(bhpc_data[sku],SMALL(IF(ISNUMBER(MATCH(bhpc_data[size1],$EC$13,0)),MATCH(ROW(bhpc_data[sku]),ROW(bhpc_data[sku])),""),ROWS($A$15:A203)+$B$3))),IF($EC$13="",INDEX(bhpc_data[sku],SMALL(IF(ISNUMBER(MATCH(bhpc_data[sex],$EC$11,0)),MATCH(ROW(bhpc_data[sku]),ROW(bhpc_data[sku])),""),ROWS($A$15:A203)+$B$3)),INDEX(bhpc_data[sku],SMALL(IF(ISNUMBER(MATCH(bhpc_data[sex],$EC$11,0)*MATCH(bhpc_data[size1],$EC$13,0)),MATCH(ROW(bhpc_data[sku]),ROW(bhpc_data[sku])),""),ROWS($A$15:A203)+$B$3)))),IF($EC$11="",IF($EC$13="",INDEX(bhpc_data[sku],SMALL(IF(ISNUMBER(MATCH(bhpc_data[category],$EC$9,0)),MATCH(ROW(bhpc_data[sku]),ROW(bhpc_data[sku])),""),ROWS($A$15:A203)+$B$3)),INDEX(bhpc_data[sku],SMALL(IF(ISNUMBER(MATCH(bhpc_data[category],$EC$9,0)*MATCH(bhpc_data[size1],$EC$13,0)),MATCH(ROW(bhpc_data[sku]),ROW(bhpc_data[sku])),""),ROWS($A$15:A203)+$B$3))),IF($EC$13="",INDEX(bhpc_data[sku],SMALL(IF(ISNUMBER(MATCH(bhpc_data[category],$EC$9,0)*MATCH(bhpc_data[sex],$EC$11,0)),MATCH(ROW(bhpc_data[sku]),ROW(bhpc_data[sku])),""),ROWS($A$15:A203)+$B$3)),INDEX(bhpc_data[sku],SMALL(IF(ISNUMBER(MATCH(bhpc_data[category],$EC$9,0)*MATCH(bhpc_data[sex],$EC$11,0)*MATCH(bhpc_data[size1],$EC$13,0)),MATCH(ROW(bhpc_data[sku]),ROW(bhpc_data[sku])),""),ROWS($A$15:A203)+$B$3))))),"")</f>
        <v/>
      </c>
      <c r="EF198" s="198" t="str" cm="1">
        <f t="array" ref="EF198">IFERROR(IF($EC$9="",IF($EC$11="",IF($EC$13="",INDEX(bhpc_data[description],SMALL(MATCH(ROW(bhpc_data[sku]),ROW(bhpc_data[sku])),ROWS($A$15:A203)+$B$3)),INDEX(bhpc_data[description],SMALL(IF(ISNUMBER(MATCH(bhpc_data[size1],$EC$13,0)),MATCH(ROW(bhpc_data[sku]),ROW(bhpc_data[sku])),""),ROWS($A$15:A203)+$B$3))),IF($EC$13="",INDEX(bhpc_data[description],SMALL(IF(ISNUMBER(MATCH(bhpc_data[sex],$EC$11,0)),MATCH(ROW(bhpc_data[sku]),ROW(bhpc_data[sku])),""),ROWS($A$15:A203)+$B$3)),INDEX(bhpc_data[description],SMALL(IF(ISNUMBER(MATCH(bhpc_data[sex],$EC$11,0)*MATCH(bhpc_data[size1],$EC$13,0)),MATCH(ROW(bhpc_data[sku]),ROW(bhpc_data[sku])),""),ROWS($A$15:A203)+$B$3)))),IF($EC$11="",IF($EC$13="",INDEX(bhpc_data[description],SMALL(IF(ISNUMBER(MATCH(bhpc_data[category],$EC$9,0)),MATCH(ROW(bhpc_data[sku]),ROW(bhpc_data[sku])),""),ROWS($A$15:A203)+$B$3)),INDEX(bhpc_data[description],SMALL(IF(ISNUMBER(MATCH(bhpc_data[category],$EC$9,0)*MATCH(bhpc_data[size1],$EC$13,0)),MATCH(ROW(bhpc_data[sku]),ROW(bhpc_data[sku])),""),ROWS($A$15:A203)+$B$3))),IF($EC$13="",INDEX(bhpc_data[description],SMALL(IF(ISNUMBER(MATCH(bhpc_data[category],$EC$9,0)*MATCH(bhpc_data[sex],$EC$11,0)),MATCH(ROW(bhpc_data[sku]),ROW(bhpc_data[sku])),""),ROWS($A$15:A203)+$B$3)),INDEX(bhpc_data[description],SMALL(IF(ISNUMBER(MATCH(bhpc_data[category],$EC$9,0)*MATCH(bhpc_data[sex],$EC$11,0)*MATCH(bhpc_data[size1],$EC$13,0)),MATCH(ROW(bhpc_data[sku]),ROW(bhpc_data[sku])),""),ROWS($A$15:A203)+$B$3))))),"")</f>
        <v/>
      </c>
      <c r="EG198" s="263" t="str">
        <f>IFERROR(IF(warehouse[[#This Row],[SKU]]="","",INDEX(inventory[ESISTENZA],MATCH(warehouse[[#This Row],[SKU]],inventory[ARTICOLO],0))),"")</f>
        <v/>
      </c>
      <c r="EH198" s="328"/>
      <c r="EI198" s="328"/>
      <c r="EJ198" s="263"/>
      <c r="EK198" s="113"/>
    </row>
    <row r="199" spans="63:141" x14ac:dyDescent="0.35">
      <c r="BK199" s="450"/>
      <c r="BL199" s="451"/>
      <c r="BM199" s="452"/>
      <c r="BN199" s="451"/>
      <c r="BO199" s="452"/>
      <c r="EE199" s="202" t="str" cm="1">
        <f t="array" ref="EE199">IFERROR(IF($EC$9="",IF($EC$11="",IF($EC$13="",INDEX(bhpc_data[sku],SMALL(MATCH(ROW(bhpc_data[sku]),ROW(bhpc_data[sku])),ROWS($A$15:A204)+$B$3)),INDEX(bhpc_data[sku],SMALL(IF(ISNUMBER(MATCH(bhpc_data[size1],$EC$13,0)),MATCH(ROW(bhpc_data[sku]),ROW(bhpc_data[sku])),""),ROWS($A$15:A204)+$B$3))),IF($EC$13="",INDEX(bhpc_data[sku],SMALL(IF(ISNUMBER(MATCH(bhpc_data[sex],$EC$11,0)),MATCH(ROW(bhpc_data[sku]),ROW(bhpc_data[sku])),""),ROWS($A$15:A204)+$B$3)),INDEX(bhpc_data[sku],SMALL(IF(ISNUMBER(MATCH(bhpc_data[sex],$EC$11,0)*MATCH(bhpc_data[size1],$EC$13,0)),MATCH(ROW(bhpc_data[sku]),ROW(bhpc_data[sku])),""),ROWS($A$15:A204)+$B$3)))),IF($EC$11="",IF($EC$13="",INDEX(bhpc_data[sku],SMALL(IF(ISNUMBER(MATCH(bhpc_data[category],$EC$9,0)),MATCH(ROW(bhpc_data[sku]),ROW(bhpc_data[sku])),""),ROWS($A$15:A204)+$B$3)),INDEX(bhpc_data[sku],SMALL(IF(ISNUMBER(MATCH(bhpc_data[category],$EC$9,0)*MATCH(bhpc_data[size1],$EC$13,0)),MATCH(ROW(bhpc_data[sku]),ROW(bhpc_data[sku])),""),ROWS($A$15:A204)+$B$3))),IF($EC$13="",INDEX(bhpc_data[sku],SMALL(IF(ISNUMBER(MATCH(bhpc_data[category],$EC$9,0)*MATCH(bhpc_data[sex],$EC$11,0)),MATCH(ROW(bhpc_data[sku]),ROW(bhpc_data[sku])),""),ROWS($A$15:A204)+$B$3)),INDEX(bhpc_data[sku],SMALL(IF(ISNUMBER(MATCH(bhpc_data[category],$EC$9,0)*MATCH(bhpc_data[sex],$EC$11,0)*MATCH(bhpc_data[size1],$EC$13,0)),MATCH(ROW(bhpc_data[sku]),ROW(bhpc_data[sku])),""),ROWS($A$15:A204)+$B$3))))),"")</f>
        <v/>
      </c>
      <c r="EF199" s="198" t="str" cm="1">
        <f t="array" ref="EF199">IFERROR(IF($EC$9="",IF($EC$11="",IF($EC$13="",INDEX(bhpc_data[description],SMALL(MATCH(ROW(bhpc_data[sku]),ROW(bhpc_data[sku])),ROWS($A$15:A204)+$B$3)),INDEX(bhpc_data[description],SMALL(IF(ISNUMBER(MATCH(bhpc_data[size1],$EC$13,0)),MATCH(ROW(bhpc_data[sku]),ROW(bhpc_data[sku])),""),ROWS($A$15:A204)+$B$3))),IF($EC$13="",INDEX(bhpc_data[description],SMALL(IF(ISNUMBER(MATCH(bhpc_data[sex],$EC$11,0)),MATCH(ROW(bhpc_data[sku]),ROW(bhpc_data[sku])),""),ROWS($A$15:A204)+$B$3)),INDEX(bhpc_data[description],SMALL(IF(ISNUMBER(MATCH(bhpc_data[sex],$EC$11,0)*MATCH(bhpc_data[size1],$EC$13,0)),MATCH(ROW(bhpc_data[sku]),ROW(bhpc_data[sku])),""),ROWS($A$15:A204)+$B$3)))),IF($EC$11="",IF($EC$13="",INDEX(bhpc_data[description],SMALL(IF(ISNUMBER(MATCH(bhpc_data[category],$EC$9,0)),MATCH(ROW(bhpc_data[sku]),ROW(bhpc_data[sku])),""),ROWS($A$15:A204)+$B$3)),INDEX(bhpc_data[description],SMALL(IF(ISNUMBER(MATCH(bhpc_data[category],$EC$9,0)*MATCH(bhpc_data[size1],$EC$13,0)),MATCH(ROW(bhpc_data[sku]),ROW(bhpc_data[sku])),""),ROWS($A$15:A204)+$B$3))),IF($EC$13="",INDEX(bhpc_data[description],SMALL(IF(ISNUMBER(MATCH(bhpc_data[category],$EC$9,0)*MATCH(bhpc_data[sex],$EC$11,0)),MATCH(ROW(bhpc_data[sku]),ROW(bhpc_data[sku])),""),ROWS($A$15:A204)+$B$3)),INDEX(bhpc_data[description],SMALL(IF(ISNUMBER(MATCH(bhpc_data[category],$EC$9,0)*MATCH(bhpc_data[sex],$EC$11,0)*MATCH(bhpc_data[size1],$EC$13,0)),MATCH(ROW(bhpc_data[sku]),ROW(bhpc_data[sku])),""),ROWS($A$15:A204)+$B$3))))),"")</f>
        <v/>
      </c>
      <c r="EG199" s="263" t="str">
        <f>IFERROR(IF(warehouse[[#This Row],[SKU]]="","",INDEX(inventory[ESISTENZA],MATCH(warehouse[[#This Row],[SKU]],inventory[ARTICOLO],0))),"")</f>
        <v/>
      </c>
      <c r="EH199" s="328"/>
      <c r="EI199" s="328"/>
      <c r="EJ199" s="263"/>
      <c r="EK199" s="113"/>
    </row>
    <row r="200" spans="63:141" x14ac:dyDescent="0.35">
      <c r="BK200" s="450"/>
      <c r="BL200" s="451"/>
      <c r="BM200" s="452"/>
      <c r="BN200" s="451"/>
      <c r="BO200" s="452"/>
      <c r="EE200" s="202" t="str" cm="1">
        <f t="array" ref="EE200">IFERROR(IF($EC$9="",IF($EC$11="",IF($EC$13="",INDEX(bhpc_data[sku],SMALL(MATCH(ROW(bhpc_data[sku]),ROW(bhpc_data[sku])),ROWS($A$15:A205)+$B$3)),INDEX(bhpc_data[sku],SMALL(IF(ISNUMBER(MATCH(bhpc_data[size1],$EC$13,0)),MATCH(ROW(bhpc_data[sku]),ROW(bhpc_data[sku])),""),ROWS($A$15:A205)+$B$3))),IF($EC$13="",INDEX(bhpc_data[sku],SMALL(IF(ISNUMBER(MATCH(bhpc_data[sex],$EC$11,0)),MATCH(ROW(bhpc_data[sku]),ROW(bhpc_data[sku])),""),ROWS($A$15:A205)+$B$3)),INDEX(bhpc_data[sku],SMALL(IF(ISNUMBER(MATCH(bhpc_data[sex],$EC$11,0)*MATCH(bhpc_data[size1],$EC$13,0)),MATCH(ROW(bhpc_data[sku]),ROW(bhpc_data[sku])),""),ROWS($A$15:A205)+$B$3)))),IF($EC$11="",IF($EC$13="",INDEX(bhpc_data[sku],SMALL(IF(ISNUMBER(MATCH(bhpc_data[category],$EC$9,0)),MATCH(ROW(bhpc_data[sku]),ROW(bhpc_data[sku])),""),ROWS($A$15:A205)+$B$3)),INDEX(bhpc_data[sku],SMALL(IF(ISNUMBER(MATCH(bhpc_data[category],$EC$9,0)*MATCH(bhpc_data[size1],$EC$13,0)),MATCH(ROW(bhpc_data[sku]),ROW(bhpc_data[sku])),""),ROWS($A$15:A205)+$B$3))),IF($EC$13="",INDEX(bhpc_data[sku],SMALL(IF(ISNUMBER(MATCH(bhpc_data[category],$EC$9,0)*MATCH(bhpc_data[sex],$EC$11,0)),MATCH(ROW(bhpc_data[sku]),ROW(bhpc_data[sku])),""),ROWS($A$15:A205)+$B$3)),INDEX(bhpc_data[sku],SMALL(IF(ISNUMBER(MATCH(bhpc_data[category],$EC$9,0)*MATCH(bhpc_data[sex],$EC$11,0)*MATCH(bhpc_data[size1],$EC$13,0)),MATCH(ROW(bhpc_data[sku]),ROW(bhpc_data[sku])),""),ROWS($A$15:A205)+$B$3))))),"")</f>
        <v/>
      </c>
      <c r="EF200" s="198" t="str" cm="1">
        <f t="array" ref="EF200">IFERROR(IF($EC$9="",IF($EC$11="",IF($EC$13="",INDEX(bhpc_data[description],SMALL(MATCH(ROW(bhpc_data[sku]),ROW(bhpc_data[sku])),ROWS($A$15:A205)+$B$3)),INDEX(bhpc_data[description],SMALL(IF(ISNUMBER(MATCH(bhpc_data[size1],$EC$13,0)),MATCH(ROW(bhpc_data[sku]),ROW(bhpc_data[sku])),""),ROWS($A$15:A205)+$B$3))),IF($EC$13="",INDEX(bhpc_data[description],SMALL(IF(ISNUMBER(MATCH(bhpc_data[sex],$EC$11,0)),MATCH(ROW(bhpc_data[sku]),ROW(bhpc_data[sku])),""),ROWS($A$15:A205)+$B$3)),INDEX(bhpc_data[description],SMALL(IF(ISNUMBER(MATCH(bhpc_data[sex],$EC$11,0)*MATCH(bhpc_data[size1],$EC$13,0)),MATCH(ROW(bhpc_data[sku]),ROW(bhpc_data[sku])),""),ROWS($A$15:A205)+$B$3)))),IF($EC$11="",IF($EC$13="",INDEX(bhpc_data[description],SMALL(IF(ISNUMBER(MATCH(bhpc_data[category],$EC$9,0)),MATCH(ROW(bhpc_data[sku]),ROW(bhpc_data[sku])),""),ROWS($A$15:A205)+$B$3)),INDEX(bhpc_data[description],SMALL(IF(ISNUMBER(MATCH(bhpc_data[category],$EC$9,0)*MATCH(bhpc_data[size1],$EC$13,0)),MATCH(ROW(bhpc_data[sku]),ROW(bhpc_data[sku])),""),ROWS($A$15:A205)+$B$3))),IF($EC$13="",INDEX(bhpc_data[description],SMALL(IF(ISNUMBER(MATCH(bhpc_data[category],$EC$9,0)*MATCH(bhpc_data[sex],$EC$11,0)),MATCH(ROW(bhpc_data[sku]),ROW(bhpc_data[sku])),""),ROWS($A$15:A205)+$B$3)),INDEX(bhpc_data[description],SMALL(IF(ISNUMBER(MATCH(bhpc_data[category],$EC$9,0)*MATCH(bhpc_data[sex],$EC$11,0)*MATCH(bhpc_data[size1],$EC$13,0)),MATCH(ROW(bhpc_data[sku]),ROW(bhpc_data[sku])),""),ROWS($A$15:A205)+$B$3))))),"")</f>
        <v/>
      </c>
      <c r="EG200" s="263" t="str">
        <f>IFERROR(IF(warehouse[[#This Row],[SKU]]="","",INDEX(inventory[ESISTENZA],MATCH(warehouse[[#This Row],[SKU]],inventory[ARTICOLO],0))),"")</f>
        <v/>
      </c>
      <c r="EH200" s="328"/>
      <c r="EI200" s="328"/>
      <c r="EJ200" s="263"/>
      <c r="EK200" s="113"/>
    </row>
    <row r="201" spans="63:141" x14ac:dyDescent="0.35">
      <c r="BK201" s="450"/>
      <c r="BL201" s="451"/>
      <c r="BM201" s="452"/>
      <c r="BN201" s="451"/>
      <c r="BO201" s="452"/>
      <c r="EE201" s="202" t="str" cm="1">
        <f t="array" ref="EE201">IFERROR(IF($EC$9="",IF($EC$11="",IF($EC$13="",INDEX(bhpc_data[sku],SMALL(MATCH(ROW(bhpc_data[sku]),ROW(bhpc_data[sku])),ROWS($A$15:A206)+$B$3)),INDEX(bhpc_data[sku],SMALL(IF(ISNUMBER(MATCH(bhpc_data[size1],$EC$13,0)),MATCH(ROW(bhpc_data[sku]),ROW(bhpc_data[sku])),""),ROWS($A$15:A206)+$B$3))),IF($EC$13="",INDEX(bhpc_data[sku],SMALL(IF(ISNUMBER(MATCH(bhpc_data[sex],$EC$11,0)),MATCH(ROW(bhpc_data[sku]),ROW(bhpc_data[sku])),""),ROWS($A$15:A206)+$B$3)),INDEX(bhpc_data[sku],SMALL(IF(ISNUMBER(MATCH(bhpc_data[sex],$EC$11,0)*MATCH(bhpc_data[size1],$EC$13,0)),MATCH(ROW(bhpc_data[sku]),ROW(bhpc_data[sku])),""),ROWS($A$15:A206)+$B$3)))),IF($EC$11="",IF($EC$13="",INDEX(bhpc_data[sku],SMALL(IF(ISNUMBER(MATCH(bhpc_data[category],$EC$9,0)),MATCH(ROW(bhpc_data[sku]),ROW(bhpc_data[sku])),""),ROWS($A$15:A206)+$B$3)),INDEX(bhpc_data[sku],SMALL(IF(ISNUMBER(MATCH(bhpc_data[category],$EC$9,0)*MATCH(bhpc_data[size1],$EC$13,0)),MATCH(ROW(bhpc_data[sku]),ROW(bhpc_data[sku])),""),ROWS($A$15:A206)+$B$3))),IF($EC$13="",INDEX(bhpc_data[sku],SMALL(IF(ISNUMBER(MATCH(bhpc_data[category],$EC$9,0)*MATCH(bhpc_data[sex],$EC$11,0)),MATCH(ROW(bhpc_data[sku]),ROW(bhpc_data[sku])),""),ROWS($A$15:A206)+$B$3)),INDEX(bhpc_data[sku],SMALL(IF(ISNUMBER(MATCH(bhpc_data[category],$EC$9,0)*MATCH(bhpc_data[sex],$EC$11,0)*MATCH(bhpc_data[size1],$EC$13,0)),MATCH(ROW(bhpc_data[sku]),ROW(bhpc_data[sku])),""),ROWS($A$15:A206)+$B$3))))),"")</f>
        <v/>
      </c>
      <c r="EF201" s="198" t="str" cm="1">
        <f t="array" ref="EF201">IFERROR(IF($EC$9="",IF($EC$11="",IF($EC$13="",INDEX(bhpc_data[description],SMALL(MATCH(ROW(bhpc_data[sku]),ROW(bhpc_data[sku])),ROWS($A$15:A206)+$B$3)),INDEX(bhpc_data[description],SMALL(IF(ISNUMBER(MATCH(bhpc_data[size1],$EC$13,0)),MATCH(ROW(bhpc_data[sku]),ROW(bhpc_data[sku])),""),ROWS($A$15:A206)+$B$3))),IF($EC$13="",INDEX(bhpc_data[description],SMALL(IF(ISNUMBER(MATCH(bhpc_data[sex],$EC$11,0)),MATCH(ROW(bhpc_data[sku]),ROW(bhpc_data[sku])),""),ROWS($A$15:A206)+$B$3)),INDEX(bhpc_data[description],SMALL(IF(ISNUMBER(MATCH(bhpc_data[sex],$EC$11,0)*MATCH(bhpc_data[size1],$EC$13,0)),MATCH(ROW(bhpc_data[sku]),ROW(bhpc_data[sku])),""),ROWS($A$15:A206)+$B$3)))),IF($EC$11="",IF($EC$13="",INDEX(bhpc_data[description],SMALL(IF(ISNUMBER(MATCH(bhpc_data[category],$EC$9,0)),MATCH(ROW(bhpc_data[sku]),ROW(bhpc_data[sku])),""),ROWS($A$15:A206)+$B$3)),INDEX(bhpc_data[description],SMALL(IF(ISNUMBER(MATCH(bhpc_data[category],$EC$9,0)*MATCH(bhpc_data[size1],$EC$13,0)),MATCH(ROW(bhpc_data[sku]),ROW(bhpc_data[sku])),""),ROWS($A$15:A206)+$B$3))),IF($EC$13="",INDEX(bhpc_data[description],SMALL(IF(ISNUMBER(MATCH(bhpc_data[category],$EC$9,0)*MATCH(bhpc_data[sex],$EC$11,0)),MATCH(ROW(bhpc_data[sku]),ROW(bhpc_data[sku])),""),ROWS($A$15:A206)+$B$3)),INDEX(bhpc_data[description],SMALL(IF(ISNUMBER(MATCH(bhpc_data[category],$EC$9,0)*MATCH(bhpc_data[sex],$EC$11,0)*MATCH(bhpc_data[size1],$EC$13,0)),MATCH(ROW(bhpc_data[sku]),ROW(bhpc_data[sku])),""),ROWS($A$15:A206)+$B$3))))),"")</f>
        <v/>
      </c>
      <c r="EG201" s="263" t="str">
        <f>IFERROR(IF(warehouse[[#This Row],[SKU]]="","",INDEX(inventory[ESISTENZA],MATCH(warehouse[[#This Row],[SKU]],inventory[ARTICOLO],0))),"")</f>
        <v/>
      </c>
      <c r="EH201" s="328"/>
      <c r="EI201" s="328"/>
      <c r="EJ201" s="263"/>
      <c r="EK201" s="113"/>
    </row>
    <row r="202" spans="63:141" x14ac:dyDescent="0.35">
      <c r="BK202" s="450"/>
      <c r="BL202" s="451"/>
      <c r="BM202" s="452"/>
      <c r="BN202" s="451"/>
      <c r="BO202" s="452"/>
      <c r="EE202" s="202" t="str" cm="1">
        <f t="array" ref="EE202">IFERROR(IF($EC$9="",IF($EC$11="",IF($EC$13="",INDEX(bhpc_data[sku],SMALL(MATCH(ROW(bhpc_data[sku]),ROW(bhpc_data[sku])),ROWS($A$15:A207)+$B$3)),INDEX(bhpc_data[sku],SMALL(IF(ISNUMBER(MATCH(bhpc_data[size1],$EC$13,0)),MATCH(ROW(bhpc_data[sku]),ROW(bhpc_data[sku])),""),ROWS($A$15:A207)+$B$3))),IF($EC$13="",INDEX(bhpc_data[sku],SMALL(IF(ISNUMBER(MATCH(bhpc_data[sex],$EC$11,0)),MATCH(ROW(bhpc_data[sku]),ROW(bhpc_data[sku])),""),ROWS($A$15:A207)+$B$3)),INDEX(bhpc_data[sku],SMALL(IF(ISNUMBER(MATCH(bhpc_data[sex],$EC$11,0)*MATCH(bhpc_data[size1],$EC$13,0)),MATCH(ROW(bhpc_data[sku]),ROW(bhpc_data[sku])),""),ROWS($A$15:A207)+$B$3)))),IF($EC$11="",IF($EC$13="",INDEX(bhpc_data[sku],SMALL(IF(ISNUMBER(MATCH(bhpc_data[category],$EC$9,0)),MATCH(ROW(bhpc_data[sku]),ROW(bhpc_data[sku])),""),ROWS($A$15:A207)+$B$3)),INDEX(bhpc_data[sku],SMALL(IF(ISNUMBER(MATCH(bhpc_data[category],$EC$9,0)*MATCH(bhpc_data[size1],$EC$13,0)),MATCH(ROW(bhpc_data[sku]),ROW(bhpc_data[sku])),""),ROWS($A$15:A207)+$B$3))),IF($EC$13="",INDEX(bhpc_data[sku],SMALL(IF(ISNUMBER(MATCH(bhpc_data[category],$EC$9,0)*MATCH(bhpc_data[sex],$EC$11,0)),MATCH(ROW(bhpc_data[sku]),ROW(bhpc_data[sku])),""),ROWS($A$15:A207)+$B$3)),INDEX(bhpc_data[sku],SMALL(IF(ISNUMBER(MATCH(bhpc_data[category],$EC$9,0)*MATCH(bhpc_data[sex],$EC$11,0)*MATCH(bhpc_data[size1],$EC$13,0)),MATCH(ROW(bhpc_data[sku]),ROW(bhpc_data[sku])),""),ROWS($A$15:A207)+$B$3))))),"")</f>
        <v/>
      </c>
      <c r="EF202" s="198" t="str" cm="1">
        <f t="array" ref="EF202">IFERROR(IF($EC$9="",IF($EC$11="",IF($EC$13="",INDEX(bhpc_data[description],SMALL(MATCH(ROW(bhpc_data[sku]),ROW(bhpc_data[sku])),ROWS($A$15:A207)+$B$3)),INDEX(bhpc_data[description],SMALL(IF(ISNUMBER(MATCH(bhpc_data[size1],$EC$13,0)),MATCH(ROW(bhpc_data[sku]),ROW(bhpc_data[sku])),""),ROWS($A$15:A207)+$B$3))),IF($EC$13="",INDEX(bhpc_data[description],SMALL(IF(ISNUMBER(MATCH(bhpc_data[sex],$EC$11,0)),MATCH(ROW(bhpc_data[sku]),ROW(bhpc_data[sku])),""),ROWS($A$15:A207)+$B$3)),INDEX(bhpc_data[description],SMALL(IF(ISNUMBER(MATCH(bhpc_data[sex],$EC$11,0)*MATCH(bhpc_data[size1],$EC$13,0)),MATCH(ROW(bhpc_data[sku]),ROW(bhpc_data[sku])),""),ROWS($A$15:A207)+$B$3)))),IF($EC$11="",IF($EC$13="",INDEX(bhpc_data[description],SMALL(IF(ISNUMBER(MATCH(bhpc_data[category],$EC$9,0)),MATCH(ROW(bhpc_data[sku]),ROW(bhpc_data[sku])),""),ROWS($A$15:A207)+$B$3)),INDEX(bhpc_data[description],SMALL(IF(ISNUMBER(MATCH(bhpc_data[category],$EC$9,0)*MATCH(bhpc_data[size1],$EC$13,0)),MATCH(ROW(bhpc_data[sku]),ROW(bhpc_data[sku])),""),ROWS($A$15:A207)+$B$3))),IF($EC$13="",INDEX(bhpc_data[description],SMALL(IF(ISNUMBER(MATCH(bhpc_data[category],$EC$9,0)*MATCH(bhpc_data[sex],$EC$11,0)),MATCH(ROW(bhpc_data[sku]),ROW(bhpc_data[sku])),""),ROWS($A$15:A207)+$B$3)),INDEX(bhpc_data[description],SMALL(IF(ISNUMBER(MATCH(bhpc_data[category],$EC$9,0)*MATCH(bhpc_data[sex],$EC$11,0)*MATCH(bhpc_data[size1],$EC$13,0)),MATCH(ROW(bhpc_data[sku]),ROW(bhpc_data[sku])),""),ROWS($A$15:A207)+$B$3))))),"")</f>
        <v/>
      </c>
      <c r="EG202" s="263" t="str">
        <f>IFERROR(IF(warehouse[[#This Row],[SKU]]="","",INDEX(inventory[ESISTENZA],MATCH(warehouse[[#This Row],[SKU]],inventory[ARTICOLO],0))),"")</f>
        <v/>
      </c>
      <c r="EH202" s="328"/>
      <c r="EI202" s="328"/>
      <c r="EJ202" s="263"/>
      <c r="EK202" s="113"/>
    </row>
    <row r="203" spans="63:141" x14ac:dyDescent="0.35">
      <c r="BK203" s="450"/>
      <c r="BL203" s="451"/>
      <c r="BM203" s="452"/>
      <c r="BN203" s="451"/>
      <c r="BO203" s="452"/>
      <c r="EE203" s="202" t="str" cm="1">
        <f t="array" ref="EE203">IFERROR(IF($EC$9="",IF($EC$11="",IF($EC$13="",INDEX(bhpc_data[sku],SMALL(MATCH(ROW(bhpc_data[sku]),ROW(bhpc_data[sku])),ROWS($A$15:A208)+$B$3)),INDEX(bhpc_data[sku],SMALL(IF(ISNUMBER(MATCH(bhpc_data[size1],$EC$13,0)),MATCH(ROW(bhpc_data[sku]),ROW(bhpc_data[sku])),""),ROWS($A$15:A208)+$B$3))),IF($EC$13="",INDEX(bhpc_data[sku],SMALL(IF(ISNUMBER(MATCH(bhpc_data[sex],$EC$11,0)),MATCH(ROW(bhpc_data[sku]),ROW(bhpc_data[sku])),""),ROWS($A$15:A208)+$B$3)),INDEX(bhpc_data[sku],SMALL(IF(ISNUMBER(MATCH(bhpc_data[sex],$EC$11,0)*MATCH(bhpc_data[size1],$EC$13,0)),MATCH(ROW(bhpc_data[sku]),ROW(bhpc_data[sku])),""),ROWS($A$15:A208)+$B$3)))),IF($EC$11="",IF($EC$13="",INDEX(bhpc_data[sku],SMALL(IF(ISNUMBER(MATCH(bhpc_data[category],$EC$9,0)),MATCH(ROW(bhpc_data[sku]),ROW(bhpc_data[sku])),""),ROWS($A$15:A208)+$B$3)),INDEX(bhpc_data[sku],SMALL(IF(ISNUMBER(MATCH(bhpc_data[category],$EC$9,0)*MATCH(bhpc_data[size1],$EC$13,0)),MATCH(ROW(bhpc_data[sku]),ROW(bhpc_data[sku])),""),ROWS($A$15:A208)+$B$3))),IF($EC$13="",INDEX(bhpc_data[sku],SMALL(IF(ISNUMBER(MATCH(bhpc_data[category],$EC$9,0)*MATCH(bhpc_data[sex],$EC$11,0)),MATCH(ROW(bhpc_data[sku]),ROW(bhpc_data[sku])),""),ROWS($A$15:A208)+$B$3)),INDEX(bhpc_data[sku],SMALL(IF(ISNUMBER(MATCH(bhpc_data[category],$EC$9,0)*MATCH(bhpc_data[sex],$EC$11,0)*MATCH(bhpc_data[size1],$EC$13,0)),MATCH(ROW(bhpc_data[sku]),ROW(bhpc_data[sku])),""),ROWS($A$15:A208)+$B$3))))),"")</f>
        <v/>
      </c>
      <c r="EF203" s="198" t="str" cm="1">
        <f t="array" ref="EF203">IFERROR(IF($EC$9="",IF($EC$11="",IF($EC$13="",INDEX(bhpc_data[description],SMALL(MATCH(ROW(bhpc_data[sku]),ROW(bhpc_data[sku])),ROWS($A$15:A208)+$B$3)),INDEX(bhpc_data[description],SMALL(IF(ISNUMBER(MATCH(bhpc_data[size1],$EC$13,0)),MATCH(ROW(bhpc_data[sku]),ROW(bhpc_data[sku])),""),ROWS($A$15:A208)+$B$3))),IF($EC$13="",INDEX(bhpc_data[description],SMALL(IF(ISNUMBER(MATCH(bhpc_data[sex],$EC$11,0)),MATCH(ROW(bhpc_data[sku]),ROW(bhpc_data[sku])),""),ROWS($A$15:A208)+$B$3)),INDEX(bhpc_data[description],SMALL(IF(ISNUMBER(MATCH(bhpc_data[sex],$EC$11,0)*MATCH(bhpc_data[size1],$EC$13,0)),MATCH(ROW(bhpc_data[sku]),ROW(bhpc_data[sku])),""),ROWS($A$15:A208)+$B$3)))),IF($EC$11="",IF($EC$13="",INDEX(bhpc_data[description],SMALL(IF(ISNUMBER(MATCH(bhpc_data[category],$EC$9,0)),MATCH(ROW(bhpc_data[sku]),ROW(bhpc_data[sku])),""),ROWS($A$15:A208)+$B$3)),INDEX(bhpc_data[description],SMALL(IF(ISNUMBER(MATCH(bhpc_data[category],$EC$9,0)*MATCH(bhpc_data[size1],$EC$13,0)),MATCH(ROW(bhpc_data[sku]),ROW(bhpc_data[sku])),""),ROWS($A$15:A208)+$B$3))),IF($EC$13="",INDEX(bhpc_data[description],SMALL(IF(ISNUMBER(MATCH(bhpc_data[category],$EC$9,0)*MATCH(bhpc_data[sex],$EC$11,0)),MATCH(ROW(bhpc_data[sku]),ROW(bhpc_data[sku])),""),ROWS($A$15:A208)+$B$3)),INDEX(bhpc_data[description],SMALL(IF(ISNUMBER(MATCH(bhpc_data[category],$EC$9,0)*MATCH(bhpc_data[sex],$EC$11,0)*MATCH(bhpc_data[size1],$EC$13,0)),MATCH(ROW(bhpc_data[sku]),ROW(bhpc_data[sku])),""),ROWS($A$15:A208)+$B$3))))),"")</f>
        <v/>
      </c>
      <c r="EG203" s="263" t="str">
        <f>IFERROR(IF(warehouse[[#This Row],[SKU]]="","",INDEX(inventory[ESISTENZA],MATCH(warehouse[[#This Row],[SKU]],inventory[ARTICOLO],0))),"")</f>
        <v/>
      </c>
      <c r="EH203" s="328"/>
      <c r="EI203" s="328"/>
      <c r="EJ203" s="263"/>
      <c r="EK203" s="113"/>
    </row>
    <row r="204" spans="63:141" x14ac:dyDescent="0.35">
      <c r="BK204" s="450"/>
      <c r="BL204" s="451"/>
      <c r="BM204" s="452"/>
      <c r="BN204" s="451"/>
      <c r="BO204" s="452"/>
      <c r="EE204" s="202" t="str" cm="1">
        <f t="array" ref="EE204">IFERROR(IF($EC$9="",IF($EC$11="",IF($EC$13="",INDEX(bhpc_data[sku],SMALL(MATCH(ROW(bhpc_data[sku]),ROW(bhpc_data[sku])),ROWS($A$15:A209)+$B$3)),INDEX(bhpc_data[sku],SMALL(IF(ISNUMBER(MATCH(bhpc_data[size1],$EC$13,0)),MATCH(ROW(bhpc_data[sku]),ROW(bhpc_data[sku])),""),ROWS($A$15:A209)+$B$3))),IF($EC$13="",INDEX(bhpc_data[sku],SMALL(IF(ISNUMBER(MATCH(bhpc_data[sex],$EC$11,0)),MATCH(ROW(bhpc_data[sku]),ROW(bhpc_data[sku])),""),ROWS($A$15:A209)+$B$3)),INDEX(bhpc_data[sku],SMALL(IF(ISNUMBER(MATCH(bhpc_data[sex],$EC$11,0)*MATCH(bhpc_data[size1],$EC$13,0)),MATCH(ROW(bhpc_data[sku]),ROW(bhpc_data[sku])),""),ROWS($A$15:A209)+$B$3)))),IF($EC$11="",IF($EC$13="",INDEX(bhpc_data[sku],SMALL(IF(ISNUMBER(MATCH(bhpc_data[category],$EC$9,0)),MATCH(ROW(bhpc_data[sku]),ROW(bhpc_data[sku])),""),ROWS($A$15:A209)+$B$3)),INDEX(bhpc_data[sku],SMALL(IF(ISNUMBER(MATCH(bhpc_data[category],$EC$9,0)*MATCH(bhpc_data[size1],$EC$13,0)),MATCH(ROW(bhpc_data[sku]),ROW(bhpc_data[sku])),""),ROWS($A$15:A209)+$B$3))),IF($EC$13="",INDEX(bhpc_data[sku],SMALL(IF(ISNUMBER(MATCH(bhpc_data[category],$EC$9,0)*MATCH(bhpc_data[sex],$EC$11,0)),MATCH(ROW(bhpc_data[sku]),ROW(bhpc_data[sku])),""),ROWS($A$15:A209)+$B$3)),INDEX(bhpc_data[sku],SMALL(IF(ISNUMBER(MATCH(bhpc_data[category],$EC$9,0)*MATCH(bhpc_data[sex],$EC$11,0)*MATCH(bhpc_data[size1],$EC$13,0)),MATCH(ROW(bhpc_data[sku]),ROW(bhpc_data[sku])),""),ROWS($A$15:A209)+$B$3))))),"")</f>
        <v/>
      </c>
      <c r="EF204" s="198" t="str" cm="1">
        <f t="array" ref="EF204">IFERROR(IF($EC$9="",IF($EC$11="",IF($EC$13="",INDEX(bhpc_data[description],SMALL(MATCH(ROW(bhpc_data[sku]),ROW(bhpc_data[sku])),ROWS($A$15:A209)+$B$3)),INDEX(bhpc_data[description],SMALL(IF(ISNUMBER(MATCH(bhpc_data[size1],$EC$13,0)),MATCH(ROW(bhpc_data[sku]),ROW(bhpc_data[sku])),""),ROWS($A$15:A209)+$B$3))),IF($EC$13="",INDEX(bhpc_data[description],SMALL(IF(ISNUMBER(MATCH(bhpc_data[sex],$EC$11,0)),MATCH(ROW(bhpc_data[sku]),ROW(bhpc_data[sku])),""),ROWS($A$15:A209)+$B$3)),INDEX(bhpc_data[description],SMALL(IF(ISNUMBER(MATCH(bhpc_data[sex],$EC$11,0)*MATCH(bhpc_data[size1],$EC$13,0)),MATCH(ROW(bhpc_data[sku]),ROW(bhpc_data[sku])),""),ROWS($A$15:A209)+$B$3)))),IF($EC$11="",IF($EC$13="",INDEX(bhpc_data[description],SMALL(IF(ISNUMBER(MATCH(bhpc_data[category],$EC$9,0)),MATCH(ROW(bhpc_data[sku]),ROW(bhpc_data[sku])),""),ROWS($A$15:A209)+$B$3)),INDEX(bhpc_data[description],SMALL(IF(ISNUMBER(MATCH(bhpc_data[category],$EC$9,0)*MATCH(bhpc_data[size1],$EC$13,0)),MATCH(ROW(bhpc_data[sku]),ROW(bhpc_data[sku])),""),ROWS($A$15:A209)+$B$3))),IF($EC$13="",INDEX(bhpc_data[description],SMALL(IF(ISNUMBER(MATCH(bhpc_data[category],$EC$9,0)*MATCH(bhpc_data[sex],$EC$11,0)),MATCH(ROW(bhpc_data[sku]),ROW(bhpc_data[sku])),""),ROWS($A$15:A209)+$B$3)),INDEX(bhpc_data[description],SMALL(IF(ISNUMBER(MATCH(bhpc_data[category],$EC$9,0)*MATCH(bhpc_data[sex],$EC$11,0)*MATCH(bhpc_data[size1],$EC$13,0)),MATCH(ROW(bhpc_data[sku]),ROW(bhpc_data[sku])),""),ROWS($A$15:A209)+$B$3))))),"")</f>
        <v/>
      </c>
      <c r="EG204" s="263" t="str">
        <f>IFERROR(IF(warehouse[[#This Row],[SKU]]="","",INDEX(inventory[ESISTENZA],MATCH(warehouse[[#This Row],[SKU]],inventory[ARTICOLO],0))),"")</f>
        <v/>
      </c>
      <c r="EH204" s="328"/>
      <c r="EI204" s="328"/>
      <c r="EJ204" s="263"/>
      <c r="EK204" s="113"/>
    </row>
    <row r="205" spans="63:141" x14ac:dyDescent="0.35">
      <c r="BK205" s="450"/>
      <c r="BL205" s="451"/>
      <c r="BM205" s="452"/>
      <c r="BN205" s="451"/>
      <c r="BO205" s="452"/>
      <c r="EE205" s="202" t="str" cm="1">
        <f t="array" ref="EE205">IFERROR(IF($EC$9="",IF($EC$11="",IF($EC$13="",INDEX(bhpc_data[sku],SMALL(MATCH(ROW(bhpc_data[sku]),ROW(bhpc_data[sku])),ROWS($A$15:A210)+$B$3)),INDEX(bhpc_data[sku],SMALL(IF(ISNUMBER(MATCH(bhpc_data[size1],$EC$13,0)),MATCH(ROW(bhpc_data[sku]),ROW(bhpc_data[sku])),""),ROWS($A$15:A210)+$B$3))),IF($EC$13="",INDEX(bhpc_data[sku],SMALL(IF(ISNUMBER(MATCH(bhpc_data[sex],$EC$11,0)),MATCH(ROW(bhpc_data[sku]),ROW(bhpc_data[sku])),""),ROWS($A$15:A210)+$B$3)),INDEX(bhpc_data[sku],SMALL(IF(ISNUMBER(MATCH(bhpc_data[sex],$EC$11,0)*MATCH(bhpc_data[size1],$EC$13,0)),MATCH(ROW(bhpc_data[sku]),ROW(bhpc_data[sku])),""),ROWS($A$15:A210)+$B$3)))),IF($EC$11="",IF($EC$13="",INDEX(bhpc_data[sku],SMALL(IF(ISNUMBER(MATCH(bhpc_data[category],$EC$9,0)),MATCH(ROW(bhpc_data[sku]),ROW(bhpc_data[sku])),""),ROWS($A$15:A210)+$B$3)),INDEX(bhpc_data[sku],SMALL(IF(ISNUMBER(MATCH(bhpc_data[category],$EC$9,0)*MATCH(bhpc_data[size1],$EC$13,0)),MATCH(ROW(bhpc_data[sku]),ROW(bhpc_data[sku])),""),ROWS($A$15:A210)+$B$3))),IF($EC$13="",INDEX(bhpc_data[sku],SMALL(IF(ISNUMBER(MATCH(bhpc_data[category],$EC$9,0)*MATCH(bhpc_data[sex],$EC$11,0)),MATCH(ROW(bhpc_data[sku]),ROW(bhpc_data[sku])),""),ROWS($A$15:A210)+$B$3)),INDEX(bhpc_data[sku],SMALL(IF(ISNUMBER(MATCH(bhpc_data[category],$EC$9,0)*MATCH(bhpc_data[sex],$EC$11,0)*MATCH(bhpc_data[size1],$EC$13,0)),MATCH(ROW(bhpc_data[sku]),ROW(bhpc_data[sku])),""),ROWS($A$15:A210)+$B$3))))),"")</f>
        <v/>
      </c>
      <c r="EF205" s="198" t="str" cm="1">
        <f t="array" ref="EF205">IFERROR(IF($EC$9="",IF($EC$11="",IF($EC$13="",INDEX(bhpc_data[description],SMALL(MATCH(ROW(bhpc_data[sku]),ROW(bhpc_data[sku])),ROWS($A$15:A210)+$B$3)),INDEX(bhpc_data[description],SMALL(IF(ISNUMBER(MATCH(bhpc_data[size1],$EC$13,0)),MATCH(ROW(bhpc_data[sku]),ROW(bhpc_data[sku])),""),ROWS($A$15:A210)+$B$3))),IF($EC$13="",INDEX(bhpc_data[description],SMALL(IF(ISNUMBER(MATCH(bhpc_data[sex],$EC$11,0)),MATCH(ROW(bhpc_data[sku]),ROW(bhpc_data[sku])),""),ROWS($A$15:A210)+$B$3)),INDEX(bhpc_data[description],SMALL(IF(ISNUMBER(MATCH(bhpc_data[sex],$EC$11,0)*MATCH(bhpc_data[size1],$EC$13,0)),MATCH(ROW(bhpc_data[sku]),ROW(bhpc_data[sku])),""),ROWS($A$15:A210)+$B$3)))),IF($EC$11="",IF($EC$13="",INDEX(bhpc_data[description],SMALL(IF(ISNUMBER(MATCH(bhpc_data[category],$EC$9,0)),MATCH(ROW(bhpc_data[sku]),ROW(bhpc_data[sku])),""),ROWS($A$15:A210)+$B$3)),INDEX(bhpc_data[description],SMALL(IF(ISNUMBER(MATCH(bhpc_data[category],$EC$9,0)*MATCH(bhpc_data[size1],$EC$13,0)),MATCH(ROW(bhpc_data[sku]),ROW(bhpc_data[sku])),""),ROWS($A$15:A210)+$B$3))),IF($EC$13="",INDEX(bhpc_data[description],SMALL(IF(ISNUMBER(MATCH(bhpc_data[category],$EC$9,0)*MATCH(bhpc_data[sex],$EC$11,0)),MATCH(ROW(bhpc_data[sku]),ROW(bhpc_data[sku])),""),ROWS($A$15:A210)+$B$3)),INDEX(bhpc_data[description],SMALL(IF(ISNUMBER(MATCH(bhpc_data[category],$EC$9,0)*MATCH(bhpc_data[sex],$EC$11,0)*MATCH(bhpc_data[size1],$EC$13,0)),MATCH(ROW(bhpc_data[sku]),ROW(bhpc_data[sku])),""),ROWS($A$15:A210)+$B$3))))),"")</f>
        <v/>
      </c>
      <c r="EG205" s="263" t="str">
        <f>IFERROR(IF(warehouse[[#This Row],[SKU]]="","",INDEX(inventory[ESISTENZA],MATCH(warehouse[[#This Row],[SKU]],inventory[ARTICOLO],0))),"")</f>
        <v/>
      </c>
      <c r="EH205" s="328"/>
      <c r="EI205" s="328"/>
      <c r="EJ205" s="263"/>
      <c r="EK205" s="113"/>
    </row>
    <row r="206" spans="63:141" x14ac:dyDescent="0.35">
      <c r="BK206" s="450"/>
      <c r="BL206" s="451"/>
      <c r="BM206" s="452"/>
      <c r="BN206" s="451"/>
      <c r="BO206" s="452"/>
      <c r="EE206" s="202" t="str" cm="1">
        <f t="array" ref="EE206">IFERROR(IF($EC$9="",IF($EC$11="",IF($EC$13="",INDEX(bhpc_data[sku],SMALL(MATCH(ROW(bhpc_data[sku]),ROW(bhpc_data[sku])),ROWS($A$15:A211)+$B$3)),INDEX(bhpc_data[sku],SMALL(IF(ISNUMBER(MATCH(bhpc_data[size1],$EC$13,0)),MATCH(ROW(bhpc_data[sku]),ROW(bhpc_data[sku])),""),ROWS($A$15:A211)+$B$3))),IF($EC$13="",INDEX(bhpc_data[sku],SMALL(IF(ISNUMBER(MATCH(bhpc_data[sex],$EC$11,0)),MATCH(ROW(bhpc_data[sku]),ROW(bhpc_data[sku])),""),ROWS($A$15:A211)+$B$3)),INDEX(bhpc_data[sku],SMALL(IF(ISNUMBER(MATCH(bhpc_data[sex],$EC$11,0)*MATCH(bhpc_data[size1],$EC$13,0)),MATCH(ROW(bhpc_data[sku]),ROW(bhpc_data[sku])),""),ROWS($A$15:A211)+$B$3)))),IF($EC$11="",IF($EC$13="",INDEX(bhpc_data[sku],SMALL(IF(ISNUMBER(MATCH(bhpc_data[category],$EC$9,0)),MATCH(ROW(bhpc_data[sku]),ROW(bhpc_data[sku])),""),ROWS($A$15:A211)+$B$3)),INDEX(bhpc_data[sku],SMALL(IF(ISNUMBER(MATCH(bhpc_data[category],$EC$9,0)*MATCH(bhpc_data[size1],$EC$13,0)),MATCH(ROW(bhpc_data[sku]),ROW(bhpc_data[sku])),""),ROWS($A$15:A211)+$B$3))),IF($EC$13="",INDEX(bhpc_data[sku],SMALL(IF(ISNUMBER(MATCH(bhpc_data[category],$EC$9,0)*MATCH(bhpc_data[sex],$EC$11,0)),MATCH(ROW(bhpc_data[sku]),ROW(bhpc_data[sku])),""),ROWS($A$15:A211)+$B$3)),INDEX(bhpc_data[sku],SMALL(IF(ISNUMBER(MATCH(bhpc_data[category],$EC$9,0)*MATCH(bhpc_data[sex],$EC$11,0)*MATCH(bhpc_data[size1],$EC$13,0)),MATCH(ROW(bhpc_data[sku]),ROW(bhpc_data[sku])),""),ROWS($A$15:A211)+$B$3))))),"")</f>
        <v/>
      </c>
      <c r="EF206" s="198" t="str" cm="1">
        <f t="array" ref="EF206">IFERROR(IF($EC$9="",IF($EC$11="",IF($EC$13="",INDEX(bhpc_data[description],SMALL(MATCH(ROW(bhpc_data[sku]),ROW(bhpc_data[sku])),ROWS($A$15:A211)+$B$3)),INDEX(bhpc_data[description],SMALL(IF(ISNUMBER(MATCH(bhpc_data[size1],$EC$13,0)),MATCH(ROW(bhpc_data[sku]),ROW(bhpc_data[sku])),""),ROWS($A$15:A211)+$B$3))),IF($EC$13="",INDEX(bhpc_data[description],SMALL(IF(ISNUMBER(MATCH(bhpc_data[sex],$EC$11,0)),MATCH(ROW(bhpc_data[sku]),ROW(bhpc_data[sku])),""),ROWS($A$15:A211)+$B$3)),INDEX(bhpc_data[description],SMALL(IF(ISNUMBER(MATCH(bhpc_data[sex],$EC$11,0)*MATCH(bhpc_data[size1],$EC$13,0)),MATCH(ROW(bhpc_data[sku]),ROW(bhpc_data[sku])),""),ROWS($A$15:A211)+$B$3)))),IF($EC$11="",IF($EC$13="",INDEX(bhpc_data[description],SMALL(IF(ISNUMBER(MATCH(bhpc_data[category],$EC$9,0)),MATCH(ROW(bhpc_data[sku]),ROW(bhpc_data[sku])),""),ROWS($A$15:A211)+$B$3)),INDEX(bhpc_data[description],SMALL(IF(ISNUMBER(MATCH(bhpc_data[category],$EC$9,0)*MATCH(bhpc_data[size1],$EC$13,0)),MATCH(ROW(bhpc_data[sku]),ROW(bhpc_data[sku])),""),ROWS($A$15:A211)+$B$3))),IF($EC$13="",INDEX(bhpc_data[description],SMALL(IF(ISNUMBER(MATCH(bhpc_data[category],$EC$9,0)*MATCH(bhpc_data[sex],$EC$11,0)),MATCH(ROW(bhpc_data[sku]),ROW(bhpc_data[sku])),""),ROWS($A$15:A211)+$B$3)),INDEX(bhpc_data[description],SMALL(IF(ISNUMBER(MATCH(bhpc_data[category],$EC$9,0)*MATCH(bhpc_data[sex],$EC$11,0)*MATCH(bhpc_data[size1],$EC$13,0)),MATCH(ROW(bhpc_data[sku]),ROW(bhpc_data[sku])),""),ROWS($A$15:A211)+$B$3))))),"")</f>
        <v/>
      </c>
      <c r="EG206" s="263" t="str">
        <f>IFERROR(IF(warehouse[[#This Row],[SKU]]="","",INDEX(inventory[ESISTENZA],MATCH(warehouse[[#This Row],[SKU]],inventory[ARTICOLO],0))),"")</f>
        <v/>
      </c>
      <c r="EH206" s="328"/>
      <c r="EI206" s="328"/>
      <c r="EJ206" s="263"/>
      <c r="EK206" s="113"/>
    </row>
    <row r="207" spans="63:141" x14ac:dyDescent="0.35">
      <c r="BK207" s="450"/>
      <c r="BL207" s="451"/>
      <c r="BM207" s="452"/>
      <c r="BN207" s="451"/>
      <c r="BO207" s="452"/>
      <c r="EE207" s="202" t="str" cm="1">
        <f t="array" ref="EE207">IFERROR(IF($EC$9="",IF($EC$11="",IF($EC$13="",INDEX(bhpc_data[sku],SMALL(MATCH(ROW(bhpc_data[sku]),ROW(bhpc_data[sku])),ROWS($A$15:A212)+$B$3)),INDEX(bhpc_data[sku],SMALL(IF(ISNUMBER(MATCH(bhpc_data[size1],$EC$13,0)),MATCH(ROW(bhpc_data[sku]),ROW(bhpc_data[sku])),""),ROWS($A$15:A212)+$B$3))),IF($EC$13="",INDEX(bhpc_data[sku],SMALL(IF(ISNUMBER(MATCH(bhpc_data[sex],$EC$11,0)),MATCH(ROW(bhpc_data[sku]),ROW(bhpc_data[sku])),""),ROWS($A$15:A212)+$B$3)),INDEX(bhpc_data[sku],SMALL(IF(ISNUMBER(MATCH(bhpc_data[sex],$EC$11,0)*MATCH(bhpc_data[size1],$EC$13,0)),MATCH(ROW(bhpc_data[sku]),ROW(bhpc_data[sku])),""),ROWS($A$15:A212)+$B$3)))),IF($EC$11="",IF($EC$13="",INDEX(bhpc_data[sku],SMALL(IF(ISNUMBER(MATCH(bhpc_data[category],$EC$9,0)),MATCH(ROW(bhpc_data[sku]),ROW(bhpc_data[sku])),""),ROWS($A$15:A212)+$B$3)),INDEX(bhpc_data[sku],SMALL(IF(ISNUMBER(MATCH(bhpc_data[category],$EC$9,0)*MATCH(bhpc_data[size1],$EC$13,0)),MATCH(ROW(bhpc_data[sku]),ROW(bhpc_data[sku])),""),ROWS($A$15:A212)+$B$3))),IF($EC$13="",INDEX(bhpc_data[sku],SMALL(IF(ISNUMBER(MATCH(bhpc_data[category],$EC$9,0)*MATCH(bhpc_data[sex],$EC$11,0)),MATCH(ROW(bhpc_data[sku]),ROW(bhpc_data[sku])),""),ROWS($A$15:A212)+$B$3)),INDEX(bhpc_data[sku],SMALL(IF(ISNUMBER(MATCH(bhpc_data[category],$EC$9,0)*MATCH(bhpc_data[sex],$EC$11,0)*MATCH(bhpc_data[size1],$EC$13,0)),MATCH(ROW(bhpc_data[sku]),ROW(bhpc_data[sku])),""),ROWS($A$15:A212)+$B$3))))),"")</f>
        <v/>
      </c>
      <c r="EF207" s="198" t="str" cm="1">
        <f t="array" ref="EF207">IFERROR(IF($EC$9="",IF($EC$11="",IF($EC$13="",INDEX(bhpc_data[description],SMALL(MATCH(ROW(bhpc_data[sku]),ROW(bhpc_data[sku])),ROWS($A$15:A212)+$B$3)),INDEX(bhpc_data[description],SMALL(IF(ISNUMBER(MATCH(bhpc_data[size1],$EC$13,0)),MATCH(ROW(bhpc_data[sku]),ROW(bhpc_data[sku])),""),ROWS($A$15:A212)+$B$3))),IF($EC$13="",INDEX(bhpc_data[description],SMALL(IF(ISNUMBER(MATCH(bhpc_data[sex],$EC$11,0)),MATCH(ROW(bhpc_data[sku]),ROW(bhpc_data[sku])),""),ROWS($A$15:A212)+$B$3)),INDEX(bhpc_data[description],SMALL(IF(ISNUMBER(MATCH(bhpc_data[sex],$EC$11,0)*MATCH(bhpc_data[size1],$EC$13,0)),MATCH(ROW(bhpc_data[sku]),ROW(bhpc_data[sku])),""),ROWS($A$15:A212)+$B$3)))),IF($EC$11="",IF($EC$13="",INDEX(bhpc_data[description],SMALL(IF(ISNUMBER(MATCH(bhpc_data[category],$EC$9,0)),MATCH(ROW(bhpc_data[sku]),ROW(bhpc_data[sku])),""),ROWS($A$15:A212)+$B$3)),INDEX(bhpc_data[description],SMALL(IF(ISNUMBER(MATCH(bhpc_data[category],$EC$9,0)*MATCH(bhpc_data[size1],$EC$13,0)),MATCH(ROW(bhpc_data[sku]),ROW(bhpc_data[sku])),""),ROWS($A$15:A212)+$B$3))),IF($EC$13="",INDEX(bhpc_data[description],SMALL(IF(ISNUMBER(MATCH(bhpc_data[category],$EC$9,0)*MATCH(bhpc_data[sex],$EC$11,0)),MATCH(ROW(bhpc_data[sku]),ROW(bhpc_data[sku])),""),ROWS($A$15:A212)+$B$3)),INDEX(bhpc_data[description],SMALL(IF(ISNUMBER(MATCH(bhpc_data[category],$EC$9,0)*MATCH(bhpc_data[sex],$EC$11,0)*MATCH(bhpc_data[size1],$EC$13,0)),MATCH(ROW(bhpc_data[sku]),ROW(bhpc_data[sku])),""),ROWS($A$15:A212)+$B$3))))),"")</f>
        <v/>
      </c>
      <c r="EG207" s="263" t="str">
        <f>IFERROR(IF(warehouse[[#This Row],[SKU]]="","",INDEX(inventory[ESISTENZA],MATCH(warehouse[[#This Row],[SKU]],inventory[ARTICOLO],0))),"")</f>
        <v/>
      </c>
      <c r="EH207" s="328"/>
      <c r="EI207" s="328"/>
      <c r="EJ207" s="263"/>
      <c r="EK207" s="113"/>
    </row>
    <row r="208" spans="63:141" x14ac:dyDescent="0.35">
      <c r="BK208" s="450"/>
      <c r="BL208" s="451"/>
      <c r="BM208" s="452"/>
      <c r="BN208" s="451"/>
      <c r="BO208" s="452"/>
      <c r="EE208" s="202" t="str" cm="1">
        <f t="array" ref="EE208">IFERROR(IF($EC$9="",IF($EC$11="",IF($EC$13="",INDEX(bhpc_data[sku],SMALL(MATCH(ROW(bhpc_data[sku]),ROW(bhpc_data[sku])),ROWS($A$15:A213)+$B$3)),INDEX(bhpc_data[sku],SMALL(IF(ISNUMBER(MATCH(bhpc_data[size1],$EC$13,0)),MATCH(ROW(bhpc_data[sku]),ROW(bhpc_data[sku])),""),ROWS($A$15:A213)+$B$3))),IF($EC$13="",INDEX(bhpc_data[sku],SMALL(IF(ISNUMBER(MATCH(bhpc_data[sex],$EC$11,0)),MATCH(ROW(bhpc_data[sku]),ROW(bhpc_data[sku])),""),ROWS($A$15:A213)+$B$3)),INDEX(bhpc_data[sku],SMALL(IF(ISNUMBER(MATCH(bhpc_data[sex],$EC$11,0)*MATCH(bhpc_data[size1],$EC$13,0)),MATCH(ROW(bhpc_data[sku]),ROW(bhpc_data[sku])),""),ROWS($A$15:A213)+$B$3)))),IF($EC$11="",IF($EC$13="",INDEX(bhpc_data[sku],SMALL(IF(ISNUMBER(MATCH(bhpc_data[category],$EC$9,0)),MATCH(ROW(bhpc_data[sku]),ROW(bhpc_data[sku])),""),ROWS($A$15:A213)+$B$3)),INDEX(bhpc_data[sku],SMALL(IF(ISNUMBER(MATCH(bhpc_data[category],$EC$9,0)*MATCH(bhpc_data[size1],$EC$13,0)),MATCH(ROW(bhpc_data[sku]),ROW(bhpc_data[sku])),""),ROWS($A$15:A213)+$B$3))),IF($EC$13="",INDEX(bhpc_data[sku],SMALL(IF(ISNUMBER(MATCH(bhpc_data[category],$EC$9,0)*MATCH(bhpc_data[sex],$EC$11,0)),MATCH(ROW(bhpc_data[sku]),ROW(bhpc_data[sku])),""),ROWS($A$15:A213)+$B$3)),INDEX(bhpc_data[sku],SMALL(IF(ISNUMBER(MATCH(bhpc_data[category],$EC$9,0)*MATCH(bhpc_data[sex],$EC$11,0)*MATCH(bhpc_data[size1],$EC$13,0)),MATCH(ROW(bhpc_data[sku]),ROW(bhpc_data[sku])),""),ROWS($A$15:A213)+$B$3))))),"")</f>
        <v/>
      </c>
      <c r="EF208" s="198" t="str" cm="1">
        <f t="array" ref="EF208">IFERROR(IF($EC$9="",IF($EC$11="",IF($EC$13="",INDEX(bhpc_data[description],SMALL(MATCH(ROW(bhpc_data[sku]),ROW(bhpc_data[sku])),ROWS($A$15:A213)+$B$3)),INDEX(bhpc_data[description],SMALL(IF(ISNUMBER(MATCH(bhpc_data[size1],$EC$13,0)),MATCH(ROW(bhpc_data[sku]),ROW(bhpc_data[sku])),""),ROWS($A$15:A213)+$B$3))),IF($EC$13="",INDEX(bhpc_data[description],SMALL(IF(ISNUMBER(MATCH(bhpc_data[sex],$EC$11,0)),MATCH(ROW(bhpc_data[sku]),ROW(bhpc_data[sku])),""),ROWS($A$15:A213)+$B$3)),INDEX(bhpc_data[description],SMALL(IF(ISNUMBER(MATCH(bhpc_data[sex],$EC$11,0)*MATCH(bhpc_data[size1],$EC$13,0)),MATCH(ROW(bhpc_data[sku]),ROW(bhpc_data[sku])),""),ROWS($A$15:A213)+$B$3)))),IF($EC$11="",IF($EC$13="",INDEX(bhpc_data[description],SMALL(IF(ISNUMBER(MATCH(bhpc_data[category],$EC$9,0)),MATCH(ROW(bhpc_data[sku]),ROW(bhpc_data[sku])),""),ROWS($A$15:A213)+$B$3)),INDEX(bhpc_data[description],SMALL(IF(ISNUMBER(MATCH(bhpc_data[category],$EC$9,0)*MATCH(bhpc_data[size1],$EC$13,0)),MATCH(ROW(bhpc_data[sku]),ROW(bhpc_data[sku])),""),ROWS($A$15:A213)+$B$3))),IF($EC$13="",INDEX(bhpc_data[description],SMALL(IF(ISNUMBER(MATCH(bhpc_data[category],$EC$9,0)*MATCH(bhpc_data[sex],$EC$11,0)),MATCH(ROW(bhpc_data[sku]),ROW(bhpc_data[sku])),""),ROWS($A$15:A213)+$B$3)),INDEX(bhpc_data[description],SMALL(IF(ISNUMBER(MATCH(bhpc_data[category],$EC$9,0)*MATCH(bhpc_data[sex],$EC$11,0)*MATCH(bhpc_data[size1],$EC$13,0)),MATCH(ROW(bhpc_data[sku]),ROW(bhpc_data[sku])),""),ROWS($A$15:A213)+$B$3))))),"")</f>
        <v/>
      </c>
      <c r="EG208" s="263" t="str">
        <f>IFERROR(IF(warehouse[[#This Row],[SKU]]="","",INDEX(inventory[ESISTENZA],MATCH(warehouse[[#This Row],[SKU]],inventory[ARTICOLO],0))),"")</f>
        <v/>
      </c>
      <c r="EH208" s="328"/>
      <c r="EI208" s="328"/>
      <c r="EJ208" s="263"/>
      <c r="EK208" s="113"/>
    </row>
    <row r="209" spans="63:141" x14ac:dyDescent="0.35">
      <c r="BK209" s="450"/>
      <c r="BL209" s="451"/>
      <c r="BM209" s="452"/>
      <c r="BN209" s="451"/>
      <c r="BO209" s="452"/>
      <c r="EE209" s="202" t="str" cm="1">
        <f t="array" ref="EE209">IFERROR(IF($EC$9="",IF($EC$11="",IF($EC$13="",INDEX(bhpc_data[sku],SMALL(MATCH(ROW(bhpc_data[sku]),ROW(bhpc_data[sku])),ROWS($A$15:A214)+$B$3)),INDEX(bhpc_data[sku],SMALL(IF(ISNUMBER(MATCH(bhpc_data[size1],$EC$13,0)),MATCH(ROW(bhpc_data[sku]),ROW(bhpc_data[sku])),""),ROWS($A$15:A214)+$B$3))),IF($EC$13="",INDEX(bhpc_data[sku],SMALL(IF(ISNUMBER(MATCH(bhpc_data[sex],$EC$11,0)),MATCH(ROW(bhpc_data[sku]),ROW(bhpc_data[sku])),""),ROWS($A$15:A214)+$B$3)),INDEX(bhpc_data[sku],SMALL(IF(ISNUMBER(MATCH(bhpc_data[sex],$EC$11,0)*MATCH(bhpc_data[size1],$EC$13,0)),MATCH(ROW(bhpc_data[sku]),ROW(bhpc_data[sku])),""),ROWS($A$15:A214)+$B$3)))),IF($EC$11="",IF($EC$13="",INDEX(bhpc_data[sku],SMALL(IF(ISNUMBER(MATCH(bhpc_data[category],$EC$9,0)),MATCH(ROW(bhpc_data[sku]),ROW(bhpc_data[sku])),""),ROWS($A$15:A214)+$B$3)),INDEX(bhpc_data[sku],SMALL(IF(ISNUMBER(MATCH(bhpc_data[category],$EC$9,0)*MATCH(bhpc_data[size1],$EC$13,0)),MATCH(ROW(bhpc_data[sku]),ROW(bhpc_data[sku])),""),ROWS($A$15:A214)+$B$3))),IF($EC$13="",INDEX(bhpc_data[sku],SMALL(IF(ISNUMBER(MATCH(bhpc_data[category],$EC$9,0)*MATCH(bhpc_data[sex],$EC$11,0)),MATCH(ROW(bhpc_data[sku]),ROW(bhpc_data[sku])),""),ROWS($A$15:A214)+$B$3)),INDEX(bhpc_data[sku],SMALL(IF(ISNUMBER(MATCH(bhpc_data[category],$EC$9,0)*MATCH(bhpc_data[sex],$EC$11,0)*MATCH(bhpc_data[size1],$EC$13,0)),MATCH(ROW(bhpc_data[sku]),ROW(bhpc_data[sku])),""),ROWS($A$15:A214)+$B$3))))),"")</f>
        <v/>
      </c>
      <c r="EF209" s="198" t="str" cm="1">
        <f t="array" ref="EF209">IFERROR(IF($EC$9="",IF($EC$11="",IF($EC$13="",INDEX(bhpc_data[description],SMALL(MATCH(ROW(bhpc_data[sku]),ROW(bhpc_data[sku])),ROWS($A$15:A214)+$B$3)),INDEX(bhpc_data[description],SMALL(IF(ISNUMBER(MATCH(bhpc_data[size1],$EC$13,0)),MATCH(ROW(bhpc_data[sku]),ROW(bhpc_data[sku])),""),ROWS($A$15:A214)+$B$3))),IF($EC$13="",INDEX(bhpc_data[description],SMALL(IF(ISNUMBER(MATCH(bhpc_data[sex],$EC$11,0)),MATCH(ROW(bhpc_data[sku]),ROW(bhpc_data[sku])),""),ROWS($A$15:A214)+$B$3)),INDEX(bhpc_data[description],SMALL(IF(ISNUMBER(MATCH(bhpc_data[sex],$EC$11,0)*MATCH(bhpc_data[size1],$EC$13,0)),MATCH(ROW(bhpc_data[sku]),ROW(bhpc_data[sku])),""),ROWS($A$15:A214)+$B$3)))),IF($EC$11="",IF($EC$13="",INDEX(bhpc_data[description],SMALL(IF(ISNUMBER(MATCH(bhpc_data[category],$EC$9,0)),MATCH(ROW(bhpc_data[sku]),ROW(bhpc_data[sku])),""),ROWS($A$15:A214)+$B$3)),INDEX(bhpc_data[description],SMALL(IF(ISNUMBER(MATCH(bhpc_data[category],$EC$9,0)*MATCH(bhpc_data[size1],$EC$13,0)),MATCH(ROW(bhpc_data[sku]),ROW(bhpc_data[sku])),""),ROWS($A$15:A214)+$B$3))),IF($EC$13="",INDEX(bhpc_data[description],SMALL(IF(ISNUMBER(MATCH(bhpc_data[category],$EC$9,0)*MATCH(bhpc_data[sex],$EC$11,0)),MATCH(ROW(bhpc_data[sku]),ROW(bhpc_data[sku])),""),ROWS($A$15:A214)+$B$3)),INDEX(bhpc_data[description],SMALL(IF(ISNUMBER(MATCH(bhpc_data[category],$EC$9,0)*MATCH(bhpc_data[sex],$EC$11,0)*MATCH(bhpc_data[size1],$EC$13,0)),MATCH(ROW(bhpc_data[sku]),ROW(bhpc_data[sku])),""),ROWS($A$15:A214)+$B$3))))),"")</f>
        <v/>
      </c>
      <c r="EG209" s="263" t="str">
        <f>IFERROR(IF(warehouse[[#This Row],[SKU]]="","",INDEX(inventory[ESISTENZA],MATCH(warehouse[[#This Row],[SKU]],inventory[ARTICOLO],0))),"")</f>
        <v/>
      </c>
      <c r="EH209" s="328"/>
      <c r="EI209" s="328"/>
      <c r="EJ209" s="263"/>
      <c r="EK209" s="113"/>
    </row>
    <row r="210" spans="63:141" x14ac:dyDescent="0.35">
      <c r="BK210" s="450"/>
      <c r="BL210" s="451"/>
      <c r="BM210" s="452"/>
      <c r="BN210" s="451"/>
      <c r="BO210" s="452"/>
      <c r="EE210" s="202" t="str" cm="1">
        <f t="array" ref="EE210">IFERROR(IF($EC$9="",IF($EC$11="",IF($EC$13="",INDEX(bhpc_data[sku],SMALL(MATCH(ROW(bhpc_data[sku]),ROW(bhpc_data[sku])),ROWS($A$15:A215)+$B$3)),INDEX(bhpc_data[sku],SMALL(IF(ISNUMBER(MATCH(bhpc_data[size1],$EC$13,0)),MATCH(ROW(bhpc_data[sku]),ROW(bhpc_data[sku])),""),ROWS($A$15:A215)+$B$3))),IF($EC$13="",INDEX(bhpc_data[sku],SMALL(IF(ISNUMBER(MATCH(bhpc_data[sex],$EC$11,0)),MATCH(ROW(bhpc_data[sku]),ROW(bhpc_data[sku])),""),ROWS($A$15:A215)+$B$3)),INDEX(bhpc_data[sku],SMALL(IF(ISNUMBER(MATCH(bhpc_data[sex],$EC$11,0)*MATCH(bhpc_data[size1],$EC$13,0)),MATCH(ROW(bhpc_data[sku]),ROW(bhpc_data[sku])),""),ROWS($A$15:A215)+$B$3)))),IF($EC$11="",IF($EC$13="",INDEX(bhpc_data[sku],SMALL(IF(ISNUMBER(MATCH(bhpc_data[category],$EC$9,0)),MATCH(ROW(bhpc_data[sku]),ROW(bhpc_data[sku])),""),ROWS($A$15:A215)+$B$3)),INDEX(bhpc_data[sku],SMALL(IF(ISNUMBER(MATCH(bhpc_data[category],$EC$9,0)*MATCH(bhpc_data[size1],$EC$13,0)),MATCH(ROW(bhpc_data[sku]),ROW(bhpc_data[sku])),""),ROWS($A$15:A215)+$B$3))),IF($EC$13="",INDEX(bhpc_data[sku],SMALL(IF(ISNUMBER(MATCH(bhpc_data[category],$EC$9,0)*MATCH(bhpc_data[sex],$EC$11,0)),MATCH(ROW(bhpc_data[sku]),ROW(bhpc_data[sku])),""),ROWS($A$15:A215)+$B$3)),INDEX(bhpc_data[sku],SMALL(IF(ISNUMBER(MATCH(bhpc_data[category],$EC$9,0)*MATCH(bhpc_data[sex],$EC$11,0)*MATCH(bhpc_data[size1],$EC$13,0)),MATCH(ROW(bhpc_data[sku]),ROW(bhpc_data[sku])),""),ROWS($A$15:A215)+$B$3))))),"")</f>
        <v/>
      </c>
      <c r="EF210" s="198" t="str" cm="1">
        <f t="array" ref="EF210">IFERROR(IF($EC$9="",IF($EC$11="",IF($EC$13="",INDEX(bhpc_data[description],SMALL(MATCH(ROW(bhpc_data[sku]),ROW(bhpc_data[sku])),ROWS($A$15:A215)+$B$3)),INDEX(bhpc_data[description],SMALL(IF(ISNUMBER(MATCH(bhpc_data[size1],$EC$13,0)),MATCH(ROW(bhpc_data[sku]),ROW(bhpc_data[sku])),""),ROWS($A$15:A215)+$B$3))),IF($EC$13="",INDEX(bhpc_data[description],SMALL(IF(ISNUMBER(MATCH(bhpc_data[sex],$EC$11,0)),MATCH(ROW(bhpc_data[sku]),ROW(bhpc_data[sku])),""),ROWS($A$15:A215)+$B$3)),INDEX(bhpc_data[description],SMALL(IF(ISNUMBER(MATCH(bhpc_data[sex],$EC$11,0)*MATCH(bhpc_data[size1],$EC$13,0)),MATCH(ROW(bhpc_data[sku]),ROW(bhpc_data[sku])),""),ROWS($A$15:A215)+$B$3)))),IF($EC$11="",IF($EC$13="",INDEX(bhpc_data[description],SMALL(IF(ISNUMBER(MATCH(bhpc_data[category],$EC$9,0)),MATCH(ROW(bhpc_data[sku]),ROW(bhpc_data[sku])),""),ROWS($A$15:A215)+$B$3)),INDEX(bhpc_data[description],SMALL(IF(ISNUMBER(MATCH(bhpc_data[category],$EC$9,0)*MATCH(bhpc_data[size1],$EC$13,0)),MATCH(ROW(bhpc_data[sku]),ROW(bhpc_data[sku])),""),ROWS($A$15:A215)+$B$3))),IF($EC$13="",INDEX(bhpc_data[description],SMALL(IF(ISNUMBER(MATCH(bhpc_data[category],$EC$9,0)*MATCH(bhpc_data[sex],$EC$11,0)),MATCH(ROW(bhpc_data[sku]),ROW(bhpc_data[sku])),""),ROWS($A$15:A215)+$B$3)),INDEX(bhpc_data[description],SMALL(IF(ISNUMBER(MATCH(bhpc_data[category],$EC$9,0)*MATCH(bhpc_data[sex],$EC$11,0)*MATCH(bhpc_data[size1],$EC$13,0)),MATCH(ROW(bhpc_data[sku]),ROW(bhpc_data[sku])),""),ROWS($A$15:A215)+$B$3))))),"")</f>
        <v/>
      </c>
      <c r="EG210" s="263" t="str">
        <f>IFERROR(IF(warehouse[[#This Row],[SKU]]="","",INDEX(inventory[ESISTENZA],MATCH(warehouse[[#This Row],[SKU]],inventory[ARTICOLO],0))),"")</f>
        <v/>
      </c>
      <c r="EH210" s="328"/>
      <c r="EI210" s="328"/>
      <c r="EJ210" s="263"/>
      <c r="EK210" s="113"/>
    </row>
    <row r="211" spans="63:141" x14ac:dyDescent="0.35">
      <c r="BK211" s="450"/>
      <c r="BL211" s="451"/>
      <c r="BM211" s="452"/>
      <c r="BN211" s="451"/>
      <c r="BO211" s="452"/>
      <c r="EE211" s="202" t="str" cm="1">
        <f t="array" ref="EE211">IFERROR(IF($EC$9="",IF($EC$11="",IF($EC$13="",INDEX(bhpc_data[sku],SMALL(MATCH(ROW(bhpc_data[sku]),ROW(bhpc_data[sku])),ROWS($A$15:A216)+$B$3)),INDEX(bhpc_data[sku],SMALL(IF(ISNUMBER(MATCH(bhpc_data[size1],$EC$13,0)),MATCH(ROW(bhpc_data[sku]),ROW(bhpc_data[sku])),""),ROWS($A$15:A216)+$B$3))),IF($EC$13="",INDEX(bhpc_data[sku],SMALL(IF(ISNUMBER(MATCH(bhpc_data[sex],$EC$11,0)),MATCH(ROW(bhpc_data[sku]),ROW(bhpc_data[sku])),""),ROWS($A$15:A216)+$B$3)),INDEX(bhpc_data[sku],SMALL(IF(ISNUMBER(MATCH(bhpc_data[sex],$EC$11,0)*MATCH(bhpc_data[size1],$EC$13,0)),MATCH(ROW(bhpc_data[sku]),ROW(bhpc_data[sku])),""),ROWS($A$15:A216)+$B$3)))),IF($EC$11="",IF($EC$13="",INDEX(bhpc_data[sku],SMALL(IF(ISNUMBER(MATCH(bhpc_data[category],$EC$9,0)),MATCH(ROW(bhpc_data[sku]),ROW(bhpc_data[sku])),""),ROWS($A$15:A216)+$B$3)),INDEX(bhpc_data[sku],SMALL(IF(ISNUMBER(MATCH(bhpc_data[category],$EC$9,0)*MATCH(bhpc_data[size1],$EC$13,0)),MATCH(ROW(bhpc_data[sku]),ROW(bhpc_data[sku])),""),ROWS($A$15:A216)+$B$3))),IF($EC$13="",INDEX(bhpc_data[sku],SMALL(IF(ISNUMBER(MATCH(bhpc_data[category],$EC$9,0)*MATCH(bhpc_data[sex],$EC$11,0)),MATCH(ROW(bhpc_data[sku]),ROW(bhpc_data[sku])),""),ROWS($A$15:A216)+$B$3)),INDEX(bhpc_data[sku],SMALL(IF(ISNUMBER(MATCH(bhpc_data[category],$EC$9,0)*MATCH(bhpc_data[sex],$EC$11,0)*MATCH(bhpc_data[size1],$EC$13,0)),MATCH(ROW(bhpc_data[sku]),ROW(bhpc_data[sku])),""),ROWS($A$15:A216)+$B$3))))),"")</f>
        <v/>
      </c>
      <c r="EF211" s="198" t="str" cm="1">
        <f t="array" ref="EF211">IFERROR(IF($EC$9="",IF($EC$11="",IF($EC$13="",INDEX(bhpc_data[description],SMALL(MATCH(ROW(bhpc_data[sku]),ROW(bhpc_data[sku])),ROWS($A$15:A216)+$B$3)),INDEX(bhpc_data[description],SMALL(IF(ISNUMBER(MATCH(bhpc_data[size1],$EC$13,0)),MATCH(ROW(bhpc_data[sku]),ROW(bhpc_data[sku])),""),ROWS($A$15:A216)+$B$3))),IF($EC$13="",INDEX(bhpc_data[description],SMALL(IF(ISNUMBER(MATCH(bhpc_data[sex],$EC$11,0)),MATCH(ROW(bhpc_data[sku]),ROW(bhpc_data[sku])),""),ROWS($A$15:A216)+$B$3)),INDEX(bhpc_data[description],SMALL(IF(ISNUMBER(MATCH(bhpc_data[sex],$EC$11,0)*MATCH(bhpc_data[size1],$EC$13,0)),MATCH(ROW(bhpc_data[sku]),ROW(bhpc_data[sku])),""),ROWS($A$15:A216)+$B$3)))),IF($EC$11="",IF($EC$13="",INDEX(bhpc_data[description],SMALL(IF(ISNUMBER(MATCH(bhpc_data[category],$EC$9,0)),MATCH(ROW(bhpc_data[sku]),ROW(bhpc_data[sku])),""),ROWS($A$15:A216)+$B$3)),INDEX(bhpc_data[description],SMALL(IF(ISNUMBER(MATCH(bhpc_data[category],$EC$9,0)*MATCH(bhpc_data[size1],$EC$13,0)),MATCH(ROW(bhpc_data[sku]),ROW(bhpc_data[sku])),""),ROWS($A$15:A216)+$B$3))),IF($EC$13="",INDEX(bhpc_data[description],SMALL(IF(ISNUMBER(MATCH(bhpc_data[category],$EC$9,0)*MATCH(bhpc_data[sex],$EC$11,0)),MATCH(ROW(bhpc_data[sku]),ROW(bhpc_data[sku])),""),ROWS($A$15:A216)+$B$3)),INDEX(bhpc_data[description],SMALL(IF(ISNUMBER(MATCH(bhpc_data[category],$EC$9,0)*MATCH(bhpc_data[sex],$EC$11,0)*MATCH(bhpc_data[size1],$EC$13,0)),MATCH(ROW(bhpc_data[sku]),ROW(bhpc_data[sku])),""),ROWS($A$15:A216)+$B$3))))),"")</f>
        <v/>
      </c>
      <c r="EG211" s="263" t="str">
        <f>IFERROR(IF(warehouse[[#This Row],[SKU]]="","",INDEX(inventory[ESISTENZA],MATCH(warehouse[[#This Row],[SKU]],inventory[ARTICOLO],0))),"")</f>
        <v/>
      </c>
      <c r="EH211" s="328"/>
      <c r="EI211" s="328"/>
      <c r="EJ211" s="263"/>
      <c r="EK211" s="113"/>
    </row>
    <row r="212" spans="63:141" x14ac:dyDescent="0.35">
      <c r="BK212" s="450"/>
      <c r="BL212" s="451"/>
      <c r="BM212" s="452"/>
      <c r="BN212" s="451"/>
      <c r="BO212" s="452"/>
      <c r="EE212" s="202" t="str" cm="1">
        <f t="array" ref="EE212">IFERROR(IF($EC$9="",IF($EC$11="",IF($EC$13="",INDEX(bhpc_data[sku],SMALL(MATCH(ROW(bhpc_data[sku]),ROW(bhpc_data[sku])),ROWS($A$15:A217)+$B$3)),INDEX(bhpc_data[sku],SMALL(IF(ISNUMBER(MATCH(bhpc_data[size1],$EC$13,0)),MATCH(ROW(bhpc_data[sku]),ROW(bhpc_data[sku])),""),ROWS($A$15:A217)+$B$3))),IF($EC$13="",INDEX(bhpc_data[sku],SMALL(IF(ISNUMBER(MATCH(bhpc_data[sex],$EC$11,0)),MATCH(ROW(bhpc_data[sku]),ROW(bhpc_data[sku])),""),ROWS($A$15:A217)+$B$3)),INDEX(bhpc_data[sku],SMALL(IF(ISNUMBER(MATCH(bhpc_data[sex],$EC$11,0)*MATCH(bhpc_data[size1],$EC$13,0)),MATCH(ROW(bhpc_data[sku]),ROW(bhpc_data[sku])),""),ROWS($A$15:A217)+$B$3)))),IF($EC$11="",IF($EC$13="",INDEX(bhpc_data[sku],SMALL(IF(ISNUMBER(MATCH(bhpc_data[category],$EC$9,0)),MATCH(ROW(bhpc_data[sku]),ROW(bhpc_data[sku])),""),ROWS($A$15:A217)+$B$3)),INDEX(bhpc_data[sku],SMALL(IF(ISNUMBER(MATCH(bhpc_data[category],$EC$9,0)*MATCH(bhpc_data[size1],$EC$13,0)),MATCH(ROW(bhpc_data[sku]),ROW(bhpc_data[sku])),""),ROWS($A$15:A217)+$B$3))),IF($EC$13="",INDEX(bhpc_data[sku],SMALL(IF(ISNUMBER(MATCH(bhpc_data[category],$EC$9,0)*MATCH(bhpc_data[sex],$EC$11,0)),MATCH(ROW(bhpc_data[sku]),ROW(bhpc_data[sku])),""),ROWS($A$15:A217)+$B$3)),INDEX(bhpc_data[sku],SMALL(IF(ISNUMBER(MATCH(bhpc_data[category],$EC$9,0)*MATCH(bhpc_data[sex],$EC$11,0)*MATCH(bhpc_data[size1],$EC$13,0)),MATCH(ROW(bhpc_data[sku]),ROW(bhpc_data[sku])),""),ROWS($A$15:A217)+$B$3))))),"")</f>
        <v/>
      </c>
      <c r="EF212" s="198" t="str" cm="1">
        <f t="array" ref="EF212">IFERROR(IF($EC$9="",IF($EC$11="",IF($EC$13="",INDEX(bhpc_data[description],SMALL(MATCH(ROW(bhpc_data[sku]),ROW(bhpc_data[sku])),ROWS($A$15:A217)+$B$3)),INDEX(bhpc_data[description],SMALL(IF(ISNUMBER(MATCH(bhpc_data[size1],$EC$13,0)),MATCH(ROW(bhpc_data[sku]),ROW(bhpc_data[sku])),""),ROWS($A$15:A217)+$B$3))),IF($EC$13="",INDEX(bhpc_data[description],SMALL(IF(ISNUMBER(MATCH(bhpc_data[sex],$EC$11,0)),MATCH(ROW(bhpc_data[sku]),ROW(bhpc_data[sku])),""),ROWS($A$15:A217)+$B$3)),INDEX(bhpc_data[description],SMALL(IF(ISNUMBER(MATCH(bhpc_data[sex],$EC$11,0)*MATCH(bhpc_data[size1],$EC$13,0)),MATCH(ROW(bhpc_data[sku]),ROW(bhpc_data[sku])),""),ROWS($A$15:A217)+$B$3)))),IF($EC$11="",IF($EC$13="",INDEX(bhpc_data[description],SMALL(IF(ISNUMBER(MATCH(bhpc_data[category],$EC$9,0)),MATCH(ROW(bhpc_data[sku]),ROW(bhpc_data[sku])),""),ROWS($A$15:A217)+$B$3)),INDEX(bhpc_data[description],SMALL(IF(ISNUMBER(MATCH(bhpc_data[category],$EC$9,0)*MATCH(bhpc_data[size1],$EC$13,0)),MATCH(ROW(bhpc_data[sku]),ROW(bhpc_data[sku])),""),ROWS($A$15:A217)+$B$3))),IF($EC$13="",INDEX(bhpc_data[description],SMALL(IF(ISNUMBER(MATCH(bhpc_data[category],$EC$9,0)*MATCH(bhpc_data[sex],$EC$11,0)),MATCH(ROW(bhpc_data[sku]),ROW(bhpc_data[sku])),""),ROWS($A$15:A217)+$B$3)),INDEX(bhpc_data[description],SMALL(IF(ISNUMBER(MATCH(bhpc_data[category],$EC$9,0)*MATCH(bhpc_data[sex],$EC$11,0)*MATCH(bhpc_data[size1],$EC$13,0)),MATCH(ROW(bhpc_data[sku]),ROW(bhpc_data[sku])),""),ROWS($A$15:A217)+$B$3))))),"")</f>
        <v/>
      </c>
      <c r="EG212" s="263" t="str">
        <f>IFERROR(IF(warehouse[[#This Row],[SKU]]="","",INDEX(inventory[ESISTENZA],MATCH(warehouse[[#This Row],[SKU]],inventory[ARTICOLO],0))),"")</f>
        <v/>
      </c>
      <c r="EH212" s="328"/>
      <c r="EI212" s="328"/>
      <c r="EJ212" s="263"/>
      <c r="EK212" s="113"/>
    </row>
    <row r="213" spans="63:141" x14ac:dyDescent="0.35">
      <c r="BK213" s="450"/>
      <c r="BL213" s="451"/>
      <c r="BM213" s="452"/>
      <c r="BN213" s="451"/>
      <c r="BO213" s="452"/>
      <c r="EE213" s="202" t="str" cm="1">
        <f t="array" ref="EE213">IFERROR(IF($EC$9="",IF($EC$11="",IF($EC$13="",INDEX(bhpc_data[sku],SMALL(MATCH(ROW(bhpc_data[sku]),ROW(bhpc_data[sku])),ROWS($A$15:A218)+$B$3)),INDEX(bhpc_data[sku],SMALL(IF(ISNUMBER(MATCH(bhpc_data[size1],$EC$13,0)),MATCH(ROW(bhpc_data[sku]),ROW(bhpc_data[sku])),""),ROWS($A$15:A218)+$B$3))),IF($EC$13="",INDEX(bhpc_data[sku],SMALL(IF(ISNUMBER(MATCH(bhpc_data[sex],$EC$11,0)),MATCH(ROW(bhpc_data[sku]),ROW(bhpc_data[sku])),""),ROWS($A$15:A218)+$B$3)),INDEX(bhpc_data[sku],SMALL(IF(ISNUMBER(MATCH(bhpc_data[sex],$EC$11,0)*MATCH(bhpc_data[size1],$EC$13,0)),MATCH(ROW(bhpc_data[sku]),ROW(bhpc_data[sku])),""),ROWS($A$15:A218)+$B$3)))),IF($EC$11="",IF($EC$13="",INDEX(bhpc_data[sku],SMALL(IF(ISNUMBER(MATCH(bhpc_data[category],$EC$9,0)),MATCH(ROW(bhpc_data[sku]),ROW(bhpc_data[sku])),""),ROWS($A$15:A218)+$B$3)),INDEX(bhpc_data[sku],SMALL(IF(ISNUMBER(MATCH(bhpc_data[category],$EC$9,0)*MATCH(bhpc_data[size1],$EC$13,0)),MATCH(ROW(bhpc_data[sku]),ROW(bhpc_data[sku])),""),ROWS($A$15:A218)+$B$3))),IF($EC$13="",INDEX(bhpc_data[sku],SMALL(IF(ISNUMBER(MATCH(bhpc_data[category],$EC$9,0)*MATCH(bhpc_data[sex],$EC$11,0)),MATCH(ROW(bhpc_data[sku]),ROW(bhpc_data[sku])),""),ROWS($A$15:A218)+$B$3)),INDEX(bhpc_data[sku],SMALL(IF(ISNUMBER(MATCH(bhpc_data[category],$EC$9,0)*MATCH(bhpc_data[sex],$EC$11,0)*MATCH(bhpc_data[size1],$EC$13,0)),MATCH(ROW(bhpc_data[sku]),ROW(bhpc_data[sku])),""),ROWS($A$15:A218)+$B$3))))),"")</f>
        <v/>
      </c>
      <c r="EF213" s="198" t="str" cm="1">
        <f t="array" ref="EF213">IFERROR(IF($EC$9="",IF($EC$11="",IF($EC$13="",INDEX(bhpc_data[description],SMALL(MATCH(ROW(bhpc_data[sku]),ROW(bhpc_data[sku])),ROWS($A$15:A218)+$B$3)),INDEX(bhpc_data[description],SMALL(IF(ISNUMBER(MATCH(bhpc_data[size1],$EC$13,0)),MATCH(ROW(bhpc_data[sku]),ROW(bhpc_data[sku])),""),ROWS($A$15:A218)+$B$3))),IF($EC$13="",INDEX(bhpc_data[description],SMALL(IF(ISNUMBER(MATCH(bhpc_data[sex],$EC$11,0)),MATCH(ROW(bhpc_data[sku]),ROW(bhpc_data[sku])),""),ROWS($A$15:A218)+$B$3)),INDEX(bhpc_data[description],SMALL(IF(ISNUMBER(MATCH(bhpc_data[sex],$EC$11,0)*MATCH(bhpc_data[size1],$EC$13,0)),MATCH(ROW(bhpc_data[sku]),ROW(bhpc_data[sku])),""),ROWS($A$15:A218)+$B$3)))),IF($EC$11="",IF($EC$13="",INDEX(bhpc_data[description],SMALL(IF(ISNUMBER(MATCH(bhpc_data[category],$EC$9,0)),MATCH(ROW(bhpc_data[sku]),ROW(bhpc_data[sku])),""),ROWS($A$15:A218)+$B$3)),INDEX(bhpc_data[description],SMALL(IF(ISNUMBER(MATCH(bhpc_data[category],$EC$9,0)*MATCH(bhpc_data[size1],$EC$13,0)),MATCH(ROW(bhpc_data[sku]),ROW(bhpc_data[sku])),""),ROWS($A$15:A218)+$B$3))),IF($EC$13="",INDEX(bhpc_data[description],SMALL(IF(ISNUMBER(MATCH(bhpc_data[category],$EC$9,0)*MATCH(bhpc_data[sex],$EC$11,0)),MATCH(ROW(bhpc_data[sku]),ROW(bhpc_data[sku])),""),ROWS($A$15:A218)+$B$3)),INDEX(bhpc_data[description],SMALL(IF(ISNUMBER(MATCH(bhpc_data[category],$EC$9,0)*MATCH(bhpc_data[sex],$EC$11,0)*MATCH(bhpc_data[size1],$EC$13,0)),MATCH(ROW(bhpc_data[sku]),ROW(bhpc_data[sku])),""),ROWS($A$15:A218)+$B$3))))),"")</f>
        <v/>
      </c>
      <c r="EG213" s="263" t="str">
        <f>IFERROR(IF(warehouse[[#This Row],[SKU]]="","",INDEX(inventory[ESISTENZA],MATCH(warehouse[[#This Row],[SKU]],inventory[ARTICOLO],0))),"")</f>
        <v/>
      </c>
      <c r="EH213" s="328"/>
      <c r="EI213" s="328"/>
      <c r="EJ213" s="263"/>
      <c r="EK213" s="113"/>
    </row>
    <row r="214" spans="63:141" x14ac:dyDescent="0.35">
      <c r="BK214" s="450"/>
      <c r="BL214" s="451"/>
      <c r="BM214" s="452"/>
      <c r="BN214" s="451"/>
      <c r="BO214" s="452"/>
      <c r="EE214" s="202" t="str" cm="1">
        <f t="array" ref="EE214">IFERROR(IF($EC$9="",IF($EC$11="",IF($EC$13="",INDEX(bhpc_data[sku],SMALL(MATCH(ROW(bhpc_data[sku]),ROW(bhpc_data[sku])),ROWS($A$15:A219)+$B$3)),INDEX(bhpc_data[sku],SMALL(IF(ISNUMBER(MATCH(bhpc_data[size1],$EC$13,0)),MATCH(ROW(bhpc_data[sku]),ROW(bhpc_data[sku])),""),ROWS($A$15:A219)+$B$3))),IF($EC$13="",INDEX(bhpc_data[sku],SMALL(IF(ISNUMBER(MATCH(bhpc_data[sex],$EC$11,0)),MATCH(ROW(bhpc_data[sku]),ROW(bhpc_data[sku])),""),ROWS($A$15:A219)+$B$3)),INDEX(bhpc_data[sku],SMALL(IF(ISNUMBER(MATCH(bhpc_data[sex],$EC$11,0)*MATCH(bhpc_data[size1],$EC$13,0)),MATCH(ROW(bhpc_data[sku]),ROW(bhpc_data[sku])),""),ROWS($A$15:A219)+$B$3)))),IF($EC$11="",IF($EC$13="",INDEX(bhpc_data[sku],SMALL(IF(ISNUMBER(MATCH(bhpc_data[category],$EC$9,0)),MATCH(ROW(bhpc_data[sku]),ROW(bhpc_data[sku])),""),ROWS($A$15:A219)+$B$3)),INDEX(bhpc_data[sku],SMALL(IF(ISNUMBER(MATCH(bhpc_data[category],$EC$9,0)*MATCH(bhpc_data[size1],$EC$13,0)),MATCH(ROW(bhpc_data[sku]),ROW(bhpc_data[sku])),""),ROWS($A$15:A219)+$B$3))),IF($EC$13="",INDEX(bhpc_data[sku],SMALL(IF(ISNUMBER(MATCH(bhpc_data[category],$EC$9,0)*MATCH(bhpc_data[sex],$EC$11,0)),MATCH(ROW(bhpc_data[sku]),ROW(bhpc_data[sku])),""),ROWS($A$15:A219)+$B$3)),INDEX(bhpc_data[sku],SMALL(IF(ISNUMBER(MATCH(bhpc_data[category],$EC$9,0)*MATCH(bhpc_data[sex],$EC$11,0)*MATCH(bhpc_data[size1],$EC$13,0)),MATCH(ROW(bhpc_data[sku]),ROW(bhpc_data[sku])),""),ROWS($A$15:A219)+$B$3))))),"")</f>
        <v/>
      </c>
      <c r="EF214" s="198" t="str" cm="1">
        <f t="array" ref="EF214">IFERROR(IF($EC$9="",IF($EC$11="",IF($EC$13="",INDEX(bhpc_data[description],SMALL(MATCH(ROW(bhpc_data[sku]),ROW(bhpc_data[sku])),ROWS($A$15:A219)+$B$3)),INDEX(bhpc_data[description],SMALL(IF(ISNUMBER(MATCH(bhpc_data[size1],$EC$13,0)),MATCH(ROW(bhpc_data[sku]),ROW(bhpc_data[sku])),""),ROWS($A$15:A219)+$B$3))),IF($EC$13="",INDEX(bhpc_data[description],SMALL(IF(ISNUMBER(MATCH(bhpc_data[sex],$EC$11,0)),MATCH(ROW(bhpc_data[sku]),ROW(bhpc_data[sku])),""),ROWS($A$15:A219)+$B$3)),INDEX(bhpc_data[description],SMALL(IF(ISNUMBER(MATCH(bhpc_data[sex],$EC$11,0)*MATCH(bhpc_data[size1],$EC$13,0)),MATCH(ROW(bhpc_data[sku]),ROW(bhpc_data[sku])),""),ROWS($A$15:A219)+$B$3)))),IF($EC$11="",IF($EC$13="",INDEX(bhpc_data[description],SMALL(IF(ISNUMBER(MATCH(bhpc_data[category],$EC$9,0)),MATCH(ROW(bhpc_data[sku]),ROW(bhpc_data[sku])),""),ROWS($A$15:A219)+$B$3)),INDEX(bhpc_data[description],SMALL(IF(ISNUMBER(MATCH(bhpc_data[category],$EC$9,0)*MATCH(bhpc_data[size1],$EC$13,0)),MATCH(ROW(bhpc_data[sku]),ROW(bhpc_data[sku])),""),ROWS($A$15:A219)+$B$3))),IF($EC$13="",INDEX(bhpc_data[description],SMALL(IF(ISNUMBER(MATCH(bhpc_data[category],$EC$9,0)*MATCH(bhpc_data[sex],$EC$11,0)),MATCH(ROW(bhpc_data[sku]),ROW(bhpc_data[sku])),""),ROWS($A$15:A219)+$B$3)),INDEX(bhpc_data[description],SMALL(IF(ISNUMBER(MATCH(bhpc_data[category],$EC$9,0)*MATCH(bhpc_data[sex],$EC$11,0)*MATCH(bhpc_data[size1],$EC$13,0)),MATCH(ROW(bhpc_data[sku]),ROW(bhpc_data[sku])),""),ROWS($A$15:A219)+$B$3))))),"")</f>
        <v/>
      </c>
      <c r="EG214" s="263" t="str">
        <f>IFERROR(IF(warehouse[[#This Row],[SKU]]="","",INDEX(inventory[ESISTENZA],MATCH(warehouse[[#This Row],[SKU]],inventory[ARTICOLO],0))),"")</f>
        <v/>
      </c>
      <c r="EH214" s="328"/>
      <c r="EI214" s="328"/>
      <c r="EJ214" s="263"/>
      <c r="EK214" s="113"/>
    </row>
    <row r="215" spans="63:141" x14ac:dyDescent="0.35">
      <c r="BK215" s="450"/>
      <c r="BL215" s="451"/>
      <c r="BM215" s="452"/>
      <c r="BN215" s="451"/>
      <c r="BO215" s="452"/>
      <c r="EE215" s="202" t="str" cm="1">
        <f t="array" ref="EE215">IFERROR(IF($EC$9="",IF($EC$11="",IF($EC$13="",INDEX(bhpc_data[sku],SMALL(MATCH(ROW(bhpc_data[sku]),ROW(bhpc_data[sku])),ROWS($A$15:A220)+$B$3)),INDEX(bhpc_data[sku],SMALL(IF(ISNUMBER(MATCH(bhpc_data[size1],$EC$13,0)),MATCH(ROW(bhpc_data[sku]),ROW(bhpc_data[sku])),""),ROWS($A$15:A220)+$B$3))),IF($EC$13="",INDEX(bhpc_data[sku],SMALL(IF(ISNUMBER(MATCH(bhpc_data[sex],$EC$11,0)),MATCH(ROW(bhpc_data[sku]),ROW(bhpc_data[sku])),""),ROWS($A$15:A220)+$B$3)),INDEX(bhpc_data[sku],SMALL(IF(ISNUMBER(MATCH(bhpc_data[sex],$EC$11,0)*MATCH(bhpc_data[size1],$EC$13,0)),MATCH(ROW(bhpc_data[sku]),ROW(bhpc_data[sku])),""),ROWS($A$15:A220)+$B$3)))),IF($EC$11="",IF($EC$13="",INDEX(bhpc_data[sku],SMALL(IF(ISNUMBER(MATCH(bhpc_data[category],$EC$9,0)),MATCH(ROW(bhpc_data[sku]),ROW(bhpc_data[sku])),""),ROWS($A$15:A220)+$B$3)),INDEX(bhpc_data[sku],SMALL(IF(ISNUMBER(MATCH(bhpc_data[category],$EC$9,0)*MATCH(bhpc_data[size1],$EC$13,0)),MATCH(ROW(bhpc_data[sku]),ROW(bhpc_data[sku])),""),ROWS($A$15:A220)+$B$3))),IF($EC$13="",INDEX(bhpc_data[sku],SMALL(IF(ISNUMBER(MATCH(bhpc_data[category],$EC$9,0)*MATCH(bhpc_data[sex],$EC$11,0)),MATCH(ROW(bhpc_data[sku]),ROW(bhpc_data[sku])),""),ROWS($A$15:A220)+$B$3)),INDEX(bhpc_data[sku],SMALL(IF(ISNUMBER(MATCH(bhpc_data[category],$EC$9,0)*MATCH(bhpc_data[sex],$EC$11,0)*MATCH(bhpc_data[size1],$EC$13,0)),MATCH(ROW(bhpc_data[sku]),ROW(bhpc_data[sku])),""),ROWS($A$15:A220)+$B$3))))),"")</f>
        <v/>
      </c>
      <c r="EF215" s="198" t="str" cm="1">
        <f t="array" ref="EF215">IFERROR(IF($EC$9="",IF($EC$11="",IF($EC$13="",INDEX(bhpc_data[description],SMALL(MATCH(ROW(bhpc_data[sku]),ROW(bhpc_data[sku])),ROWS($A$15:A220)+$B$3)),INDEX(bhpc_data[description],SMALL(IF(ISNUMBER(MATCH(bhpc_data[size1],$EC$13,0)),MATCH(ROW(bhpc_data[sku]),ROW(bhpc_data[sku])),""),ROWS($A$15:A220)+$B$3))),IF($EC$13="",INDEX(bhpc_data[description],SMALL(IF(ISNUMBER(MATCH(bhpc_data[sex],$EC$11,0)),MATCH(ROW(bhpc_data[sku]),ROW(bhpc_data[sku])),""),ROWS($A$15:A220)+$B$3)),INDEX(bhpc_data[description],SMALL(IF(ISNUMBER(MATCH(bhpc_data[sex],$EC$11,0)*MATCH(bhpc_data[size1],$EC$13,0)),MATCH(ROW(bhpc_data[sku]),ROW(bhpc_data[sku])),""),ROWS($A$15:A220)+$B$3)))),IF($EC$11="",IF($EC$13="",INDEX(bhpc_data[description],SMALL(IF(ISNUMBER(MATCH(bhpc_data[category],$EC$9,0)),MATCH(ROW(bhpc_data[sku]),ROW(bhpc_data[sku])),""),ROWS($A$15:A220)+$B$3)),INDEX(bhpc_data[description],SMALL(IF(ISNUMBER(MATCH(bhpc_data[category],$EC$9,0)*MATCH(bhpc_data[size1],$EC$13,0)),MATCH(ROW(bhpc_data[sku]),ROW(bhpc_data[sku])),""),ROWS($A$15:A220)+$B$3))),IF($EC$13="",INDEX(bhpc_data[description],SMALL(IF(ISNUMBER(MATCH(bhpc_data[category],$EC$9,0)*MATCH(bhpc_data[sex],$EC$11,0)),MATCH(ROW(bhpc_data[sku]),ROW(bhpc_data[sku])),""),ROWS($A$15:A220)+$B$3)),INDEX(bhpc_data[description],SMALL(IF(ISNUMBER(MATCH(bhpc_data[category],$EC$9,0)*MATCH(bhpc_data[sex],$EC$11,0)*MATCH(bhpc_data[size1],$EC$13,0)),MATCH(ROW(bhpc_data[sku]),ROW(bhpc_data[sku])),""),ROWS($A$15:A220)+$B$3))))),"")</f>
        <v/>
      </c>
      <c r="EG215" s="263" t="str">
        <f>IFERROR(IF(warehouse[[#This Row],[SKU]]="","",INDEX(inventory[ESISTENZA],MATCH(warehouse[[#This Row],[SKU]],inventory[ARTICOLO],0))),"")</f>
        <v/>
      </c>
      <c r="EH215" s="328"/>
      <c r="EI215" s="328"/>
      <c r="EJ215" s="263"/>
      <c r="EK215" s="113"/>
    </row>
    <row r="216" spans="63:141" x14ac:dyDescent="0.35">
      <c r="BK216" s="450"/>
      <c r="BL216" s="451"/>
      <c r="BM216" s="452"/>
      <c r="BN216" s="451"/>
      <c r="BO216" s="452"/>
      <c r="EE216" s="202" t="str" cm="1">
        <f t="array" ref="EE216">IFERROR(IF($EC$9="",IF($EC$11="",IF($EC$13="",INDEX(bhpc_data[sku],SMALL(MATCH(ROW(bhpc_data[sku]),ROW(bhpc_data[sku])),ROWS($A$15:A221)+$B$3)),INDEX(bhpc_data[sku],SMALL(IF(ISNUMBER(MATCH(bhpc_data[size1],$EC$13,0)),MATCH(ROW(bhpc_data[sku]),ROW(bhpc_data[sku])),""),ROWS($A$15:A221)+$B$3))),IF($EC$13="",INDEX(bhpc_data[sku],SMALL(IF(ISNUMBER(MATCH(bhpc_data[sex],$EC$11,0)),MATCH(ROW(bhpc_data[sku]),ROW(bhpc_data[sku])),""),ROWS($A$15:A221)+$B$3)),INDEX(bhpc_data[sku],SMALL(IF(ISNUMBER(MATCH(bhpc_data[sex],$EC$11,0)*MATCH(bhpc_data[size1],$EC$13,0)),MATCH(ROW(bhpc_data[sku]),ROW(bhpc_data[sku])),""),ROWS($A$15:A221)+$B$3)))),IF($EC$11="",IF($EC$13="",INDEX(bhpc_data[sku],SMALL(IF(ISNUMBER(MATCH(bhpc_data[category],$EC$9,0)),MATCH(ROW(bhpc_data[sku]),ROW(bhpc_data[sku])),""),ROWS($A$15:A221)+$B$3)),INDEX(bhpc_data[sku],SMALL(IF(ISNUMBER(MATCH(bhpc_data[category],$EC$9,0)*MATCH(bhpc_data[size1],$EC$13,0)),MATCH(ROW(bhpc_data[sku]),ROW(bhpc_data[sku])),""),ROWS($A$15:A221)+$B$3))),IF($EC$13="",INDEX(bhpc_data[sku],SMALL(IF(ISNUMBER(MATCH(bhpc_data[category],$EC$9,0)*MATCH(bhpc_data[sex],$EC$11,0)),MATCH(ROW(bhpc_data[sku]),ROW(bhpc_data[sku])),""),ROWS($A$15:A221)+$B$3)),INDEX(bhpc_data[sku],SMALL(IF(ISNUMBER(MATCH(bhpc_data[category],$EC$9,0)*MATCH(bhpc_data[sex],$EC$11,0)*MATCH(bhpc_data[size1],$EC$13,0)),MATCH(ROW(bhpc_data[sku]),ROW(bhpc_data[sku])),""),ROWS($A$15:A221)+$B$3))))),"")</f>
        <v/>
      </c>
      <c r="EF216" s="198" t="str" cm="1">
        <f t="array" ref="EF216">IFERROR(IF($EC$9="",IF($EC$11="",IF($EC$13="",INDEX(bhpc_data[description],SMALL(MATCH(ROW(bhpc_data[sku]),ROW(bhpc_data[sku])),ROWS($A$15:A221)+$B$3)),INDEX(bhpc_data[description],SMALL(IF(ISNUMBER(MATCH(bhpc_data[size1],$EC$13,0)),MATCH(ROW(bhpc_data[sku]),ROW(bhpc_data[sku])),""),ROWS($A$15:A221)+$B$3))),IF($EC$13="",INDEX(bhpc_data[description],SMALL(IF(ISNUMBER(MATCH(bhpc_data[sex],$EC$11,0)),MATCH(ROW(bhpc_data[sku]),ROW(bhpc_data[sku])),""),ROWS($A$15:A221)+$B$3)),INDEX(bhpc_data[description],SMALL(IF(ISNUMBER(MATCH(bhpc_data[sex],$EC$11,0)*MATCH(bhpc_data[size1],$EC$13,0)),MATCH(ROW(bhpc_data[sku]),ROW(bhpc_data[sku])),""),ROWS($A$15:A221)+$B$3)))),IF($EC$11="",IF($EC$13="",INDEX(bhpc_data[description],SMALL(IF(ISNUMBER(MATCH(bhpc_data[category],$EC$9,0)),MATCH(ROW(bhpc_data[sku]),ROW(bhpc_data[sku])),""),ROWS($A$15:A221)+$B$3)),INDEX(bhpc_data[description],SMALL(IF(ISNUMBER(MATCH(bhpc_data[category],$EC$9,0)*MATCH(bhpc_data[size1],$EC$13,0)),MATCH(ROW(bhpc_data[sku]),ROW(bhpc_data[sku])),""),ROWS($A$15:A221)+$B$3))),IF($EC$13="",INDEX(bhpc_data[description],SMALL(IF(ISNUMBER(MATCH(bhpc_data[category],$EC$9,0)*MATCH(bhpc_data[sex],$EC$11,0)),MATCH(ROW(bhpc_data[sku]),ROW(bhpc_data[sku])),""),ROWS($A$15:A221)+$B$3)),INDEX(bhpc_data[description],SMALL(IF(ISNUMBER(MATCH(bhpc_data[category],$EC$9,0)*MATCH(bhpc_data[sex],$EC$11,0)*MATCH(bhpc_data[size1],$EC$13,0)),MATCH(ROW(bhpc_data[sku]),ROW(bhpc_data[sku])),""),ROWS($A$15:A221)+$B$3))))),"")</f>
        <v/>
      </c>
      <c r="EG216" s="263" t="str">
        <f>IFERROR(IF(warehouse[[#This Row],[SKU]]="","",INDEX(inventory[ESISTENZA],MATCH(warehouse[[#This Row],[SKU]],inventory[ARTICOLO],0))),"")</f>
        <v/>
      </c>
      <c r="EH216" s="328"/>
      <c r="EI216" s="328"/>
      <c r="EJ216" s="263"/>
      <c r="EK216" s="113"/>
    </row>
    <row r="217" spans="63:141" x14ac:dyDescent="0.35">
      <c r="BK217" s="450"/>
      <c r="BL217" s="451"/>
      <c r="BM217" s="452"/>
      <c r="BN217" s="451"/>
      <c r="BO217" s="452"/>
      <c r="EE217" s="202" t="str" cm="1">
        <f t="array" ref="EE217">IFERROR(IF($EC$9="",IF($EC$11="",IF($EC$13="",INDEX(bhpc_data[sku],SMALL(MATCH(ROW(bhpc_data[sku]),ROW(bhpc_data[sku])),ROWS($A$15:A222)+$B$3)),INDEX(bhpc_data[sku],SMALL(IF(ISNUMBER(MATCH(bhpc_data[size1],$EC$13,0)),MATCH(ROW(bhpc_data[sku]),ROW(bhpc_data[sku])),""),ROWS($A$15:A222)+$B$3))),IF($EC$13="",INDEX(bhpc_data[sku],SMALL(IF(ISNUMBER(MATCH(bhpc_data[sex],$EC$11,0)),MATCH(ROW(bhpc_data[sku]),ROW(bhpc_data[sku])),""),ROWS($A$15:A222)+$B$3)),INDEX(bhpc_data[sku],SMALL(IF(ISNUMBER(MATCH(bhpc_data[sex],$EC$11,0)*MATCH(bhpc_data[size1],$EC$13,0)),MATCH(ROW(bhpc_data[sku]),ROW(bhpc_data[sku])),""),ROWS($A$15:A222)+$B$3)))),IF($EC$11="",IF($EC$13="",INDEX(bhpc_data[sku],SMALL(IF(ISNUMBER(MATCH(bhpc_data[category],$EC$9,0)),MATCH(ROW(bhpc_data[sku]),ROW(bhpc_data[sku])),""),ROWS($A$15:A222)+$B$3)),INDEX(bhpc_data[sku],SMALL(IF(ISNUMBER(MATCH(bhpc_data[category],$EC$9,0)*MATCH(bhpc_data[size1],$EC$13,0)),MATCH(ROW(bhpc_data[sku]),ROW(bhpc_data[sku])),""),ROWS($A$15:A222)+$B$3))),IF($EC$13="",INDEX(bhpc_data[sku],SMALL(IF(ISNUMBER(MATCH(bhpc_data[category],$EC$9,0)*MATCH(bhpc_data[sex],$EC$11,0)),MATCH(ROW(bhpc_data[sku]),ROW(bhpc_data[sku])),""),ROWS($A$15:A222)+$B$3)),INDEX(bhpc_data[sku],SMALL(IF(ISNUMBER(MATCH(bhpc_data[category],$EC$9,0)*MATCH(bhpc_data[sex],$EC$11,0)*MATCH(bhpc_data[size1],$EC$13,0)),MATCH(ROW(bhpc_data[sku]),ROW(bhpc_data[sku])),""),ROWS($A$15:A222)+$B$3))))),"")</f>
        <v/>
      </c>
      <c r="EF217" s="198" t="str" cm="1">
        <f t="array" ref="EF217">IFERROR(IF($EC$9="",IF($EC$11="",IF($EC$13="",INDEX(bhpc_data[description],SMALL(MATCH(ROW(bhpc_data[sku]),ROW(bhpc_data[sku])),ROWS($A$15:A222)+$B$3)),INDEX(bhpc_data[description],SMALL(IF(ISNUMBER(MATCH(bhpc_data[size1],$EC$13,0)),MATCH(ROW(bhpc_data[sku]),ROW(bhpc_data[sku])),""),ROWS($A$15:A222)+$B$3))),IF($EC$13="",INDEX(bhpc_data[description],SMALL(IF(ISNUMBER(MATCH(bhpc_data[sex],$EC$11,0)),MATCH(ROW(bhpc_data[sku]),ROW(bhpc_data[sku])),""),ROWS($A$15:A222)+$B$3)),INDEX(bhpc_data[description],SMALL(IF(ISNUMBER(MATCH(bhpc_data[sex],$EC$11,0)*MATCH(bhpc_data[size1],$EC$13,0)),MATCH(ROW(bhpc_data[sku]),ROW(bhpc_data[sku])),""),ROWS($A$15:A222)+$B$3)))),IF($EC$11="",IF($EC$13="",INDEX(bhpc_data[description],SMALL(IF(ISNUMBER(MATCH(bhpc_data[category],$EC$9,0)),MATCH(ROW(bhpc_data[sku]),ROW(bhpc_data[sku])),""),ROWS($A$15:A222)+$B$3)),INDEX(bhpc_data[description],SMALL(IF(ISNUMBER(MATCH(bhpc_data[category],$EC$9,0)*MATCH(bhpc_data[size1],$EC$13,0)),MATCH(ROW(bhpc_data[sku]),ROW(bhpc_data[sku])),""),ROWS($A$15:A222)+$B$3))),IF($EC$13="",INDEX(bhpc_data[description],SMALL(IF(ISNUMBER(MATCH(bhpc_data[category],$EC$9,0)*MATCH(bhpc_data[sex],$EC$11,0)),MATCH(ROW(bhpc_data[sku]),ROW(bhpc_data[sku])),""),ROWS($A$15:A222)+$B$3)),INDEX(bhpc_data[description],SMALL(IF(ISNUMBER(MATCH(bhpc_data[category],$EC$9,0)*MATCH(bhpc_data[sex],$EC$11,0)*MATCH(bhpc_data[size1],$EC$13,0)),MATCH(ROW(bhpc_data[sku]),ROW(bhpc_data[sku])),""),ROWS($A$15:A222)+$B$3))))),"")</f>
        <v/>
      </c>
      <c r="EG217" s="263" t="str">
        <f>IFERROR(IF(warehouse[[#This Row],[SKU]]="","",INDEX(inventory[ESISTENZA],MATCH(warehouse[[#This Row],[SKU]],inventory[ARTICOLO],0))),"")</f>
        <v/>
      </c>
      <c r="EH217" s="328"/>
      <c r="EI217" s="328"/>
      <c r="EJ217" s="263"/>
      <c r="EK217" s="113"/>
    </row>
    <row r="218" spans="63:141" x14ac:dyDescent="0.35">
      <c r="BK218" s="450"/>
      <c r="BL218" s="451"/>
      <c r="BM218" s="452"/>
      <c r="BN218" s="451"/>
      <c r="BO218" s="452"/>
      <c r="EE218" s="202" t="str" cm="1">
        <f t="array" ref="EE218">IFERROR(IF($EC$9="",IF($EC$11="",IF($EC$13="",INDEX(bhpc_data[sku],SMALL(MATCH(ROW(bhpc_data[sku]),ROW(bhpc_data[sku])),ROWS($A$15:A223)+$B$3)),INDEX(bhpc_data[sku],SMALL(IF(ISNUMBER(MATCH(bhpc_data[size1],$EC$13,0)),MATCH(ROW(bhpc_data[sku]),ROW(bhpc_data[sku])),""),ROWS($A$15:A223)+$B$3))),IF($EC$13="",INDEX(bhpc_data[sku],SMALL(IF(ISNUMBER(MATCH(bhpc_data[sex],$EC$11,0)),MATCH(ROW(bhpc_data[sku]),ROW(bhpc_data[sku])),""),ROWS($A$15:A223)+$B$3)),INDEX(bhpc_data[sku],SMALL(IF(ISNUMBER(MATCH(bhpc_data[sex],$EC$11,0)*MATCH(bhpc_data[size1],$EC$13,0)),MATCH(ROW(bhpc_data[sku]),ROW(bhpc_data[sku])),""),ROWS($A$15:A223)+$B$3)))),IF($EC$11="",IF($EC$13="",INDEX(bhpc_data[sku],SMALL(IF(ISNUMBER(MATCH(bhpc_data[category],$EC$9,0)),MATCH(ROW(bhpc_data[sku]),ROW(bhpc_data[sku])),""),ROWS($A$15:A223)+$B$3)),INDEX(bhpc_data[sku],SMALL(IF(ISNUMBER(MATCH(bhpc_data[category],$EC$9,0)*MATCH(bhpc_data[size1],$EC$13,0)),MATCH(ROW(bhpc_data[sku]),ROW(bhpc_data[sku])),""),ROWS($A$15:A223)+$B$3))),IF($EC$13="",INDEX(bhpc_data[sku],SMALL(IF(ISNUMBER(MATCH(bhpc_data[category],$EC$9,0)*MATCH(bhpc_data[sex],$EC$11,0)),MATCH(ROW(bhpc_data[sku]),ROW(bhpc_data[sku])),""),ROWS($A$15:A223)+$B$3)),INDEX(bhpc_data[sku],SMALL(IF(ISNUMBER(MATCH(bhpc_data[category],$EC$9,0)*MATCH(bhpc_data[sex],$EC$11,0)*MATCH(bhpc_data[size1],$EC$13,0)),MATCH(ROW(bhpc_data[sku]),ROW(bhpc_data[sku])),""),ROWS($A$15:A223)+$B$3))))),"")</f>
        <v/>
      </c>
      <c r="EF218" s="198" t="str" cm="1">
        <f t="array" ref="EF218">IFERROR(IF($EC$9="",IF($EC$11="",IF($EC$13="",INDEX(bhpc_data[description],SMALL(MATCH(ROW(bhpc_data[sku]),ROW(bhpc_data[sku])),ROWS($A$15:A223)+$B$3)),INDEX(bhpc_data[description],SMALL(IF(ISNUMBER(MATCH(bhpc_data[size1],$EC$13,0)),MATCH(ROW(bhpc_data[sku]),ROW(bhpc_data[sku])),""),ROWS($A$15:A223)+$B$3))),IF($EC$13="",INDEX(bhpc_data[description],SMALL(IF(ISNUMBER(MATCH(bhpc_data[sex],$EC$11,0)),MATCH(ROW(bhpc_data[sku]),ROW(bhpc_data[sku])),""),ROWS($A$15:A223)+$B$3)),INDEX(bhpc_data[description],SMALL(IF(ISNUMBER(MATCH(bhpc_data[sex],$EC$11,0)*MATCH(bhpc_data[size1],$EC$13,0)),MATCH(ROW(bhpc_data[sku]),ROW(bhpc_data[sku])),""),ROWS($A$15:A223)+$B$3)))),IF($EC$11="",IF($EC$13="",INDEX(bhpc_data[description],SMALL(IF(ISNUMBER(MATCH(bhpc_data[category],$EC$9,0)),MATCH(ROW(bhpc_data[sku]),ROW(bhpc_data[sku])),""),ROWS($A$15:A223)+$B$3)),INDEX(bhpc_data[description],SMALL(IF(ISNUMBER(MATCH(bhpc_data[category],$EC$9,0)*MATCH(bhpc_data[size1],$EC$13,0)),MATCH(ROW(bhpc_data[sku]),ROW(bhpc_data[sku])),""),ROWS($A$15:A223)+$B$3))),IF($EC$13="",INDEX(bhpc_data[description],SMALL(IF(ISNUMBER(MATCH(bhpc_data[category],$EC$9,0)*MATCH(bhpc_data[sex],$EC$11,0)),MATCH(ROW(bhpc_data[sku]),ROW(bhpc_data[sku])),""),ROWS($A$15:A223)+$B$3)),INDEX(bhpc_data[description],SMALL(IF(ISNUMBER(MATCH(bhpc_data[category],$EC$9,0)*MATCH(bhpc_data[sex],$EC$11,0)*MATCH(bhpc_data[size1],$EC$13,0)),MATCH(ROW(bhpc_data[sku]),ROW(bhpc_data[sku])),""),ROWS($A$15:A223)+$B$3))))),"")</f>
        <v/>
      </c>
      <c r="EG218" s="263" t="str">
        <f>IFERROR(IF(warehouse[[#This Row],[SKU]]="","",INDEX(inventory[ESISTENZA],MATCH(warehouse[[#This Row],[SKU]],inventory[ARTICOLO],0))),"")</f>
        <v/>
      </c>
      <c r="EH218" s="328"/>
      <c r="EI218" s="328"/>
      <c r="EJ218" s="263"/>
      <c r="EK218" s="113"/>
    </row>
    <row r="219" spans="63:141" x14ac:dyDescent="0.35">
      <c r="BK219" s="450"/>
      <c r="BL219" s="451"/>
      <c r="BM219" s="452"/>
      <c r="BN219" s="451"/>
      <c r="BO219" s="452"/>
      <c r="EE219" s="202" t="str" cm="1">
        <f t="array" ref="EE219">IFERROR(IF($EC$9="",IF($EC$11="",IF($EC$13="",INDEX(bhpc_data[sku],SMALL(MATCH(ROW(bhpc_data[sku]),ROW(bhpc_data[sku])),ROWS($A$15:A224)+$B$3)),INDEX(bhpc_data[sku],SMALL(IF(ISNUMBER(MATCH(bhpc_data[size1],$EC$13,0)),MATCH(ROW(bhpc_data[sku]),ROW(bhpc_data[sku])),""),ROWS($A$15:A224)+$B$3))),IF($EC$13="",INDEX(bhpc_data[sku],SMALL(IF(ISNUMBER(MATCH(bhpc_data[sex],$EC$11,0)),MATCH(ROW(bhpc_data[sku]),ROW(bhpc_data[sku])),""),ROWS($A$15:A224)+$B$3)),INDEX(bhpc_data[sku],SMALL(IF(ISNUMBER(MATCH(bhpc_data[sex],$EC$11,0)*MATCH(bhpc_data[size1],$EC$13,0)),MATCH(ROW(bhpc_data[sku]),ROW(bhpc_data[sku])),""),ROWS($A$15:A224)+$B$3)))),IF($EC$11="",IF($EC$13="",INDEX(bhpc_data[sku],SMALL(IF(ISNUMBER(MATCH(bhpc_data[category],$EC$9,0)),MATCH(ROW(bhpc_data[sku]),ROW(bhpc_data[sku])),""),ROWS($A$15:A224)+$B$3)),INDEX(bhpc_data[sku],SMALL(IF(ISNUMBER(MATCH(bhpc_data[category],$EC$9,0)*MATCH(bhpc_data[size1],$EC$13,0)),MATCH(ROW(bhpc_data[sku]),ROW(bhpc_data[sku])),""),ROWS($A$15:A224)+$B$3))),IF($EC$13="",INDEX(bhpc_data[sku],SMALL(IF(ISNUMBER(MATCH(bhpc_data[category],$EC$9,0)*MATCH(bhpc_data[sex],$EC$11,0)),MATCH(ROW(bhpc_data[sku]),ROW(bhpc_data[sku])),""),ROWS($A$15:A224)+$B$3)),INDEX(bhpc_data[sku],SMALL(IF(ISNUMBER(MATCH(bhpc_data[category],$EC$9,0)*MATCH(bhpc_data[sex],$EC$11,0)*MATCH(bhpc_data[size1],$EC$13,0)),MATCH(ROW(bhpc_data[sku]),ROW(bhpc_data[sku])),""),ROWS($A$15:A224)+$B$3))))),"")</f>
        <v/>
      </c>
      <c r="EF219" s="198" t="str" cm="1">
        <f t="array" ref="EF219">IFERROR(IF($EC$9="",IF($EC$11="",IF($EC$13="",INDEX(bhpc_data[description],SMALL(MATCH(ROW(bhpc_data[sku]),ROW(bhpc_data[sku])),ROWS($A$15:A224)+$B$3)),INDEX(bhpc_data[description],SMALL(IF(ISNUMBER(MATCH(bhpc_data[size1],$EC$13,0)),MATCH(ROW(bhpc_data[sku]),ROW(bhpc_data[sku])),""),ROWS($A$15:A224)+$B$3))),IF($EC$13="",INDEX(bhpc_data[description],SMALL(IF(ISNUMBER(MATCH(bhpc_data[sex],$EC$11,0)),MATCH(ROW(bhpc_data[sku]),ROW(bhpc_data[sku])),""),ROWS($A$15:A224)+$B$3)),INDEX(bhpc_data[description],SMALL(IF(ISNUMBER(MATCH(bhpc_data[sex],$EC$11,0)*MATCH(bhpc_data[size1],$EC$13,0)),MATCH(ROW(bhpc_data[sku]),ROW(bhpc_data[sku])),""),ROWS($A$15:A224)+$B$3)))),IF($EC$11="",IF($EC$13="",INDEX(bhpc_data[description],SMALL(IF(ISNUMBER(MATCH(bhpc_data[category],$EC$9,0)),MATCH(ROW(bhpc_data[sku]),ROW(bhpc_data[sku])),""),ROWS($A$15:A224)+$B$3)),INDEX(bhpc_data[description],SMALL(IF(ISNUMBER(MATCH(bhpc_data[category],$EC$9,0)*MATCH(bhpc_data[size1],$EC$13,0)),MATCH(ROW(bhpc_data[sku]),ROW(bhpc_data[sku])),""),ROWS($A$15:A224)+$B$3))),IF($EC$13="",INDEX(bhpc_data[description],SMALL(IF(ISNUMBER(MATCH(bhpc_data[category],$EC$9,0)*MATCH(bhpc_data[sex],$EC$11,0)),MATCH(ROW(bhpc_data[sku]),ROW(bhpc_data[sku])),""),ROWS($A$15:A224)+$B$3)),INDEX(bhpc_data[description],SMALL(IF(ISNUMBER(MATCH(bhpc_data[category],$EC$9,0)*MATCH(bhpc_data[sex],$EC$11,0)*MATCH(bhpc_data[size1],$EC$13,0)),MATCH(ROW(bhpc_data[sku]),ROW(bhpc_data[sku])),""),ROWS($A$15:A224)+$B$3))))),"")</f>
        <v/>
      </c>
      <c r="EG219" s="263" t="str">
        <f>IFERROR(IF(warehouse[[#This Row],[SKU]]="","",INDEX(inventory[ESISTENZA],MATCH(warehouse[[#This Row],[SKU]],inventory[ARTICOLO],0))),"")</f>
        <v/>
      </c>
      <c r="EH219" s="328"/>
      <c r="EI219" s="328"/>
      <c r="EJ219" s="263"/>
      <c r="EK219" s="113"/>
    </row>
    <row r="220" spans="63:141" x14ac:dyDescent="0.35">
      <c r="BK220" s="450"/>
      <c r="BL220" s="451"/>
      <c r="BM220" s="452"/>
      <c r="BN220" s="451"/>
      <c r="BO220" s="452"/>
      <c r="EE220" s="202" t="str" cm="1">
        <f t="array" ref="EE220">IFERROR(IF($EC$9="",IF($EC$11="",IF($EC$13="",INDEX(bhpc_data[sku],SMALL(MATCH(ROW(bhpc_data[sku]),ROW(bhpc_data[sku])),ROWS($A$15:A225)+$B$3)),INDEX(bhpc_data[sku],SMALL(IF(ISNUMBER(MATCH(bhpc_data[size1],$EC$13,0)),MATCH(ROW(bhpc_data[sku]),ROW(bhpc_data[sku])),""),ROWS($A$15:A225)+$B$3))),IF($EC$13="",INDEX(bhpc_data[sku],SMALL(IF(ISNUMBER(MATCH(bhpc_data[sex],$EC$11,0)),MATCH(ROW(bhpc_data[sku]),ROW(bhpc_data[sku])),""),ROWS($A$15:A225)+$B$3)),INDEX(bhpc_data[sku],SMALL(IF(ISNUMBER(MATCH(bhpc_data[sex],$EC$11,0)*MATCH(bhpc_data[size1],$EC$13,0)),MATCH(ROW(bhpc_data[sku]),ROW(bhpc_data[sku])),""),ROWS($A$15:A225)+$B$3)))),IF($EC$11="",IF($EC$13="",INDEX(bhpc_data[sku],SMALL(IF(ISNUMBER(MATCH(bhpc_data[category],$EC$9,0)),MATCH(ROW(bhpc_data[sku]),ROW(bhpc_data[sku])),""),ROWS($A$15:A225)+$B$3)),INDEX(bhpc_data[sku],SMALL(IF(ISNUMBER(MATCH(bhpc_data[category],$EC$9,0)*MATCH(bhpc_data[size1],$EC$13,0)),MATCH(ROW(bhpc_data[sku]),ROW(bhpc_data[sku])),""),ROWS($A$15:A225)+$B$3))),IF($EC$13="",INDEX(bhpc_data[sku],SMALL(IF(ISNUMBER(MATCH(bhpc_data[category],$EC$9,0)*MATCH(bhpc_data[sex],$EC$11,0)),MATCH(ROW(bhpc_data[sku]),ROW(bhpc_data[sku])),""),ROWS($A$15:A225)+$B$3)),INDEX(bhpc_data[sku],SMALL(IF(ISNUMBER(MATCH(bhpc_data[category],$EC$9,0)*MATCH(bhpc_data[sex],$EC$11,0)*MATCH(bhpc_data[size1],$EC$13,0)),MATCH(ROW(bhpc_data[sku]),ROW(bhpc_data[sku])),""),ROWS($A$15:A225)+$B$3))))),"")</f>
        <v/>
      </c>
      <c r="EF220" s="198" t="str" cm="1">
        <f t="array" ref="EF220">IFERROR(IF($EC$9="",IF($EC$11="",IF($EC$13="",INDEX(bhpc_data[description],SMALL(MATCH(ROW(bhpc_data[sku]),ROW(bhpc_data[sku])),ROWS($A$15:A225)+$B$3)),INDEX(bhpc_data[description],SMALL(IF(ISNUMBER(MATCH(bhpc_data[size1],$EC$13,0)),MATCH(ROW(bhpc_data[sku]),ROW(bhpc_data[sku])),""),ROWS($A$15:A225)+$B$3))),IF($EC$13="",INDEX(bhpc_data[description],SMALL(IF(ISNUMBER(MATCH(bhpc_data[sex],$EC$11,0)),MATCH(ROW(bhpc_data[sku]),ROW(bhpc_data[sku])),""),ROWS($A$15:A225)+$B$3)),INDEX(bhpc_data[description],SMALL(IF(ISNUMBER(MATCH(bhpc_data[sex],$EC$11,0)*MATCH(bhpc_data[size1],$EC$13,0)),MATCH(ROW(bhpc_data[sku]),ROW(bhpc_data[sku])),""),ROWS($A$15:A225)+$B$3)))),IF($EC$11="",IF($EC$13="",INDEX(bhpc_data[description],SMALL(IF(ISNUMBER(MATCH(bhpc_data[category],$EC$9,0)),MATCH(ROW(bhpc_data[sku]),ROW(bhpc_data[sku])),""),ROWS($A$15:A225)+$B$3)),INDEX(bhpc_data[description],SMALL(IF(ISNUMBER(MATCH(bhpc_data[category],$EC$9,0)*MATCH(bhpc_data[size1],$EC$13,0)),MATCH(ROW(bhpc_data[sku]),ROW(bhpc_data[sku])),""),ROWS($A$15:A225)+$B$3))),IF($EC$13="",INDEX(bhpc_data[description],SMALL(IF(ISNUMBER(MATCH(bhpc_data[category],$EC$9,0)*MATCH(bhpc_data[sex],$EC$11,0)),MATCH(ROW(bhpc_data[sku]),ROW(bhpc_data[sku])),""),ROWS($A$15:A225)+$B$3)),INDEX(bhpc_data[description],SMALL(IF(ISNUMBER(MATCH(bhpc_data[category],$EC$9,0)*MATCH(bhpc_data[sex],$EC$11,0)*MATCH(bhpc_data[size1],$EC$13,0)),MATCH(ROW(bhpc_data[sku]),ROW(bhpc_data[sku])),""),ROWS($A$15:A225)+$B$3))))),"")</f>
        <v/>
      </c>
      <c r="EG220" s="263" t="str">
        <f>IFERROR(IF(warehouse[[#This Row],[SKU]]="","",INDEX(inventory[ESISTENZA],MATCH(warehouse[[#This Row],[SKU]],inventory[ARTICOLO],0))),"")</f>
        <v/>
      </c>
      <c r="EH220" s="328"/>
      <c r="EI220" s="328"/>
      <c r="EJ220" s="263"/>
      <c r="EK220" s="113"/>
    </row>
    <row r="221" spans="63:141" x14ac:dyDescent="0.35">
      <c r="BK221" s="450"/>
      <c r="BL221" s="451"/>
      <c r="BM221" s="452"/>
      <c r="BN221" s="451"/>
      <c r="BO221" s="452"/>
      <c r="EE221" s="202" t="str" cm="1">
        <f t="array" ref="EE221">IFERROR(IF($EC$9="",IF($EC$11="",IF($EC$13="",INDEX(bhpc_data[sku],SMALL(MATCH(ROW(bhpc_data[sku]),ROW(bhpc_data[sku])),ROWS($A$15:A226)+$B$3)),INDEX(bhpc_data[sku],SMALL(IF(ISNUMBER(MATCH(bhpc_data[size1],$EC$13,0)),MATCH(ROW(bhpc_data[sku]),ROW(bhpc_data[sku])),""),ROWS($A$15:A226)+$B$3))),IF($EC$13="",INDEX(bhpc_data[sku],SMALL(IF(ISNUMBER(MATCH(bhpc_data[sex],$EC$11,0)),MATCH(ROW(bhpc_data[sku]),ROW(bhpc_data[sku])),""),ROWS($A$15:A226)+$B$3)),INDEX(bhpc_data[sku],SMALL(IF(ISNUMBER(MATCH(bhpc_data[sex],$EC$11,0)*MATCH(bhpc_data[size1],$EC$13,0)),MATCH(ROW(bhpc_data[sku]),ROW(bhpc_data[sku])),""),ROWS($A$15:A226)+$B$3)))),IF($EC$11="",IF($EC$13="",INDEX(bhpc_data[sku],SMALL(IF(ISNUMBER(MATCH(bhpc_data[category],$EC$9,0)),MATCH(ROW(bhpc_data[sku]),ROW(bhpc_data[sku])),""),ROWS($A$15:A226)+$B$3)),INDEX(bhpc_data[sku],SMALL(IF(ISNUMBER(MATCH(bhpc_data[category],$EC$9,0)*MATCH(bhpc_data[size1],$EC$13,0)),MATCH(ROW(bhpc_data[sku]),ROW(bhpc_data[sku])),""),ROWS($A$15:A226)+$B$3))),IF($EC$13="",INDEX(bhpc_data[sku],SMALL(IF(ISNUMBER(MATCH(bhpc_data[category],$EC$9,0)*MATCH(bhpc_data[sex],$EC$11,0)),MATCH(ROW(bhpc_data[sku]),ROW(bhpc_data[sku])),""),ROWS($A$15:A226)+$B$3)),INDEX(bhpc_data[sku],SMALL(IF(ISNUMBER(MATCH(bhpc_data[category],$EC$9,0)*MATCH(bhpc_data[sex],$EC$11,0)*MATCH(bhpc_data[size1],$EC$13,0)),MATCH(ROW(bhpc_data[sku]),ROW(bhpc_data[sku])),""),ROWS($A$15:A226)+$B$3))))),"")</f>
        <v/>
      </c>
      <c r="EF221" s="198" t="str" cm="1">
        <f t="array" ref="EF221">IFERROR(IF($EC$9="",IF($EC$11="",IF($EC$13="",INDEX(bhpc_data[description],SMALL(MATCH(ROW(bhpc_data[sku]),ROW(bhpc_data[sku])),ROWS($A$15:A226)+$B$3)),INDEX(bhpc_data[description],SMALL(IF(ISNUMBER(MATCH(bhpc_data[size1],$EC$13,0)),MATCH(ROW(bhpc_data[sku]),ROW(bhpc_data[sku])),""),ROWS($A$15:A226)+$B$3))),IF($EC$13="",INDEX(bhpc_data[description],SMALL(IF(ISNUMBER(MATCH(bhpc_data[sex],$EC$11,0)),MATCH(ROW(bhpc_data[sku]),ROW(bhpc_data[sku])),""),ROWS($A$15:A226)+$B$3)),INDEX(bhpc_data[description],SMALL(IF(ISNUMBER(MATCH(bhpc_data[sex],$EC$11,0)*MATCH(bhpc_data[size1],$EC$13,0)),MATCH(ROW(bhpc_data[sku]),ROW(bhpc_data[sku])),""),ROWS($A$15:A226)+$B$3)))),IF($EC$11="",IF($EC$13="",INDEX(bhpc_data[description],SMALL(IF(ISNUMBER(MATCH(bhpc_data[category],$EC$9,0)),MATCH(ROW(bhpc_data[sku]),ROW(bhpc_data[sku])),""),ROWS($A$15:A226)+$B$3)),INDEX(bhpc_data[description],SMALL(IF(ISNUMBER(MATCH(bhpc_data[category],$EC$9,0)*MATCH(bhpc_data[size1],$EC$13,0)),MATCH(ROW(bhpc_data[sku]),ROW(bhpc_data[sku])),""),ROWS($A$15:A226)+$B$3))),IF($EC$13="",INDEX(bhpc_data[description],SMALL(IF(ISNUMBER(MATCH(bhpc_data[category],$EC$9,0)*MATCH(bhpc_data[sex],$EC$11,0)),MATCH(ROW(bhpc_data[sku]),ROW(bhpc_data[sku])),""),ROWS($A$15:A226)+$B$3)),INDEX(bhpc_data[description],SMALL(IF(ISNUMBER(MATCH(bhpc_data[category],$EC$9,0)*MATCH(bhpc_data[sex],$EC$11,0)*MATCH(bhpc_data[size1],$EC$13,0)),MATCH(ROW(bhpc_data[sku]),ROW(bhpc_data[sku])),""),ROWS($A$15:A226)+$B$3))))),"")</f>
        <v/>
      </c>
      <c r="EG221" s="263" t="str">
        <f>IFERROR(IF(warehouse[[#This Row],[SKU]]="","",INDEX(inventory[ESISTENZA],MATCH(warehouse[[#This Row],[SKU]],inventory[ARTICOLO],0))),"")</f>
        <v/>
      </c>
      <c r="EH221" s="328"/>
      <c r="EI221" s="328"/>
      <c r="EJ221" s="263"/>
      <c r="EK221" s="113"/>
    </row>
    <row r="222" spans="63:141" x14ac:dyDescent="0.35">
      <c r="BK222" s="450"/>
      <c r="BL222" s="451"/>
      <c r="BM222" s="452"/>
      <c r="BN222" s="451"/>
      <c r="BO222" s="452"/>
      <c r="EE222" s="202" t="str" cm="1">
        <f t="array" ref="EE222">IFERROR(IF($EC$9="",IF($EC$11="",IF($EC$13="",INDEX(bhpc_data[sku],SMALL(MATCH(ROW(bhpc_data[sku]),ROW(bhpc_data[sku])),ROWS($A$15:A227)+$B$3)),INDEX(bhpc_data[sku],SMALL(IF(ISNUMBER(MATCH(bhpc_data[size1],$EC$13,0)),MATCH(ROW(bhpc_data[sku]),ROW(bhpc_data[sku])),""),ROWS($A$15:A227)+$B$3))),IF($EC$13="",INDEX(bhpc_data[sku],SMALL(IF(ISNUMBER(MATCH(bhpc_data[sex],$EC$11,0)),MATCH(ROW(bhpc_data[sku]),ROW(bhpc_data[sku])),""),ROWS($A$15:A227)+$B$3)),INDEX(bhpc_data[sku],SMALL(IF(ISNUMBER(MATCH(bhpc_data[sex],$EC$11,0)*MATCH(bhpc_data[size1],$EC$13,0)),MATCH(ROW(bhpc_data[sku]),ROW(bhpc_data[sku])),""),ROWS($A$15:A227)+$B$3)))),IF($EC$11="",IF($EC$13="",INDEX(bhpc_data[sku],SMALL(IF(ISNUMBER(MATCH(bhpc_data[category],$EC$9,0)),MATCH(ROW(bhpc_data[sku]),ROW(bhpc_data[sku])),""),ROWS($A$15:A227)+$B$3)),INDEX(bhpc_data[sku],SMALL(IF(ISNUMBER(MATCH(bhpc_data[category],$EC$9,0)*MATCH(bhpc_data[size1],$EC$13,0)),MATCH(ROW(bhpc_data[sku]),ROW(bhpc_data[sku])),""),ROWS($A$15:A227)+$B$3))),IF($EC$13="",INDEX(bhpc_data[sku],SMALL(IF(ISNUMBER(MATCH(bhpc_data[category],$EC$9,0)*MATCH(bhpc_data[sex],$EC$11,0)),MATCH(ROW(bhpc_data[sku]),ROW(bhpc_data[sku])),""),ROWS($A$15:A227)+$B$3)),INDEX(bhpc_data[sku],SMALL(IF(ISNUMBER(MATCH(bhpc_data[category],$EC$9,0)*MATCH(bhpc_data[sex],$EC$11,0)*MATCH(bhpc_data[size1],$EC$13,0)),MATCH(ROW(bhpc_data[sku]),ROW(bhpc_data[sku])),""),ROWS($A$15:A227)+$B$3))))),"")</f>
        <v/>
      </c>
      <c r="EF222" s="198" t="str" cm="1">
        <f t="array" ref="EF222">IFERROR(IF($EC$9="",IF($EC$11="",IF($EC$13="",INDEX(bhpc_data[description],SMALL(MATCH(ROW(bhpc_data[sku]),ROW(bhpc_data[sku])),ROWS($A$15:A227)+$B$3)),INDEX(bhpc_data[description],SMALL(IF(ISNUMBER(MATCH(bhpc_data[size1],$EC$13,0)),MATCH(ROW(bhpc_data[sku]),ROW(bhpc_data[sku])),""),ROWS($A$15:A227)+$B$3))),IF($EC$13="",INDEX(bhpc_data[description],SMALL(IF(ISNUMBER(MATCH(bhpc_data[sex],$EC$11,0)),MATCH(ROW(bhpc_data[sku]),ROW(bhpc_data[sku])),""),ROWS($A$15:A227)+$B$3)),INDEX(bhpc_data[description],SMALL(IF(ISNUMBER(MATCH(bhpc_data[sex],$EC$11,0)*MATCH(bhpc_data[size1],$EC$13,0)),MATCH(ROW(bhpc_data[sku]),ROW(bhpc_data[sku])),""),ROWS($A$15:A227)+$B$3)))),IF($EC$11="",IF($EC$13="",INDEX(bhpc_data[description],SMALL(IF(ISNUMBER(MATCH(bhpc_data[category],$EC$9,0)),MATCH(ROW(bhpc_data[sku]),ROW(bhpc_data[sku])),""),ROWS($A$15:A227)+$B$3)),INDEX(bhpc_data[description],SMALL(IF(ISNUMBER(MATCH(bhpc_data[category],$EC$9,0)*MATCH(bhpc_data[size1],$EC$13,0)),MATCH(ROW(bhpc_data[sku]),ROW(bhpc_data[sku])),""),ROWS($A$15:A227)+$B$3))),IF($EC$13="",INDEX(bhpc_data[description],SMALL(IF(ISNUMBER(MATCH(bhpc_data[category],$EC$9,0)*MATCH(bhpc_data[sex],$EC$11,0)),MATCH(ROW(bhpc_data[sku]),ROW(bhpc_data[sku])),""),ROWS($A$15:A227)+$B$3)),INDEX(bhpc_data[description],SMALL(IF(ISNUMBER(MATCH(bhpc_data[category],$EC$9,0)*MATCH(bhpc_data[sex],$EC$11,0)*MATCH(bhpc_data[size1],$EC$13,0)),MATCH(ROW(bhpc_data[sku]),ROW(bhpc_data[sku])),""),ROWS($A$15:A227)+$B$3))))),"")</f>
        <v/>
      </c>
      <c r="EG222" s="263" t="str">
        <f>IFERROR(IF(warehouse[[#This Row],[SKU]]="","",INDEX(inventory[ESISTENZA],MATCH(warehouse[[#This Row],[SKU]],inventory[ARTICOLO],0))),"")</f>
        <v/>
      </c>
      <c r="EH222" s="328"/>
      <c r="EI222" s="328"/>
      <c r="EJ222" s="263"/>
      <c r="EK222" s="113"/>
    </row>
    <row r="223" spans="63:141" x14ac:dyDescent="0.35">
      <c r="BK223" s="450"/>
      <c r="BL223" s="451"/>
      <c r="BM223" s="452"/>
      <c r="BN223" s="451"/>
      <c r="BO223" s="452"/>
      <c r="EE223" s="202" t="str" cm="1">
        <f t="array" ref="EE223">IFERROR(IF($EC$9="",IF($EC$11="",IF($EC$13="",INDEX(bhpc_data[sku],SMALL(MATCH(ROW(bhpc_data[sku]),ROW(bhpc_data[sku])),ROWS($A$15:A228)+$B$3)),INDEX(bhpc_data[sku],SMALL(IF(ISNUMBER(MATCH(bhpc_data[size1],$EC$13,0)),MATCH(ROW(bhpc_data[sku]),ROW(bhpc_data[sku])),""),ROWS($A$15:A228)+$B$3))),IF($EC$13="",INDEX(bhpc_data[sku],SMALL(IF(ISNUMBER(MATCH(bhpc_data[sex],$EC$11,0)),MATCH(ROW(bhpc_data[sku]),ROW(bhpc_data[sku])),""),ROWS($A$15:A228)+$B$3)),INDEX(bhpc_data[sku],SMALL(IF(ISNUMBER(MATCH(bhpc_data[sex],$EC$11,0)*MATCH(bhpc_data[size1],$EC$13,0)),MATCH(ROW(bhpc_data[sku]),ROW(bhpc_data[sku])),""),ROWS($A$15:A228)+$B$3)))),IF($EC$11="",IF($EC$13="",INDEX(bhpc_data[sku],SMALL(IF(ISNUMBER(MATCH(bhpc_data[category],$EC$9,0)),MATCH(ROW(bhpc_data[sku]),ROW(bhpc_data[sku])),""),ROWS($A$15:A228)+$B$3)),INDEX(bhpc_data[sku],SMALL(IF(ISNUMBER(MATCH(bhpc_data[category],$EC$9,0)*MATCH(bhpc_data[size1],$EC$13,0)),MATCH(ROW(bhpc_data[sku]),ROW(bhpc_data[sku])),""),ROWS($A$15:A228)+$B$3))),IF($EC$13="",INDEX(bhpc_data[sku],SMALL(IF(ISNUMBER(MATCH(bhpc_data[category],$EC$9,0)*MATCH(bhpc_data[sex],$EC$11,0)),MATCH(ROW(bhpc_data[sku]),ROW(bhpc_data[sku])),""),ROWS($A$15:A228)+$B$3)),INDEX(bhpc_data[sku],SMALL(IF(ISNUMBER(MATCH(bhpc_data[category],$EC$9,0)*MATCH(bhpc_data[sex],$EC$11,0)*MATCH(bhpc_data[size1],$EC$13,0)),MATCH(ROW(bhpc_data[sku]),ROW(bhpc_data[sku])),""),ROWS($A$15:A228)+$B$3))))),"")</f>
        <v/>
      </c>
      <c r="EF223" s="198" t="str" cm="1">
        <f t="array" ref="EF223">IFERROR(IF($EC$9="",IF($EC$11="",IF($EC$13="",INDEX(bhpc_data[description],SMALL(MATCH(ROW(bhpc_data[sku]),ROW(bhpc_data[sku])),ROWS($A$15:A228)+$B$3)),INDEX(bhpc_data[description],SMALL(IF(ISNUMBER(MATCH(bhpc_data[size1],$EC$13,0)),MATCH(ROW(bhpc_data[sku]),ROW(bhpc_data[sku])),""),ROWS($A$15:A228)+$B$3))),IF($EC$13="",INDEX(bhpc_data[description],SMALL(IF(ISNUMBER(MATCH(bhpc_data[sex],$EC$11,0)),MATCH(ROW(bhpc_data[sku]),ROW(bhpc_data[sku])),""),ROWS($A$15:A228)+$B$3)),INDEX(bhpc_data[description],SMALL(IF(ISNUMBER(MATCH(bhpc_data[sex],$EC$11,0)*MATCH(bhpc_data[size1],$EC$13,0)),MATCH(ROW(bhpc_data[sku]),ROW(bhpc_data[sku])),""),ROWS($A$15:A228)+$B$3)))),IF($EC$11="",IF($EC$13="",INDEX(bhpc_data[description],SMALL(IF(ISNUMBER(MATCH(bhpc_data[category],$EC$9,0)),MATCH(ROW(bhpc_data[sku]),ROW(bhpc_data[sku])),""),ROWS($A$15:A228)+$B$3)),INDEX(bhpc_data[description],SMALL(IF(ISNUMBER(MATCH(bhpc_data[category],$EC$9,0)*MATCH(bhpc_data[size1],$EC$13,0)),MATCH(ROW(bhpc_data[sku]),ROW(bhpc_data[sku])),""),ROWS($A$15:A228)+$B$3))),IF($EC$13="",INDEX(bhpc_data[description],SMALL(IF(ISNUMBER(MATCH(bhpc_data[category],$EC$9,0)*MATCH(bhpc_data[sex],$EC$11,0)),MATCH(ROW(bhpc_data[sku]),ROW(bhpc_data[sku])),""),ROWS($A$15:A228)+$B$3)),INDEX(bhpc_data[description],SMALL(IF(ISNUMBER(MATCH(bhpc_data[category],$EC$9,0)*MATCH(bhpc_data[sex],$EC$11,0)*MATCH(bhpc_data[size1],$EC$13,0)),MATCH(ROW(bhpc_data[sku]),ROW(bhpc_data[sku])),""),ROWS($A$15:A228)+$B$3))))),"")</f>
        <v/>
      </c>
      <c r="EG223" s="263" t="str">
        <f>IFERROR(IF(warehouse[[#This Row],[SKU]]="","",INDEX(inventory[ESISTENZA],MATCH(warehouse[[#This Row],[SKU]],inventory[ARTICOLO],0))),"")</f>
        <v/>
      </c>
      <c r="EH223" s="328"/>
      <c r="EI223" s="328"/>
      <c r="EJ223" s="263"/>
      <c r="EK223" s="113"/>
    </row>
    <row r="224" spans="63:141" x14ac:dyDescent="0.35">
      <c r="BK224" s="450"/>
      <c r="BL224" s="451"/>
      <c r="BM224" s="452"/>
      <c r="BN224" s="451"/>
      <c r="BO224" s="452"/>
      <c r="EE224" s="202" t="str" cm="1">
        <f t="array" ref="EE224">IFERROR(IF($EC$9="",IF($EC$11="",IF($EC$13="",INDEX(bhpc_data[sku],SMALL(MATCH(ROW(bhpc_data[sku]),ROW(bhpc_data[sku])),ROWS($A$15:A229)+$B$3)),INDEX(bhpc_data[sku],SMALL(IF(ISNUMBER(MATCH(bhpc_data[size1],$EC$13,0)),MATCH(ROW(bhpc_data[sku]),ROW(bhpc_data[sku])),""),ROWS($A$15:A229)+$B$3))),IF($EC$13="",INDEX(bhpc_data[sku],SMALL(IF(ISNUMBER(MATCH(bhpc_data[sex],$EC$11,0)),MATCH(ROW(bhpc_data[sku]),ROW(bhpc_data[sku])),""),ROWS($A$15:A229)+$B$3)),INDEX(bhpc_data[sku],SMALL(IF(ISNUMBER(MATCH(bhpc_data[sex],$EC$11,0)*MATCH(bhpc_data[size1],$EC$13,0)),MATCH(ROW(bhpc_data[sku]),ROW(bhpc_data[sku])),""),ROWS($A$15:A229)+$B$3)))),IF($EC$11="",IF($EC$13="",INDEX(bhpc_data[sku],SMALL(IF(ISNUMBER(MATCH(bhpc_data[category],$EC$9,0)),MATCH(ROW(bhpc_data[sku]),ROW(bhpc_data[sku])),""),ROWS($A$15:A229)+$B$3)),INDEX(bhpc_data[sku],SMALL(IF(ISNUMBER(MATCH(bhpc_data[category],$EC$9,0)*MATCH(bhpc_data[size1],$EC$13,0)),MATCH(ROW(bhpc_data[sku]),ROW(bhpc_data[sku])),""),ROWS($A$15:A229)+$B$3))),IF($EC$13="",INDEX(bhpc_data[sku],SMALL(IF(ISNUMBER(MATCH(bhpc_data[category],$EC$9,0)*MATCH(bhpc_data[sex],$EC$11,0)),MATCH(ROW(bhpc_data[sku]),ROW(bhpc_data[sku])),""),ROWS($A$15:A229)+$B$3)),INDEX(bhpc_data[sku],SMALL(IF(ISNUMBER(MATCH(bhpc_data[category],$EC$9,0)*MATCH(bhpc_data[sex],$EC$11,0)*MATCH(bhpc_data[size1],$EC$13,0)),MATCH(ROW(bhpc_data[sku]),ROW(bhpc_data[sku])),""),ROWS($A$15:A229)+$B$3))))),"")</f>
        <v/>
      </c>
      <c r="EF224" s="198" t="str" cm="1">
        <f t="array" ref="EF224">IFERROR(IF($EC$9="",IF($EC$11="",IF($EC$13="",INDEX(bhpc_data[description],SMALL(MATCH(ROW(bhpc_data[sku]),ROW(bhpc_data[sku])),ROWS($A$15:A229)+$B$3)),INDEX(bhpc_data[description],SMALL(IF(ISNUMBER(MATCH(bhpc_data[size1],$EC$13,0)),MATCH(ROW(bhpc_data[sku]),ROW(bhpc_data[sku])),""),ROWS($A$15:A229)+$B$3))),IF($EC$13="",INDEX(bhpc_data[description],SMALL(IF(ISNUMBER(MATCH(bhpc_data[sex],$EC$11,0)),MATCH(ROW(bhpc_data[sku]),ROW(bhpc_data[sku])),""),ROWS($A$15:A229)+$B$3)),INDEX(bhpc_data[description],SMALL(IF(ISNUMBER(MATCH(bhpc_data[sex],$EC$11,0)*MATCH(bhpc_data[size1],$EC$13,0)),MATCH(ROW(bhpc_data[sku]),ROW(bhpc_data[sku])),""),ROWS($A$15:A229)+$B$3)))),IF($EC$11="",IF($EC$13="",INDEX(bhpc_data[description],SMALL(IF(ISNUMBER(MATCH(bhpc_data[category],$EC$9,0)),MATCH(ROW(bhpc_data[sku]),ROW(bhpc_data[sku])),""),ROWS($A$15:A229)+$B$3)),INDEX(bhpc_data[description],SMALL(IF(ISNUMBER(MATCH(bhpc_data[category],$EC$9,0)*MATCH(bhpc_data[size1],$EC$13,0)),MATCH(ROW(bhpc_data[sku]),ROW(bhpc_data[sku])),""),ROWS($A$15:A229)+$B$3))),IF($EC$13="",INDEX(bhpc_data[description],SMALL(IF(ISNUMBER(MATCH(bhpc_data[category],$EC$9,0)*MATCH(bhpc_data[sex],$EC$11,0)),MATCH(ROW(bhpc_data[sku]),ROW(bhpc_data[sku])),""),ROWS($A$15:A229)+$B$3)),INDEX(bhpc_data[description],SMALL(IF(ISNUMBER(MATCH(bhpc_data[category],$EC$9,0)*MATCH(bhpc_data[sex],$EC$11,0)*MATCH(bhpc_data[size1],$EC$13,0)),MATCH(ROW(bhpc_data[sku]),ROW(bhpc_data[sku])),""),ROWS($A$15:A229)+$B$3))))),"")</f>
        <v/>
      </c>
      <c r="EG224" s="263" t="str">
        <f>IFERROR(IF(warehouse[[#This Row],[SKU]]="","",INDEX(inventory[ESISTENZA],MATCH(warehouse[[#This Row],[SKU]],inventory[ARTICOLO],0))),"")</f>
        <v/>
      </c>
      <c r="EH224" s="328"/>
      <c r="EI224" s="328"/>
      <c r="EJ224" s="263"/>
      <c r="EK224" s="113"/>
    </row>
    <row r="225" spans="63:141" x14ac:dyDescent="0.35">
      <c r="BK225" s="450"/>
      <c r="BL225" s="451"/>
      <c r="BM225" s="452"/>
      <c r="BN225" s="451"/>
      <c r="BO225" s="452"/>
      <c r="EE225" s="202" t="str" cm="1">
        <f t="array" ref="EE225">IFERROR(IF($EC$9="",IF($EC$11="",IF($EC$13="",INDEX(bhpc_data[sku],SMALL(MATCH(ROW(bhpc_data[sku]),ROW(bhpc_data[sku])),ROWS($A$15:A230)+$B$3)),INDEX(bhpc_data[sku],SMALL(IF(ISNUMBER(MATCH(bhpc_data[size1],$EC$13,0)),MATCH(ROW(bhpc_data[sku]),ROW(bhpc_data[sku])),""),ROWS($A$15:A230)+$B$3))),IF($EC$13="",INDEX(bhpc_data[sku],SMALL(IF(ISNUMBER(MATCH(bhpc_data[sex],$EC$11,0)),MATCH(ROW(bhpc_data[sku]),ROW(bhpc_data[sku])),""),ROWS($A$15:A230)+$B$3)),INDEX(bhpc_data[sku],SMALL(IF(ISNUMBER(MATCH(bhpc_data[sex],$EC$11,0)*MATCH(bhpc_data[size1],$EC$13,0)),MATCH(ROW(bhpc_data[sku]),ROW(bhpc_data[sku])),""),ROWS($A$15:A230)+$B$3)))),IF($EC$11="",IF($EC$13="",INDEX(bhpc_data[sku],SMALL(IF(ISNUMBER(MATCH(bhpc_data[category],$EC$9,0)),MATCH(ROW(bhpc_data[sku]),ROW(bhpc_data[sku])),""),ROWS($A$15:A230)+$B$3)),INDEX(bhpc_data[sku],SMALL(IF(ISNUMBER(MATCH(bhpc_data[category],$EC$9,0)*MATCH(bhpc_data[size1],$EC$13,0)),MATCH(ROW(bhpc_data[sku]),ROW(bhpc_data[sku])),""),ROWS($A$15:A230)+$B$3))),IF($EC$13="",INDEX(bhpc_data[sku],SMALL(IF(ISNUMBER(MATCH(bhpc_data[category],$EC$9,0)*MATCH(bhpc_data[sex],$EC$11,0)),MATCH(ROW(bhpc_data[sku]),ROW(bhpc_data[sku])),""),ROWS($A$15:A230)+$B$3)),INDEX(bhpc_data[sku],SMALL(IF(ISNUMBER(MATCH(bhpc_data[category],$EC$9,0)*MATCH(bhpc_data[sex],$EC$11,0)*MATCH(bhpc_data[size1],$EC$13,0)),MATCH(ROW(bhpc_data[sku]),ROW(bhpc_data[sku])),""),ROWS($A$15:A230)+$B$3))))),"")</f>
        <v/>
      </c>
      <c r="EF225" s="198" t="str" cm="1">
        <f t="array" ref="EF225">IFERROR(IF($EC$9="",IF($EC$11="",IF($EC$13="",INDEX(bhpc_data[description],SMALL(MATCH(ROW(bhpc_data[sku]),ROW(bhpc_data[sku])),ROWS($A$15:A230)+$B$3)),INDEX(bhpc_data[description],SMALL(IF(ISNUMBER(MATCH(bhpc_data[size1],$EC$13,0)),MATCH(ROW(bhpc_data[sku]),ROW(bhpc_data[sku])),""),ROWS($A$15:A230)+$B$3))),IF($EC$13="",INDEX(bhpc_data[description],SMALL(IF(ISNUMBER(MATCH(bhpc_data[sex],$EC$11,0)),MATCH(ROW(bhpc_data[sku]),ROW(bhpc_data[sku])),""),ROWS($A$15:A230)+$B$3)),INDEX(bhpc_data[description],SMALL(IF(ISNUMBER(MATCH(bhpc_data[sex],$EC$11,0)*MATCH(bhpc_data[size1],$EC$13,0)),MATCH(ROW(bhpc_data[sku]),ROW(bhpc_data[sku])),""),ROWS($A$15:A230)+$B$3)))),IF($EC$11="",IF($EC$13="",INDEX(bhpc_data[description],SMALL(IF(ISNUMBER(MATCH(bhpc_data[category],$EC$9,0)),MATCH(ROW(bhpc_data[sku]),ROW(bhpc_data[sku])),""),ROWS($A$15:A230)+$B$3)),INDEX(bhpc_data[description],SMALL(IF(ISNUMBER(MATCH(bhpc_data[category],$EC$9,0)*MATCH(bhpc_data[size1],$EC$13,0)),MATCH(ROW(bhpc_data[sku]),ROW(bhpc_data[sku])),""),ROWS($A$15:A230)+$B$3))),IF($EC$13="",INDEX(bhpc_data[description],SMALL(IF(ISNUMBER(MATCH(bhpc_data[category],$EC$9,0)*MATCH(bhpc_data[sex],$EC$11,0)),MATCH(ROW(bhpc_data[sku]),ROW(bhpc_data[sku])),""),ROWS($A$15:A230)+$B$3)),INDEX(bhpc_data[description],SMALL(IF(ISNUMBER(MATCH(bhpc_data[category],$EC$9,0)*MATCH(bhpc_data[sex],$EC$11,0)*MATCH(bhpc_data[size1],$EC$13,0)),MATCH(ROW(bhpc_data[sku]),ROW(bhpc_data[sku])),""),ROWS($A$15:A230)+$B$3))))),"")</f>
        <v/>
      </c>
      <c r="EG225" s="263" t="str">
        <f>IFERROR(IF(warehouse[[#This Row],[SKU]]="","",INDEX(inventory[ESISTENZA],MATCH(warehouse[[#This Row],[SKU]],inventory[ARTICOLO],0))),"")</f>
        <v/>
      </c>
      <c r="EH225" s="328"/>
      <c r="EI225" s="328"/>
      <c r="EJ225" s="263"/>
      <c r="EK225" s="113"/>
    </row>
    <row r="226" spans="63:141" x14ac:dyDescent="0.35">
      <c r="BK226" s="450"/>
      <c r="BL226" s="451"/>
      <c r="BM226" s="452"/>
      <c r="BN226" s="451"/>
      <c r="BO226" s="452"/>
      <c r="EE226" s="202" t="str" cm="1">
        <f t="array" ref="EE226">IFERROR(IF($EC$9="",IF($EC$11="",IF($EC$13="",INDEX(bhpc_data[sku],SMALL(MATCH(ROW(bhpc_data[sku]),ROW(bhpc_data[sku])),ROWS($A$15:A231)+$B$3)),INDEX(bhpc_data[sku],SMALL(IF(ISNUMBER(MATCH(bhpc_data[size1],$EC$13,0)),MATCH(ROW(bhpc_data[sku]),ROW(bhpc_data[sku])),""),ROWS($A$15:A231)+$B$3))),IF($EC$13="",INDEX(bhpc_data[sku],SMALL(IF(ISNUMBER(MATCH(bhpc_data[sex],$EC$11,0)),MATCH(ROW(bhpc_data[sku]),ROW(bhpc_data[sku])),""),ROWS($A$15:A231)+$B$3)),INDEX(bhpc_data[sku],SMALL(IF(ISNUMBER(MATCH(bhpc_data[sex],$EC$11,0)*MATCH(bhpc_data[size1],$EC$13,0)),MATCH(ROW(bhpc_data[sku]),ROW(bhpc_data[sku])),""),ROWS($A$15:A231)+$B$3)))),IF($EC$11="",IF($EC$13="",INDEX(bhpc_data[sku],SMALL(IF(ISNUMBER(MATCH(bhpc_data[category],$EC$9,0)),MATCH(ROW(bhpc_data[sku]),ROW(bhpc_data[sku])),""),ROWS($A$15:A231)+$B$3)),INDEX(bhpc_data[sku],SMALL(IF(ISNUMBER(MATCH(bhpc_data[category],$EC$9,0)*MATCH(bhpc_data[size1],$EC$13,0)),MATCH(ROW(bhpc_data[sku]),ROW(bhpc_data[sku])),""),ROWS($A$15:A231)+$B$3))),IF($EC$13="",INDEX(bhpc_data[sku],SMALL(IF(ISNUMBER(MATCH(bhpc_data[category],$EC$9,0)*MATCH(bhpc_data[sex],$EC$11,0)),MATCH(ROW(bhpc_data[sku]),ROW(bhpc_data[sku])),""),ROWS($A$15:A231)+$B$3)),INDEX(bhpc_data[sku],SMALL(IF(ISNUMBER(MATCH(bhpc_data[category],$EC$9,0)*MATCH(bhpc_data[sex],$EC$11,0)*MATCH(bhpc_data[size1],$EC$13,0)),MATCH(ROW(bhpc_data[sku]),ROW(bhpc_data[sku])),""),ROWS($A$15:A231)+$B$3))))),"")</f>
        <v/>
      </c>
      <c r="EF226" s="198" t="str" cm="1">
        <f t="array" ref="EF226">IFERROR(IF($EC$9="",IF($EC$11="",IF($EC$13="",INDEX(bhpc_data[description],SMALL(MATCH(ROW(bhpc_data[sku]),ROW(bhpc_data[sku])),ROWS($A$15:A231)+$B$3)),INDEX(bhpc_data[description],SMALL(IF(ISNUMBER(MATCH(bhpc_data[size1],$EC$13,0)),MATCH(ROW(bhpc_data[sku]),ROW(bhpc_data[sku])),""),ROWS($A$15:A231)+$B$3))),IF($EC$13="",INDEX(bhpc_data[description],SMALL(IF(ISNUMBER(MATCH(bhpc_data[sex],$EC$11,0)),MATCH(ROW(bhpc_data[sku]),ROW(bhpc_data[sku])),""),ROWS($A$15:A231)+$B$3)),INDEX(bhpc_data[description],SMALL(IF(ISNUMBER(MATCH(bhpc_data[sex],$EC$11,0)*MATCH(bhpc_data[size1],$EC$13,0)),MATCH(ROW(bhpc_data[sku]),ROW(bhpc_data[sku])),""),ROWS($A$15:A231)+$B$3)))),IF($EC$11="",IF($EC$13="",INDEX(bhpc_data[description],SMALL(IF(ISNUMBER(MATCH(bhpc_data[category],$EC$9,0)),MATCH(ROW(bhpc_data[sku]),ROW(bhpc_data[sku])),""),ROWS($A$15:A231)+$B$3)),INDEX(bhpc_data[description],SMALL(IF(ISNUMBER(MATCH(bhpc_data[category],$EC$9,0)*MATCH(bhpc_data[size1],$EC$13,0)),MATCH(ROW(bhpc_data[sku]),ROW(bhpc_data[sku])),""),ROWS($A$15:A231)+$B$3))),IF($EC$13="",INDEX(bhpc_data[description],SMALL(IF(ISNUMBER(MATCH(bhpc_data[category],$EC$9,0)*MATCH(bhpc_data[sex],$EC$11,0)),MATCH(ROW(bhpc_data[sku]),ROW(bhpc_data[sku])),""),ROWS($A$15:A231)+$B$3)),INDEX(bhpc_data[description],SMALL(IF(ISNUMBER(MATCH(bhpc_data[category],$EC$9,0)*MATCH(bhpc_data[sex],$EC$11,0)*MATCH(bhpc_data[size1],$EC$13,0)),MATCH(ROW(bhpc_data[sku]),ROW(bhpc_data[sku])),""),ROWS($A$15:A231)+$B$3))))),"")</f>
        <v/>
      </c>
      <c r="EG226" s="263" t="str">
        <f>IFERROR(IF(warehouse[[#This Row],[SKU]]="","",INDEX(inventory[ESISTENZA],MATCH(warehouse[[#This Row],[SKU]],inventory[ARTICOLO],0))),"")</f>
        <v/>
      </c>
      <c r="EH226" s="328"/>
      <c r="EI226" s="328"/>
      <c r="EJ226" s="263"/>
      <c r="EK226" s="113"/>
    </row>
    <row r="227" spans="63:141" x14ac:dyDescent="0.35">
      <c r="BK227" s="450"/>
      <c r="BL227" s="451"/>
      <c r="BM227" s="452"/>
      <c r="BN227" s="451"/>
      <c r="BO227" s="452"/>
      <c r="EE227" s="202" t="str" cm="1">
        <f t="array" ref="EE227">IFERROR(IF($EC$9="",IF($EC$11="",IF($EC$13="",INDEX(bhpc_data[sku],SMALL(MATCH(ROW(bhpc_data[sku]),ROW(bhpc_data[sku])),ROWS($A$15:A232)+$B$3)),INDEX(bhpc_data[sku],SMALL(IF(ISNUMBER(MATCH(bhpc_data[size1],$EC$13,0)),MATCH(ROW(bhpc_data[sku]),ROW(bhpc_data[sku])),""),ROWS($A$15:A232)+$B$3))),IF($EC$13="",INDEX(bhpc_data[sku],SMALL(IF(ISNUMBER(MATCH(bhpc_data[sex],$EC$11,0)),MATCH(ROW(bhpc_data[sku]),ROW(bhpc_data[sku])),""),ROWS($A$15:A232)+$B$3)),INDEX(bhpc_data[sku],SMALL(IF(ISNUMBER(MATCH(bhpc_data[sex],$EC$11,0)*MATCH(bhpc_data[size1],$EC$13,0)),MATCH(ROW(bhpc_data[sku]),ROW(bhpc_data[sku])),""),ROWS($A$15:A232)+$B$3)))),IF($EC$11="",IF($EC$13="",INDEX(bhpc_data[sku],SMALL(IF(ISNUMBER(MATCH(bhpc_data[category],$EC$9,0)),MATCH(ROW(bhpc_data[sku]),ROW(bhpc_data[sku])),""),ROWS($A$15:A232)+$B$3)),INDEX(bhpc_data[sku],SMALL(IF(ISNUMBER(MATCH(bhpc_data[category],$EC$9,0)*MATCH(bhpc_data[size1],$EC$13,0)),MATCH(ROW(bhpc_data[sku]),ROW(bhpc_data[sku])),""),ROWS($A$15:A232)+$B$3))),IF($EC$13="",INDEX(bhpc_data[sku],SMALL(IF(ISNUMBER(MATCH(bhpc_data[category],$EC$9,0)*MATCH(bhpc_data[sex],$EC$11,0)),MATCH(ROW(bhpc_data[sku]),ROW(bhpc_data[sku])),""),ROWS($A$15:A232)+$B$3)),INDEX(bhpc_data[sku],SMALL(IF(ISNUMBER(MATCH(bhpc_data[category],$EC$9,0)*MATCH(bhpc_data[sex],$EC$11,0)*MATCH(bhpc_data[size1],$EC$13,0)),MATCH(ROW(bhpc_data[sku]),ROW(bhpc_data[sku])),""),ROWS($A$15:A232)+$B$3))))),"")</f>
        <v/>
      </c>
      <c r="EF227" s="198" t="str" cm="1">
        <f t="array" ref="EF227">IFERROR(IF($EC$9="",IF($EC$11="",IF($EC$13="",INDEX(bhpc_data[description],SMALL(MATCH(ROW(bhpc_data[sku]),ROW(bhpc_data[sku])),ROWS($A$15:A232)+$B$3)),INDEX(bhpc_data[description],SMALL(IF(ISNUMBER(MATCH(bhpc_data[size1],$EC$13,0)),MATCH(ROW(bhpc_data[sku]),ROW(bhpc_data[sku])),""),ROWS($A$15:A232)+$B$3))),IF($EC$13="",INDEX(bhpc_data[description],SMALL(IF(ISNUMBER(MATCH(bhpc_data[sex],$EC$11,0)),MATCH(ROW(bhpc_data[sku]),ROW(bhpc_data[sku])),""),ROWS($A$15:A232)+$B$3)),INDEX(bhpc_data[description],SMALL(IF(ISNUMBER(MATCH(bhpc_data[sex],$EC$11,0)*MATCH(bhpc_data[size1],$EC$13,0)),MATCH(ROW(bhpc_data[sku]),ROW(bhpc_data[sku])),""),ROWS($A$15:A232)+$B$3)))),IF($EC$11="",IF($EC$13="",INDEX(bhpc_data[description],SMALL(IF(ISNUMBER(MATCH(bhpc_data[category],$EC$9,0)),MATCH(ROW(bhpc_data[sku]),ROW(bhpc_data[sku])),""),ROWS($A$15:A232)+$B$3)),INDEX(bhpc_data[description],SMALL(IF(ISNUMBER(MATCH(bhpc_data[category],$EC$9,0)*MATCH(bhpc_data[size1],$EC$13,0)),MATCH(ROW(bhpc_data[sku]),ROW(bhpc_data[sku])),""),ROWS($A$15:A232)+$B$3))),IF($EC$13="",INDEX(bhpc_data[description],SMALL(IF(ISNUMBER(MATCH(bhpc_data[category],$EC$9,0)*MATCH(bhpc_data[sex],$EC$11,0)),MATCH(ROW(bhpc_data[sku]),ROW(bhpc_data[sku])),""),ROWS($A$15:A232)+$B$3)),INDEX(bhpc_data[description],SMALL(IF(ISNUMBER(MATCH(bhpc_data[category],$EC$9,0)*MATCH(bhpc_data[sex],$EC$11,0)*MATCH(bhpc_data[size1],$EC$13,0)),MATCH(ROW(bhpc_data[sku]),ROW(bhpc_data[sku])),""),ROWS($A$15:A232)+$B$3))))),"")</f>
        <v/>
      </c>
      <c r="EG227" s="263" t="str">
        <f>IFERROR(IF(warehouse[[#This Row],[SKU]]="","",INDEX(inventory[ESISTENZA],MATCH(warehouse[[#This Row],[SKU]],inventory[ARTICOLO],0))),"")</f>
        <v/>
      </c>
      <c r="EH227" s="328"/>
      <c r="EI227" s="328"/>
      <c r="EJ227" s="263"/>
      <c r="EK227" s="113"/>
    </row>
    <row r="228" spans="63:141" x14ac:dyDescent="0.35">
      <c r="BK228" s="450"/>
      <c r="BL228" s="451"/>
      <c r="BM228" s="452"/>
      <c r="BN228" s="451"/>
      <c r="BO228" s="452"/>
      <c r="EE228" s="202" t="str" cm="1">
        <f t="array" ref="EE228">IFERROR(IF($EC$9="",IF($EC$11="",IF($EC$13="",INDEX(bhpc_data[sku],SMALL(MATCH(ROW(bhpc_data[sku]),ROW(bhpc_data[sku])),ROWS($A$15:A233)+$B$3)),INDEX(bhpc_data[sku],SMALL(IF(ISNUMBER(MATCH(bhpc_data[size1],$EC$13,0)),MATCH(ROW(bhpc_data[sku]),ROW(bhpc_data[sku])),""),ROWS($A$15:A233)+$B$3))),IF($EC$13="",INDEX(bhpc_data[sku],SMALL(IF(ISNUMBER(MATCH(bhpc_data[sex],$EC$11,0)),MATCH(ROW(bhpc_data[sku]),ROW(bhpc_data[sku])),""),ROWS($A$15:A233)+$B$3)),INDEX(bhpc_data[sku],SMALL(IF(ISNUMBER(MATCH(bhpc_data[sex],$EC$11,0)*MATCH(bhpc_data[size1],$EC$13,0)),MATCH(ROW(bhpc_data[sku]),ROW(bhpc_data[sku])),""),ROWS($A$15:A233)+$B$3)))),IF($EC$11="",IF($EC$13="",INDEX(bhpc_data[sku],SMALL(IF(ISNUMBER(MATCH(bhpc_data[category],$EC$9,0)),MATCH(ROW(bhpc_data[sku]),ROW(bhpc_data[sku])),""),ROWS($A$15:A233)+$B$3)),INDEX(bhpc_data[sku],SMALL(IF(ISNUMBER(MATCH(bhpc_data[category],$EC$9,0)*MATCH(bhpc_data[size1],$EC$13,0)),MATCH(ROW(bhpc_data[sku]),ROW(bhpc_data[sku])),""),ROWS($A$15:A233)+$B$3))),IF($EC$13="",INDEX(bhpc_data[sku],SMALL(IF(ISNUMBER(MATCH(bhpc_data[category],$EC$9,0)*MATCH(bhpc_data[sex],$EC$11,0)),MATCH(ROW(bhpc_data[sku]),ROW(bhpc_data[sku])),""),ROWS($A$15:A233)+$B$3)),INDEX(bhpc_data[sku],SMALL(IF(ISNUMBER(MATCH(bhpc_data[category],$EC$9,0)*MATCH(bhpc_data[sex],$EC$11,0)*MATCH(bhpc_data[size1],$EC$13,0)),MATCH(ROW(bhpc_data[sku]),ROW(bhpc_data[sku])),""),ROWS($A$15:A233)+$B$3))))),"")</f>
        <v/>
      </c>
      <c r="EF228" s="198" t="str" cm="1">
        <f t="array" ref="EF228">IFERROR(IF($EC$9="",IF($EC$11="",IF($EC$13="",INDEX(bhpc_data[description],SMALL(MATCH(ROW(bhpc_data[sku]),ROW(bhpc_data[sku])),ROWS($A$15:A233)+$B$3)),INDEX(bhpc_data[description],SMALL(IF(ISNUMBER(MATCH(bhpc_data[size1],$EC$13,0)),MATCH(ROW(bhpc_data[sku]),ROW(bhpc_data[sku])),""),ROWS($A$15:A233)+$B$3))),IF($EC$13="",INDEX(bhpc_data[description],SMALL(IF(ISNUMBER(MATCH(bhpc_data[sex],$EC$11,0)),MATCH(ROW(bhpc_data[sku]),ROW(bhpc_data[sku])),""),ROWS($A$15:A233)+$B$3)),INDEX(bhpc_data[description],SMALL(IF(ISNUMBER(MATCH(bhpc_data[sex],$EC$11,0)*MATCH(bhpc_data[size1],$EC$13,0)),MATCH(ROW(bhpc_data[sku]),ROW(bhpc_data[sku])),""),ROWS($A$15:A233)+$B$3)))),IF($EC$11="",IF($EC$13="",INDEX(bhpc_data[description],SMALL(IF(ISNUMBER(MATCH(bhpc_data[category],$EC$9,0)),MATCH(ROW(bhpc_data[sku]),ROW(bhpc_data[sku])),""),ROWS($A$15:A233)+$B$3)),INDEX(bhpc_data[description],SMALL(IF(ISNUMBER(MATCH(bhpc_data[category],$EC$9,0)*MATCH(bhpc_data[size1],$EC$13,0)),MATCH(ROW(bhpc_data[sku]),ROW(bhpc_data[sku])),""),ROWS($A$15:A233)+$B$3))),IF($EC$13="",INDEX(bhpc_data[description],SMALL(IF(ISNUMBER(MATCH(bhpc_data[category],$EC$9,0)*MATCH(bhpc_data[sex],$EC$11,0)),MATCH(ROW(bhpc_data[sku]),ROW(bhpc_data[sku])),""),ROWS($A$15:A233)+$B$3)),INDEX(bhpc_data[description],SMALL(IF(ISNUMBER(MATCH(bhpc_data[category],$EC$9,0)*MATCH(bhpc_data[sex],$EC$11,0)*MATCH(bhpc_data[size1],$EC$13,0)),MATCH(ROW(bhpc_data[sku]),ROW(bhpc_data[sku])),""),ROWS($A$15:A233)+$B$3))))),"")</f>
        <v/>
      </c>
      <c r="EG228" s="263" t="str">
        <f>IFERROR(IF(warehouse[[#This Row],[SKU]]="","",INDEX(inventory[ESISTENZA],MATCH(warehouse[[#This Row],[SKU]],inventory[ARTICOLO],0))),"")</f>
        <v/>
      </c>
      <c r="EH228" s="328"/>
      <c r="EI228" s="328"/>
      <c r="EJ228" s="263"/>
      <c r="EK228" s="113"/>
    </row>
    <row r="229" spans="63:141" x14ac:dyDescent="0.35">
      <c r="BK229" s="450"/>
      <c r="BL229" s="451"/>
      <c r="BM229" s="452"/>
      <c r="BN229" s="451"/>
      <c r="BO229" s="452"/>
      <c r="EE229" s="202" t="str" cm="1">
        <f t="array" ref="EE229">IFERROR(IF($EC$9="",IF($EC$11="",IF($EC$13="",INDEX(bhpc_data[sku],SMALL(MATCH(ROW(bhpc_data[sku]),ROW(bhpc_data[sku])),ROWS($A$15:A234)+$B$3)),INDEX(bhpc_data[sku],SMALL(IF(ISNUMBER(MATCH(bhpc_data[size1],$EC$13,0)),MATCH(ROW(bhpc_data[sku]),ROW(bhpc_data[sku])),""),ROWS($A$15:A234)+$B$3))),IF($EC$13="",INDEX(bhpc_data[sku],SMALL(IF(ISNUMBER(MATCH(bhpc_data[sex],$EC$11,0)),MATCH(ROW(bhpc_data[sku]),ROW(bhpc_data[sku])),""),ROWS($A$15:A234)+$B$3)),INDEX(bhpc_data[sku],SMALL(IF(ISNUMBER(MATCH(bhpc_data[sex],$EC$11,0)*MATCH(bhpc_data[size1],$EC$13,0)),MATCH(ROW(bhpc_data[sku]),ROW(bhpc_data[sku])),""),ROWS($A$15:A234)+$B$3)))),IF($EC$11="",IF($EC$13="",INDEX(bhpc_data[sku],SMALL(IF(ISNUMBER(MATCH(bhpc_data[category],$EC$9,0)),MATCH(ROW(bhpc_data[sku]),ROW(bhpc_data[sku])),""),ROWS($A$15:A234)+$B$3)),INDEX(bhpc_data[sku],SMALL(IF(ISNUMBER(MATCH(bhpc_data[category],$EC$9,0)*MATCH(bhpc_data[size1],$EC$13,0)),MATCH(ROW(bhpc_data[sku]),ROW(bhpc_data[sku])),""),ROWS($A$15:A234)+$B$3))),IF($EC$13="",INDEX(bhpc_data[sku],SMALL(IF(ISNUMBER(MATCH(bhpc_data[category],$EC$9,0)*MATCH(bhpc_data[sex],$EC$11,0)),MATCH(ROW(bhpc_data[sku]),ROW(bhpc_data[sku])),""),ROWS($A$15:A234)+$B$3)),INDEX(bhpc_data[sku],SMALL(IF(ISNUMBER(MATCH(bhpc_data[category],$EC$9,0)*MATCH(bhpc_data[sex],$EC$11,0)*MATCH(bhpc_data[size1],$EC$13,0)),MATCH(ROW(bhpc_data[sku]),ROW(bhpc_data[sku])),""),ROWS($A$15:A234)+$B$3))))),"")</f>
        <v/>
      </c>
      <c r="EF229" s="198" t="str" cm="1">
        <f t="array" ref="EF229">IFERROR(IF($EC$9="",IF($EC$11="",IF($EC$13="",INDEX(bhpc_data[description],SMALL(MATCH(ROW(bhpc_data[sku]),ROW(bhpc_data[sku])),ROWS($A$15:A234)+$B$3)),INDEX(bhpc_data[description],SMALL(IF(ISNUMBER(MATCH(bhpc_data[size1],$EC$13,0)),MATCH(ROW(bhpc_data[sku]),ROW(bhpc_data[sku])),""),ROWS($A$15:A234)+$B$3))),IF($EC$13="",INDEX(bhpc_data[description],SMALL(IF(ISNUMBER(MATCH(bhpc_data[sex],$EC$11,0)),MATCH(ROW(bhpc_data[sku]),ROW(bhpc_data[sku])),""),ROWS($A$15:A234)+$B$3)),INDEX(bhpc_data[description],SMALL(IF(ISNUMBER(MATCH(bhpc_data[sex],$EC$11,0)*MATCH(bhpc_data[size1],$EC$13,0)),MATCH(ROW(bhpc_data[sku]),ROW(bhpc_data[sku])),""),ROWS($A$15:A234)+$B$3)))),IF($EC$11="",IF($EC$13="",INDEX(bhpc_data[description],SMALL(IF(ISNUMBER(MATCH(bhpc_data[category],$EC$9,0)),MATCH(ROW(bhpc_data[sku]),ROW(bhpc_data[sku])),""),ROWS($A$15:A234)+$B$3)),INDEX(bhpc_data[description],SMALL(IF(ISNUMBER(MATCH(bhpc_data[category],$EC$9,0)*MATCH(bhpc_data[size1],$EC$13,0)),MATCH(ROW(bhpc_data[sku]),ROW(bhpc_data[sku])),""),ROWS($A$15:A234)+$B$3))),IF($EC$13="",INDEX(bhpc_data[description],SMALL(IF(ISNUMBER(MATCH(bhpc_data[category],$EC$9,0)*MATCH(bhpc_data[sex],$EC$11,0)),MATCH(ROW(bhpc_data[sku]),ROW(bhpc_data[sku])),""),ROWS($A$15:A234)+$B$3)),INDEX(bhpc_data[description],SMALL(IF(ISNUMBER(MATCH(bhpc_data[category],$EC$9,0)*MATCH(bhpc_data[sex],$EC$11,0)*MATCH(bhpc_data[size1],$EC$13,0)),MATCH(ROW(bhpc_data[sku]),ROW(bhpc_data[sku])),""),ROWS($A$15:A234)+$B$3))))),"")</f>
        <v/>
      </c>
      <c r="EG229" s="263" t="str">
        <f>IFERROR(IF(warehouse[[#This Row],[SKU]]="","",INDEX(inventory[ESISTENZA],MATCH(warehouse[[#This Row],[SKU]],inventory[ARTICOLO],0))),"")</f>
        <v/>
      </c>
      <c r="EH229" s="328"/>
      <c r="EI229" s="328"/>
      <c r="EJ229" s="263"/>
      <c r="EK229" s="113"/>
    </row>
    <row r="230" spans="63:141" x14ac:dyDescent="0.35">
      <c r="BK230" s="450"/>
      <c r="BL230" s="451"/>
      <c r="BM230" s="452"/>
      <c r="BN230" s="451"/>
      <c r="BO230" s="452"/>
      <c r="EE230" s="202" t="str" cm="1">
        <f t="array" ref="EE230">IFERROR(IF($EC$9="",IF($EC$11="",IF($EC$13="",INDEX(bhpc_data[sku],SMALL(MATCH(ROW(bhpc_data[sku]),ROW(bhpc_data[sku])),ROWS($A$15:A235)+$B$3)),INDEX(bhpc_data[sku],SMALL(IF(ISNUMBER(MATCH(bhpc_data[size1],$EC$13,0)),MATCH(ROW(bhpc_data[sku]),ROW(bhpc_data[sku])),""),ROWS($A$15:A235)+$B$3))),IF($EC$13="",INDEX(bhpc_data[sku],SMALL(IF(ISNUMBER(MATCH(bhpc_data[sex],$EC$11,0)),MATCH(ROW(bhpc_data[sku]),ROW(bhpc_data[sku])),""),ROWS($A$15:A235)+$B$3)),INDEX(bhpc_data[sku],SMALL(IF(ISNUMBER(MATCH(bhpc_data[sex],$EC$11,0)*MATCH(bhpc_data[size1],$EC$13,0)),MATCH(ROW(bhpc_data[sku]),ROW(bhpc_data[sku])),""),ROWS($A$15:A235)+$B$3)))),IF($EC$11="",IF($EC$13="",INDEX(bhpc_data[sku],SMALL(IF(ISNUMBER(MATCH(bhpc_data[category],$EC$9,0)),MATCH(ROW(bhpc_data[sku]),ROW(bhpc_data[sku])),""),ROWS($A$15:A235)+$B$3)),INDEX(bhpc_data[sku],SMALL(IF(ISNUMBER(MATCH(bhpc_data[category],$EC$9,0)*MATCH(bhpc_data[size1],$EC$13,0)),MATCH(ROW(bhpc_data[sku]),ROW(bhpc_data[sku])),""),ROWS($A$15:A235)+$B$3))),IF($EC$13="",INDEX(bhpc_data[sku],SMALL(IF(ISNUMBER(MATCH(bhpc_data[category],$EC$9,0)*MATCH(bhpc_data[sex],$EC$11,0)),MATCH(ROW(bhpc_data[sku]),ROW(bhpc_data[sku])),""),ROWS($A$15:A235)+$B$3)),INDEX(bhpc_data[sku],SMALL(IF(ISNUMBER(MATCH(bhpc_data[category],$EC$9,0)*MATCH(bhpc_data[sex],$EC$11,0)*MATCH(bhpc_data[size1],$EC$13,0)),MATCH(ROW(bhpc_data[sku]),ROW(bhpc_data[sku])),""),ROWS($A$15:A235)+$B$3))))),"")</f>
        <v/>
      </c>
      <c r="EF230" s="198" t="str" cm="1">
        <f t="array" ref="EF230">IFERROR(IF($EC$9="",IF($EC$11="",IF($EC$13="",INDEX(bhpc_data[description],SMALL(MATCH(ROW(bhpc_data[sku]),ROW(bhpc_data[sku])),ROWS($A$15:A235)+$B$3)),INDEX(bhpc_data[description],SMALL(IF(ISNUMBER(MATCH(bhpc_data[size1],$EC$13,0)),MATCH(ROW(bhpc_data[sku]),ROW(bhpc_data[sku])),""),ROWS($A$15:A235)+$B$3))),IF($EC$13="",INDEX(bhpc_data[description],SMALL(IF(ISNUMBER(MATCH(bhpc_data[sex],$EC$11,0)),MATCH(ROW(bhpc_data[sku]),ROW(bhpc_data[sku])),""),ROWS($A$15:A235)+$B$3)),INDEX(bhpc_data[description],SMALL(IF(ISNUMBER(MATCH(bhpc_data[sex],$EC$11,0)*MATCH(bhpc_data[size1],$EC$13,0)),MATCH(ROW(bhpc_data[sku]),ROW(bhpc_data[sku])),""),ROWS($A$15:A235)+$B$3)))),IF($EC$11="",IF($EC$13="",INDEX(bhpc_data[description],SMALL(IF(ISNUMBER(MATCH(bhpc_data[category],$EC$9,0)),MATCH(ROW(bhpc_data[sku]),ROW(bhpc_data[sku])),""),ROWS($A$15:A235)+$B$3)),INDEX(bhpc_data[description],SMALL(IF(ISNUMBER(MATCH(bhpc_data[category],$EC$9,0)*MATCH(bhpc_data[size1],$EC$13,0)),MATCH(ROW(bhpc_data[sku]),ROW(bhpc_data[sku])),""),ROWS($A$15:A235)+$B$3))),IF($EC$13="",INDEX(bhpc_data[description],SMALL(IF(ISNUMBER(MATCH(bhpc_data[category],$EC$9,0)*MATCH(bhpc_data[sex],$EC$11,0)),MATCH(ROW(bhpc_data[sku]),ROW(bhpc_data[sku])),""),ROWS($A$15:A235)+$B$3)),INDEX(bhpc_data[description],SMALL(IF(ISNUMBER(MATCH(bhpc_data[category],$EC$9,0)*MATCH(bhpc_data[sex],$EC$11,0)*MATCH(bhpc_data[size1],$EC$13,0)),MATCH(ROW(bhpc_data[sku]),ROW(bhpc_data[sku])),""),ROWS($A$15:A235)+$B$3))))),"")</f>
        <v/>
      </c>
      <c r="EG230" s="263" t="str">
        <f>IFERROR(IF(warehouse[[#This Row],[SKU]]="","",INDEX(inventory[ESISTENZA],MATCH(warehouse[[#This Row],[SKU]],inventory[ARTICOLO],0))),"")</f>
        <v/>
      </c>
      <c r="EH230" s="328"/>
      <c r="EI230" s="328"/>
      <c r="EJ230" s="263"/>
      <c r="EK230" s="113"/>
    </row>
    <row r="231" spans="63:141" x14ac:dyDescent="0.35">
      <c r="BK231" s="450"/>
      <c r="BL231" s="451"/>
      <c r="BM231" s="452"/>
      <c r="BN231" s="451"/>
      <c r="BO231" s="452"/>
      <c r="EE231" s="202" t="str" cm="1">
        <f t="array" ref="EE231">IFERROR(IF($EC$9="",IF($EC$11="",IF($EC$13="",INDEX(bhpc_data[sku],SMALL(MATCH(ROW(bhpc_data[sku]),ROW(bhpc_data[sku])),ROWS($A$15:A236)+$B$3)),INDEX(bhpc_data[sku],SMALL(IF(ISNUMBER(MATCH(bhpc_data[size1],$EC$13,0)),MATCH(ROW(bhpc_data[sku]),ROW(bhpc_data[sku])),""),ROWS($A$15:A236)+$B$3))),IF($EC$13="",INDEX(bhpc_data[sku],SMALL(IF(ISNUMBER(MATCH(bhpc_data[sex],$EC$11,0)),MATCH(ROW(bhpc_data[sku]),ROW(bhpc_data[sku])),""),ROWS($A$15:A236)+$B$3)),INDEX(bhpc_data[sku],SMALL(IF(ISNUMBER(MATCH(bhpc_data[sex],$EC$11,0)*MATCH(bhpc_data[size1],$EC$13,0)),MATCH(ROW(bhpc_data[sku]),ROW(bhpc_data[sku])),""),ROWS($A$15:A236)+$B$3)))),IF($EC$11="",IF($EC$13="",INDEX(bhpc_data[sku],SMALL(IF(ISNUMBER(MATCH(bhpc_data[category],$EC$9,0)),MATCH(ROW(bhpc_data[sku]),ROW(bhpc_data[sku])),""),ROWS($A$15:A236)+$B$3)),INDEX(bhpc_data[sku],SMALL(IF(ISNUMBER(MATCH(bhpc_data[category],$EC$9,0)*MATCH(bhpc_data[size1],$EC$13,0)),MATCH(ROW(bhpc_data[sku]),ROW(bhpc_data[sku])),""),ROWS($A$15:A236)+$B$3))),IF($EC$13="",INDEX(bhpc_data[sku],SMALL(IF(ISNUMBER(MATCH(bhpc_data[category],$EC$9,0)*MATCH(bhpc_data[sex],$EC$11,0)),MATCH(ROW(bhpc_data[sku]),ROW(bhpc_data[sku])),""),ROWS($A$15:A236)+$B$3)),INDEX(bhpc_data[sku],SMALL(IF(ISNUMBER(MATCH(bhpc_data[category],$EC$9,0)*MATCH(bhpc_data[sex],$EC$11,0)*MATCH(bhpc_data[size1],$EC$13,0)),MATCH(ROW(bhpc_data[sku]),ROW(bhpc_data[sku])),""),ROWS($A$15:A236)+$B$3))))),"")</f>
        <v/>
      </c>
      <c r="EF231" s="198" t="str" cm="1">
        <f t="array" ref="EF231">IFERROR(IF($EC$9="",IF($EC$11="",IF($EC$13="",INDEX(bhpc_data[description],SMALL(MATCH(ROW(bhpc_data[sku]),ROW(bhpc_data[sku])),ROWS($A$15:A236)+$B$3)),INDEX(bhpc_data[description],SMALL(IF(ISNUMBER(MATCH(bhpc_data[size1],$EC$13,0)),MATCH(ROW(bhpc_data[sku]),ROW(bhpc_data[sku])),""),ROWS($A$15:A236)+$B$3))),IF($EC$13="",INDEX(bhpc_data[description],SMALL(IF(ISNUMBER(MATCH(bhpc_data[sex],$EC$11,0)),MATCH(ROW(bhpc_data[sku]),ROW(bhpc_data[sku])),""),ROWS($A$15:A236)+$B$3)),INDEX(bhpc_data[description],SMALL(IF(ISNUMBER(MATCH(bhpc_data[sex],$EC$11,0)*MATCH(bhpc_data[size1],$EC$13,0)),MATCH(ROW(bhpc_data[sku]),ROW(bhpc_data[sku])),""),ROWS($A$15:A236)+$B$3)))),IF($EC$11="",IF($EC$13="",INDEX(bhpc_data[description],SMALL(IF(ISNUMBER(MATCH(bhpc_data[category],$EC$9,0)),MATCH(ROW(bhpc_data[sku]),ROW(bhpc_data[sku])),""),ROWS($A$15:A236)+$B$3)),INDEX(bhpc_data[description],SMALL(IF(ISNUMBER(MATCH(bhpc_data[category],$EC$9,0)*MATCH(bhpc_data[size1],$EC$13,0)),MATCH(ROW(bhpc_data[sku]),ROW(bhpc_data[sku])),""),ROWS($A$15:A236)+$B$3))),IF($EC$13="",INDEX(bhpc_data[description],SMALL(IF(ISNUMBER(MATCH(bhpc_data[category],$EC$9,0)*MATCH(bhpc_data[sex],$EC$11,0)),MATCH(ROW(bhpc_data[sku]),ROW(bhpc_data[sku])),""),ROWS($A$15:A236)+$B$3)),INDEX(bhpc_data[description],SMALL(IF(ISNUMBER(MATCH(bhpc_data[category],$EC$9,0)*MATCH(bhpc_data[sex],$EC$11,0)*MATCH(bhpc_data[size1],$EC$13,0)),MATCH(ROW(bhpc_data[sku]),ROW(bhpc_data[sku])),""),ROWS($A$15:A236)+$B$3))))),"")</f>
        <v/>
      </c>
      <c r="EG231" s="263" t="str">
        <f>IFERROR(IF(warehouse[[#This Row],[SKU]]="","",INDEX(inventory[ESISTENZA],MATCH(warehouse[[#This Row],[SKU]],inventory[ARTICOLO],0))),"")</f>
        <v/>
      </c>
      <c r="EH231" s="328"/>
      <c r="EI231" s="328"/>
      <c r="EJ231" s="263"/>
      <c r="EK231" s="113"/>
    </row>
    <row r="232" spans="63:141" x14ac:dyDescent="0.35">
      <c r="BK232" s="450"/>
      <c r="BL232" s="451"/>
      <c r="BM232" s="452"/>
      <c r="BN232" s="451"/>
      <c r="BO232" s="452"/>
      <c r="EE232" s="202" t="str" cm="1">
        <f t="array" ref="EE232">IFERROR(IF($EC$9="",IF($EC$11="",IF($EC$13="",INDEX(bhpc_data[sku],SMALL(MATCH(ROW(bhpc_data[sku]),ROW(bhpc_data[sku])),ROWS($A$15:A237)+$B$3)),INDEX(bhpc_data[sku],SMALL(IF(ISNUMBER(MATCH(bhpc_data[size1],$EC$13,0)),MATCH(ROW(bhpc_data[sku]),ROW(bhpc_data[sku])),""),ROWS($A$15:A237)+$B$3))),IF($EC$13="",INDEX(bhpc_data[sku],SMALL(IF(ISNUMBER(MATCH(bhpc_data[sex],$EC$11,0)),MATCH(ROW(bhpc_data[sku]),ROW(bhpc_data[sku])),""),ROWS($A$15:A237)+$B$3)),INDEX(bhpc_data[sku],SMALL(IF(ISNUMBER(MATCH(bhpc_data[sex],$EC$11,0)*MATCH(bhpc_data[size1],$EC$13,0)),MATCH(ROW(bhpc_data[sku]),ROW(bhpc_data[sku])),""),ROWS($A$15:A237)+$B$3)))),IF($EC$11="",IF($EC$13="",INDEX(bhpc_data[sku],SMALL(IF(ISNUMBER(MATCH(bhpc_data[category],$EC$9,0)),MATCH(ROW(bhpc_data[sku]),ROW(bhpc_data[sku])),""),ROWS($A$15:A237)+$B$3)),INDEX(bhpc_data[sku],SMALL(IF(ISNUMBER(MATCH(bhpc_data[category],$EC$9,0)*MATCH(bhpc_data[size1],$EC$13,0)),MATCH(ROW(bhpc_data[sku]),ROW(bhpc_data[sku])),""),ROWS($A$15:A237)+$B$3))),IF($EC$13="",INDEX(bhpc_data[sku],SMALL(IF(ISNUMBER(MATCH(bhpc_data[category],$EC$9,0)*MATCH(bhpc_data[sex],$EC$11,0)),MATCH(ROW(bhpc_data[sku]),ROW(bhpc_data[sku])),""),ROWS($A$15:A237)+$B$3)),INDEX(bhpc_data[sku],SMALL(IF(ISNUMBER(MATCH(bhpc_data[category],$EC$9,0)*MATCH(bhpc_data[sex],$EC$11,0)*MATCH(bhpc_data[size1],$EC$13,0)),MATCH(ROW(bhpc_data[sku]),ROW(bhpc_data[sku])),""),ROWS($A$15:A237)+$B$3))))),"")</f>
        <v/>
      </c>
      <c r="EF232" s="198" t="str" cm="1">
        <f t="array" ref="EF232">IFERROR(IF($EC$9="",IF($EC$11="",IF($EC$13="",INDEX(bhpc_data[description],SMALL(MATCH(ROW(bhpc_data[sku]),ROW(bhpc_data[sku])),ROWS($A$15:A237)+$B$3)),INDEX(bhpc_data[description],SMALL(IF(ISNUMBER(MATCH(bhpc_data[size1],$EC$13,0)),MATCH(ROW(bhpc_data[sku]),ROW(bhpc_data[sku])),""),ROWS($A$15:A237)+$B$3))),IF($EC$13="",INDEX(bhpc_data[description],SMALL(IF(ISNUMBER(MATCH(bhpc_data[sex],$EC$11,0)),MATCH(ROW(bhpc_data[sku]),ROW(bhpc_data[sku])),""),ROWS($A$15:A237)+$B$3)),INDEX(bhpc_data[description],SMALL(IF(ISNUMBER(MATCH(bhpc_data[sex],$EC$11,0)*MATCH(bhpc_data[size1],$EC$13,0)),MATCH(ROW(bhpc_data[sku]),ROW(bhpc_data[sku])),""),ROWS($A$15:A237)+$B$3)))),IF($EC$11="",IF($EC$13="",INDEX(bhpc_data[description],SMALL(IF(ISNUMBER(MATCH(bhpc_data[category],$EC$9,0)),MATCH(ROW(bhpc_data[sku]),ROW(bhpc_data[sku])),""),ROWS($A$15:A237)+$B$3)),INDEX(bhpc_data[description],SMALL(IF(ISNUMBER(MATCH(bhpc_data[category],$EC$9,0)*MATCH(bhpc_data[size1],$EC$13,0)),MATCH(ROW(bhpc_data[sku]),ROW(bhpc_data[sku])),""),ROWS($A$15:A237)+$B$3))),IF($EC$13="",INDEX(bhpc_data[description],SMALL(IF(ISNUMBER(MATCH(bhpc_data[category],$EC$9,0)*MATCH(bhpc_data[sex],$EC$11,0)),MATCH(ROW(bhpc_data[sku]),ROW(bhpc_data[sku])),""),ROWS($A$15:A237)+$B$3)),INDEX(bhpc_data[description],SMALL(IF(ISNUMBER(MATCH(bhpc_data[category],$EC$9,0)*MATCH(bhpc_data[sex],$EC$11,0)*MATCH(bhpc_data[size1],$EC$13,0)),MATCH(ROW(bhpc_data[sku]),ROW(bhpc_data[sku])),""),ROWS($A$15:A237)+$B$3))))),"")</f>
        <v/>
      </c>
      <c r="EG232" s="263" t="str">
        <f>IFERROR(IF(warehouse[[#This Row],[SKU]]="","",INDEX(inventory[ESISTENZA],MATCH(warehouse[[#This Row],[SKU]],inventory[ARTICOLO],0))),"")</f>
        <v/>
      </c>
      <c r="EH232" s="328"/>
      <c r="EI232" s="328"/>
      <c r="EJ232" s="263"/>
      <c r="EK232" s="113"/>
    </row>
    <row r="233" spans="63:141" x14ac:dyDescent="0.35">
      <c r="BK233" s="450"/>
      <c r="BL233" s="451"/>
      <c r="BM233" s="452"/>
      <c r="BN233" s="451"/>
      <c r="BO233" s="452"/>
      <c r="EE233" s="202" t="str" cm="1">
        <f t="array" ref="EE233">IFERROR(IF($EC$9="",IF($EC$11="",IF($EC$13="",INDEX(bhpc_data[sku],SMALL(MATCH(ROW(bhpc_data[sku]),ROW(bhpc_data[sku])),ROWS($A$15:A238)+$B$3)),INDEX(bhpc_data[sku],SMALL(IF(ISNUMBER(MATCH(bhpc_data[size1],$EC$13,0)),MATCH(ROW(bhpc_data[sku]),ROW(bhpc_data[sku])),""),ROWS($A$15:A238)+$B$3))),IF($EC$13="",INDEX(bhpc_data[sku],SMALL(IF(ISNUMBER(MATCH(bhpc_data[sex],$EC$11,0)),MATCH(ROW(bhpc_data[sku]),ROW(bhpc_data[sku])),""),ROWS($A$15:A238)+$B$3)),INDEX(bhpc_data[sku],SMALL(IF(ISNUMBER(MATCH(bhpc_data[sex],$EC$11,0)*MATCH(bhpc_data[size1],$EC$13,0)),MATCH(ROW(bhpc_data[sku]),ROW(bhpc_data[sku])),""),ROWS($A$15:A238)+$B$3)))),IF($EC$11="",IF($EC$13="",INDEX(bhpc_data[sku],SMALL(IF(ISNUMBER(MATCH(bhpc_data[category],$EC$9,0)),MATCH(ROW(bhpc_data[sku]),ROW(bhpc_data[sku])),""),ROWS($A$15:A238)+$B$3)),INDEX(bhpc_data[sku],SMALL(IF(ISNUMBER(MATCH(bhpc_data[category],$EC$9,0)*MATCH(bhpc_data[size1],$EC$13,0)),MATCH(ROW(bhpc_data[sku]),ROW(bhpc_data[sku])),""),ROWS($A$15:A238)+$B$3))),IF($EC$13="",INDEX(bhpc_data[sku],SMALL(IF(ISNUMBER(MATCH(bhpc_data[category],$EC$9,0)*MATCH(bhpc_data[sex],$EC$11,0)),MATCH(ROW(bhpc_data[sku]),ROW(bhpc_data[sku])),""),ROWS($A$15:A238)+$B$3)),INDEX(bhpc_data[sku],SMALL(IF(ISNUMBER(MATCH(bhpc_data[category],$EC$9,0)*MATCH(bhpc_data[sex],$EC$11,0)*MATCH(bhpc_data[size1],$EC$13,0)),MATCH(ROW(bhpc_data[sku]),ROW(bhpc_data[sku])),""),ROWS($A$15:A238)+$B$3))))),"")</f>
        <v/>
      </c>
      <c r="EF233" s="198" t="str" cm="1">
        <f t="array" ref="EF233">IFERROR(IF($EC$9="",IF($EC$11="",IF($EC$13="",INDEX(bhpc_data[description],SMALL(MATCH(ROW(bhpc_data[sku]),ROW(bhpc_data[sku])),ROWS($A$15:A238)+$B$3)),INDEX(bhpc_data[description],SMALL(IF(ISNUMBER(MATCH(bhpc_data[size1],$EC$13,0)),MATCH(ROW(bhpc_data[sku]),ROW(bhpc_data[sku])),""),ROWS($A$15:A238)+$B$3))),IF($EC$13="",INDEX(bhpc_data[description],SMALL(IF(ISNUMBER(MATCH(bhpc_data[sex],$EC$11,0)),MATCH(ROW(bhpc_data[sku]),ROW(bhpc_data[sku])),""),ROWS($A$15:A238)+$B$3)),INDEX(bhpc_data[description],SMALL(IF(ISNUMBER(MATCH(bhpc_data[sex],$EC$11,0)*MATCH(bhpc_data[size1],$EC$13,0)),MATCH(ROW(bhpc_data[sku]),ROW(bhpc_data[sku])),""),ROWS($A$15:A238)+$B$3)))),IF($EC$11="",IF($EC$13="",INDEX(bhpc_data[description],SMALL(IF(ISNUMBER(MATCH(bhpc_data[category],$EC$9,0)),MATCH(ROW(bhpc_data[sku]),ROW(bhpc_data[sku])),""),ROWS($A$15:A238)+$B$3)),INDEX(bhpc_data[description],SMALL(IF(ISNUMBER(MATCH(bhpc_data[category],$EC$9,0)*MATCH(bhpc_data[size1],$EC$13,0)),MATCH(ROW(bhpc_data[sku]),ROW(bhpc_data[sku])),""),ROWS($A$15:A238)+$B$3))),IF($EC$13="",INDEX(bhpc_data[description],SMALL(IF(ISNUMBER(MATCH(bhpc_data[category],$EC$9,0)*MATCH(bhpc_data[sex],$EC$11,0)),MATCH(ROW(bhpc_data[sku]),ROW(bhpc_data[sku])),""),ROWS($A$15:A238)+$B$3)),INDEX(bhpc_data[description],SMALL(IF(ISNUMBER(MATCH(bhpc_data[category],$EC$9,0)*MATCH(bhpc_data[sex],$EC$11,0)*MATCH(bhpc_data[size1],$EC$13,0)),MATCH(ROW(bhpc_data[sku]),ROW(bhpc_data[sku])),""),ROWS($A$15:A238)+$B$3))))),"")</f>
        <v/>
      </c>
      <c r="EG233" s="263" t="str">
        <f>IFERROR(IF(warehouse[[#This Row],[SKU]]="","",INDEX(inventory[ESISTENZA],MATCH(warehouse[[#This Row],[SKU]],inventory[ARTICOLO],0))),"")</f>
        <v/>
      </c>
      <c r="EH233" s="328"/>
      <c r="EI233" s="328"/>
      <c r="EJ233" s="263"/>
      <c r="EK233" s="113"/>
    </row>
    <row r="234" spans="63:141" x14ac:dyDescent="0.35">
      <c r="BK234" s="450"/>
      <c r="BL234" s="451"/>
      <c r="BM234" s="452"/>
      <c r="BN234" s="451"/>
      <c r="BO234" s="452"/>
      <c r="EE234" s="202" t="str" cm="1">
        <f t="array" ref="EE234">IFERROR(IF($EC$9="",IF($EC$11="",IF($EC$13="",INDEX(bhpc_data[sku],SMALL(MATCH(ROW(bhpc_data[sku]),ROW(bhpc_data[sku])),ROWS($A$15:A239)+$B$3)),INDEX(bhpc_data[sku],SMALL(IF(ISNUMBER(MATCH(bhpc_data[size1],$EC$13,0)),MATCH(ROW(bhpc_data[sku]),ROW(bhpc_data[sku])),""),ROWS($A$15:A239)+$B$3))),IF($EC$13="",INDEX(bhpc_data[sku],SMALL(IF(ISNUMBER(MATCH(bhpc_data[sex],$EC$11,0)),MATCH(ROW(bhpc_data[sku]),ROW(bhpc_data[sku])),""),ROWS($A$15:A239)+$B$3)),INDEX(bhpc_data[sku],SMALL(IF(ISNUMBER(MATCH(bhpc_data[sex],$EC$11,0)*MATCH(bhpc_data[size1],$EC$13,0)),MATCH(ROW(bhpc_data[sku]),ROW(bhpc_data[sku])),""),ROWS($A$15:A239)+$B$3)))),IF($EC$11="",IF($EC$13="",INDEX(bhpc_data[sku],SMALL(IF(ISNUMBER(MATCH(bhpc_data[category],$EC$9,0)),MATCH(ROW(bhpc_data[sku]),ROW(bhpc_data[sku])),""),ROWS($A$15:A239)+$B$3)),INDEX(bhpc_data[sku],SMALL(IF(ISNUMBER(MATCH(bhpc_data[category],$EC$9,0)*MATCH(bhpc_data[size1],$EC$13,0)),MATCH(ROW(bhpc_data[sku]),ROW(bhpc_data[sku])),""),ROWS($A$15:A239)+$B$3))),IF($EC$13="",INDEX(bhpc_data[sku],SMALL(IF(ISNUMBER(MATCH(bhpc_data[category],$EC$9,0)*MATCH(bhpc_data[sex],$EC$11,0)),MATCH(ROW(bhpc_data[sku]),ROW(bhpc_data[sku])),""),ROWS($A$15:A239)+$B$3)),INDEX(bhpc_data[sku],SMALL(IF(ISNUMBER(MATCH(bhpc_data[category],$EC$9,0)*MATCH(bhpc_data[sex],$EC$11,0)*MATCH(bhpc_data[size1],$EC$13,0)),MATCH(ROW(bhpc_data[sku]),ROW(bhpc_data[sku])),""),ROWS($A$15:A239)+$B$3))))),"")</f>
        <v/>
      </c>
      <c r="EF234" s="198" t="str" cm="1">
        <f t="array" ref="EF234">IFERROR(IF($EC$9="",IF($EC$11="",IF($EC$13="",INDEX(bhpc_data[description],SMALL(MATCH(ROW(bhpc_data[sku]),ROW(bhpc_data[sku])),ROWS($A$15:A239)+$B$3)),INDEX(bhpc_data[description],SMALL(IF(ISNUMBER(MATCH(bhpc_data[size1],$EC$13,0)),MATCH(ROW(bhpc_data[sku]),ROW(bhpc_data[sku])),""),ROWS($A$15:A239)+$B$3))),IF($EC$13="",INDEX(bhpc_data[description],SMALL(IF(ISNUMBER(MATCH(bhpc_data[sex],$EC$11,0)),MATCH(ROW(bhpc_data[sku]),ROW(bhpc_data[sku])),""),ROWS($A$15:A239)+$B$3)),INDEX(bhpc_data[description],SMALL(IF(ISNUMBER(MATCH(bhpc_data[sex],$EC$11,0)*MATCH(bhpc_data[size1],$EC$13,0)),MATCH(ROW(bhpc_data[sku]),ROW(bhpc_data[sku])),""),ROWS($A$15:A239)+$B$3)))),IF($EC$11="",IF($EC$13="",INDEX(bhpc_data[description],SMALL(IF(ISNUMBER(MATCH(bhpc_data[category],$EC$9,0)),MATCH(ROW(bhpc_data[sku]),ROW(bhpc_data[sku])),""),ROWS($A$15:A239)+$B$3)),INDEX(bhpc_data[description],SMALL(IF(ISNUMBER(MATCH(bhpc_data[category],$EC$9,0)*MATCH(bhpc_data[size1],$EC$13,0)),MATCH(ROW(bhpc_data[sku]),ROW(bhpc_data[sku])),""),ROWS($A$15:A239)+$B$3))),IF($EC$13="",INDEX(bhpc_data[description],SMALL(IF(ISNUMBER(MATCH(bhpc_data[category],$EC$9,0)*MATCH(bhpc_data[sex],$EC$11,0)),MATCH(ROW(bhpc_data[sku]),ROW(bhpc_data[sku])),""),ROWS($A$15:A239)+$B$3)),INDEX(bhpc_data[description],SMALL(IF(ISNUMBER(MATCH(bhpc_data[category],$EC$9,0)*MATCH(bhpc_data[sex],$EC$11,0)*MATCH(bhpc_data[size1],$EC$13,0)),MATCH(ROW(bhpc_data[sku]),ROW(bhpc_data[sku])),""),ROWS($A$15:A239)+$B$3))))),"")</f>
        <v/>
      </c>
      <c r="EG234" s="263" t="str">
        <f>IFERROR(IF(warehouse[[#This Row],[SKU]]="","",INDEX(inventory[ESISTENZA],MATCH(warehouse[[#This Row],[SKU]],inventory[ARTICOLO],0))),"")</f>
        <v/>
      </c>
      <c r="EH234" s="328"/>
      <c r="EI234" s="328"/>
      <c r="EJ234" s="263"/>
      <c r="EK234" s="113"/>
    </row>
    <row r="235" spans="63:141" x14ac:dyDescent="0.35">
      <c r="BK235" s="450"/>
      <c r="BL235" s="451"/>
      <c r="BM235" s="452"/>
      <c r="BN235" s="451"/>
      <c r="BO235" s="452"/>
      <c r="EE235" s="202" t="str" cm="1">
        <f t="array" ref="EE235">IFERROR(IF($EC$9="",IF($EC$11="",IF($EC$13="",INDEX(bhpc_data[sku],SMALL(MATCH(ROW(bhpc_data[sku]),ROW(bhpc_data[sku])),ROWS($A$15:A240)+$B$3)),INDEX(bhpc_data[sku],SMALL(IF(ISNUMBER(MATCH(bhpc_data[size1],$EC$13,0)),MATCH(ROW(bhpc_data[sku]),ROW(bhpc_data[sku])),""),ROWS($A$15:A240)+$B$3))),IF($EC$13="",INDEX(bhpc_data[sku],SMALL(IF(ISNUMBER(MATCH(bhpc_data[sex],$EC$11,0)),MATCH(ROW(bhpc_data[sku]),ROW(bhpc_data[sku])),""),ROWS($A$15:A240)+$B$3)),INDEX(bhpc_data[sku],SMALL(IF(ISNUMBER(MATCH(bhpc_data[sex],$EC$11,0)*MATCH(bhpc_data[size1],$EC$13,0)),MATCH(ROW(bhpc_data[sku]),ROW(bhpc_data[sku])),""),ROWS($A$15:A240)+$B$3)))),IF($EC$11="",IF($EC$13="",INDEX(bhpc_data[sku],SMALL(IF(ISNUMBER(MATCH(bhpc_data[category],$EC$9,0)),MATCH(ROW(bhpc_data[sku]),ROW(bhpc_data[sku])),""),ROWS($A$15:A240)+$B$3)),INDEX(bhpc_data[sku],SMALL(IF(ISNUMBER(MATCH(bhpc_data[category],$EC$9,0)*MATCH(bhpc_data[size1],$EC$13,0)),MATCH(ROW(bhpc_data[sku]),ROW(bhpc_data[sku])),""),ROWS($A$15:A240)+$B$3))),IF($EC$13="",INDEX(bhpc_data[sku],SMALL(IF(ISNUMBER(MATCH(bhpc_data[category],$EC$9,0)*MATCH(bhpc_data[sex],$EC$11,0)),MATCH(ROW(bhpc_data[sku]),ROW(bhpc_data[sku])),""),ROWS($A$15:A240)+$B$3)),INDEX(bhpc_data[sku],SMALL(IF(ISNUMBER(MATCH(bhpc_data[category],$EC$9,0)*MATCH(bhpc_data[sex],$EC$11,0)*MATCH(bhpc_data[size1],$EC$13,0)),MATCH(ROW(bhpc_data[sku]),ROW(bhpc_data[sku])),""),ROWS($A$15:A240)+$B$3))))),"")</f>
        <v/>
      </c>
      <c r="EF235" s="198" t="str" cm="1">
        <f t="array" ref="EF235">IFERROR(IF($EC$9="",IF($EC$11="",IF($EC$13="",INDEX(bhpc_data[description],SMALL(MATCH(ROW(bhpc_data[sku]),ROW(bhpc_data[sku])),ROWS($A$15:A240)+$B$3)),INDEX(bhpc_data[description],SMALL(IF(ISNUMBER(MATCH(bhpc_data[size1],$EC$13,0)),MATCH(ROW(bhpc_data[sku]),ROW(bhpc_data[sku])),""),ROWS($A$15:A240)+$B$3))),IF($EC$13="",INDEX(bhpc_data[description],SMALL(IF(ISNUMBER(MATCH(bhpc_data[sex],$EC$11,0)),MATCH(ROW(bhpc_data[sku]),ROW(bhpc_data[sku])),""),ROWS($A$15:A240)+$B$3)),INDEX(bhpc_data[description],SMALL(IF(ISNUMBER(MATCH(bhpc_data[sex],$EC$11,0)*MATCH(bhpc_data[size1],$EC$13,0)),MATCH(ROW(bhpc_data[sku]),ROW(bhpc_data[sku])),""),ROWS($A$15:A240)+$B$3)))),IF($EC$11="",IF($EC$13="",INDEX(bhpc_data[description],SMALL(IF(ISNUMBER(MATCH(bhpc_data[category],$EC$9,0)),MATCH(ROW(bhpc_data[sku]),ROW(bhpc_data[sku])),""),ROWS($A$15:A240)+$B$3)),INDEX(bhpc_data[description],SMALL(IF(ISNUMBER(MATCH(bhpc_data[category],$EC$9,0)*MATCH(bhpc_data[size1],$EC$13,0)),MATCH(ROW(bhpc_data[sku]),ROW(bhpc_data[sku])),""),ROWS($A$15:A240)+$B$3))),IF($EC$13="",INDEX(bhpc_data[description],SMALL(IF(ISNUMBER(MATCH(bhpc_data[category],$EC$9,0)*MATCH(bhpc_data[sex],$EC$11,0)),MATCH(ROW(bhpc_data[sku]),ROW(bhpc_data[sku])),""),ROWS($A$15:A240)+$B$3)),INDEX(bhpc_data[description],SMALL(IF(ISNUMBER(MATCH(bhpc_data[category],$EC$9,0)*MATCH(bhpc_data[sex],$EC$11,0)*MATCH(bhpc_data[size1],$EC$13,0)),MATCH(ROW(bhpc_data[sku]),ROW(bhpc_data[sku])),""),ROWS($A$15:A240)+$B$3))))),"")</f>
        <v/>
      </c>
      <c r="EG235" s="263" t="str">
        <f>IFERROR(IF(warehouse[[#This Row],[SKU]]="","",INDEX(inventory[ESISTENZA],MATCH(warehouse[[#This Row],[SKU]],inventory[ARTICOLO],0))),"")</f>
        <v/>
      </c>
      <c r="EH235" s="328"/>
      <c r="EI235" s="328"/>
      <c r="EJ235" s="263"/>
      <c r="EK235" s="113"/>
    </row>
    <row r="236" spans="63:141" x14ac:dyDescent="0.35">
      <c r="BK236" s="450"/>
      <c r="BL236" s="451"/>
      <c r="BM236" s="452"/>
      <c r="BN236" s="451"/>
      <c r="BO236" s="452"/>
      <c r="EE236" s="202" t="str" cm="1">
        <f t="array" ref="EE236">IFERROR(IF($EC$9="",IF($EC$11="",IF($EC$13="",INDEX(bhpc_data[sku],SMALL(MATCH(ROW(bhpc_data[sku]),ROW(bhpc_data[sku])),ROWS($A$15:A241)+$B$3)),INDEX(bhpc_data[sku],SMALL(IF(ISNUMBER(MATCH(bhpc_data[size1],$EC$13,0)),MATCH(ROW(bhpc_data[sku]),ROW(bhpc_data[sku])),""),ROWS($A$15:A241)+$B$3))),IF($EC$13="",INDEX(bhpc_data[sku],SMALL(IF(ISNUMBER(MATCH(bhpc_data[sex],$EC$11,0)),MATCH(ROW(bhpc_data[sku]),ROW(bhpc_data[sku])),""),ROWS($A$15:A241)+$B$3)),INDEX(bhpc_data[sku],SMALL(IF(ISNUMBER(MATCH(bhpc_data[sex],$EC$11,0)*MATCH(bhpc_data[size1],$EC$13,0)),MATCH(ROW(bhpc_data[sku]),ROW(bhpc_data[sku])),""),ROWS($A$15:A241)+$B$3)))),IF($EC$11="",IF($EC$13="",INDEX(bhpc_data[sku],SMALL(IF(ISNUMBER(MATCH(bhpc_data[category],$EC$9,0)),MATCH(ROW(bhpc_data[sku]),ROW(bhpc_data[sku])),""),ROWS($A$15:A241)+$B$3)),INDEX(bhpc_data[sku],SMALL(IF(ISNUMBER(MATCH(bhpc_data[category],$EC$9,0)*MATCH(bhpc_data[size1],$EC$13,0)),MATCH(ROW(bhpc_data[sku]),ROW(bhpc_data[sku])),""),ROWS($A$15:A241)+$B$3))),IF($EC$13="",INDEX(bhpc_data[sku],SMALL(IF(ISNUMBER(MATCH(bhpc_data[category],$EC$9,0)*MATCH(bhpc_data[sex],$EC$11,0)),MATCH(ROW(bhpc_data[sku]),ROW(bhpc_data[sku])),""),ROWS($A$15:A241)+$B$3)),INDEX(bhpc_data[sku],SMALL(IF(ISNUMBER(MATCH(bhpc_data[category],$EC$9,0)*MATCH(bhpc_data[sex],$EC$11,0)*MATCH(bhpc_data[size1],$EC$13,0)),MATCH(ROW(bhpc_data[sku]),ROW(bhpc_data[sku])),""),ROWS($A$15:A241)+$B$3))))),"")</f>
        <v/>
      </c>
      <c r="EF236" s="198" t="str" cm="1">
        <f t="array" ref="EF236">IFERROR(IF($EC$9="",IF($EC$11="",IF($EC$13="",INDEX(bhpc_data[description],SMALL(MATCH(ROW(bhpc_data[sku]),ROW(bhpc_data[sku])),ROWS($A$15:A241)+$B$3)),INDEX(bhpc_data[description],SMALL(IF(ISNUMBER(MATCH(bhpc_data[size1],$EC$13,0)),MATCH(ROW(bhpc_data[sku]),ROW(bhpc_data[sku])),""),ROWS($A$15:A241)+$B$3))),IF($EC$13="",INDEX(bhpc_data[description],SMALL(IF(ISNUMBER(MATCH(bhpc_data[sex],$EC$11,0)),MATCH(ROW(bhpc_data[sku]),ROW(bhpc_data[sku])),""),ROWS($A$15:A241)+$B$3)),INDEX(bhpc_data[description],SMALL(IF(ISNUMBER(MATCH(bhpc_data[sex],$EC$11,0)*MATCH(bhpc_data[size1],$EC$13,0)),MATCH(ROW(bhpc_data[sku]),ROW(bhpc_data[sku])),""),ROWS($A$15:A241)+$B$3)))),IF($EC$11="",IF($EC$13="",INDEX(bhpc_data[description],SMALL(IF(ISNUMBER(MATCH(bhpc_data[category],$EC$9,0)),MATCH(ROW(bhpc_data[sku]),ROW(bhpc_data[sku])),""),ROWS($A$15:A241)+$B$3)),INDEX(bhpc_data[description],SMALL(IF(ISNUMBER(MATCH(bhpc_data[category],$EC$9,0)*MATCH(bhpc_data[size1],$EC$13,0)),MATCH(ROW(bhpc_data[sku]),ROW(bhpc_data[sku])),""),ROWS($A$15:A241)+$B$3))),IF($EC$13="",INDEX(bhpc_data[description],SMALL(IF(ISNUMBER(MATCH(bhpc_data[category],$EC$9,0)*MATCH(bhpc_data[sex],$EC$11,0)),MATCH(ROW(bhpc_data[sku]),ROW(bhpc_data[sku])),""),ROWS($A$15:A241)+$B$3)),INDEX(bhpc_data[description],SMALL(IF(ISNUMBER(MATCH(bhpc_data[category],$EC$9,0)*MATCH(bhpc_data[sex],$EC$11,0)*MATCH(bhpc_data[size1],$EC$13,0)),MATCH(ROW(bhpc_data[sku]),ROW(bhpc_data[sku])),""),ROWS($A$15:A241)+$B$3))))),"")</f>
        <v/>
      </c>
      <c r="EG236" s="263" t="str">
        <f>IFERROR(IF(warehouse[[#This Row],[SKU]]="","",INDEX(inventory[ESISTENZA],MATCH(warehouse[[#This Row],[SKU]],inventory[ARTICOLO],0))),"")</f>
        <v/>
      </c>
      <c r="EH236" s="328"/>
      <c r="EI236" s="328"/>
      <c r="EJ236" s="263"/>
      <c r="EK236" s="113"/>
    </row>
    <row r="237" spans="63:141" x14ac:dyDescent="0.35">
      <c r="BK237" s="450"/>
      <c r="BL237" s="451"/>
      <c r="BM237" s="452"/>
      <c r="BN237" s="451"/>
      <c r="BO237" s="452"/>
      <c r="EE237" s="202" t="str" cm="1">
        <f t="array" ref="EE237">IFERROR(IF($EC$9="",IF($EC$11="",IF($EC$13="",INDEX(bhpc_data[sku],SMALL(MATCH(ROW(bhpc_data[sku]),ROW(bhpc_data[sku])),ROWS($A$15:A242)+$B$3)),INDEX(bhpc_data[sku],SMALL(IF(ISNUMBER(MATCH(bhpc_data[size1],$EC$13,0)),MATCH(ROW(bhpc_data[sku]),ROW(bhpc_data[sku])),""),ROWS($A$15:A242)+$B$3))),IF($EC$13="",INDEX(bhpc_data[sku],SMALL(IF(ISNUMBER(MATCH(bhpc_data[sex],$EC$11,0)),MATCH(ROW(bhpc_data[sku]),ROW(bhpc_data[sku])),""),ROWS($A$15:A242)+$B$3)),INDEX(bhpc_data[sku],SMALL(IF(ISNUMBER(MATCH(bhpc_data[sex],$EC$11,0)*MATCH(bhpc_data[size1],$EC$13,0)),MATCH(ROW(bhpc_data[sku]),ROW(bhpc_data[sku])),""),ROWS($A$15:A242)+$B$3)))),IF($EC$11="",IF($EC$13="",INDEX(bhpc_data[sku],SMALL(IF(ISNUMBER(MATCH(bhpc_data[category],$EC$9,0)),MATCH(ROW(bhpc_data[sku]),ROW(bhpc_data[sku])),""),ROWS($A$15:A242)+$B$3)),INDEX(bhpc_data[sku],SMALL(IF(ISNUMBER(MATCH(bhpc_data[category],$EC$9,0)*MATCH(bhpc_data[size1],$EC$13,0)),MATCH(ROW(bhpc_data[sku]),ROW(bhpc_data[sku])),""),ROWS($A$15:A242)+$B$3))),IF($EC$13="",INDEX(bhpc_data[sku],SMALL(IF(ISNUMBER(MATCH(bhpc_data[category],$EC$9,0)*MATCH(bhpc_data[sex],$EC$11,0)),MATCH(ROW(bhpc_data[sku]),ROW(bhpc_data[sku])),""),ROWS($A$15:A242)+$B$3)),INDEX(bhpc_data[sku],SMALL(IF(ISNUMBER(MATCH(bhpc_data[category],$EC$9,0)*MATCH(bhpc_data[sex],$EC$11,0)*MATCH(bhpc_data[size1],$EC$13,0)),MATCH(ROW(bhpc_data[sku]),ROW(bhpc_data[sku])),""),ROWS($A$15:A242)+$B$3))))),"")</f>
        <v/>
      </c>
      <c r="EF237" s="198" t="str" cm="1">
        <f t="array" ref="EF237">IFERROR(IF($EC$9="",IF($EC$11="",IF($EC$13="",INDEX(bhpc_data[description],SMALL(MATCH(ROW(bhpc_data[sku]),ROW(bhpc_data[sku])),ROWS($A$15:A242)+$B$3)),INDEX(bhpc_data[description],SMALL(IF(ISNUMBER(MATCH(bhpc_data[size1],$EC$13,0)),MATCH(ROW(bhpc_data[sku]),ROW(bhpc_data[sku])),""),ROWS($A$15:A242)+$B$3))),IF($EC$13="",INDEX(bhpc_data[description],SMALL(IF(ISNUMBER(MATCH(bhpc_data[sex],$EC$11,0)),MATCH(ROW(bhpc_data[sku]),ROW(bhpc_data[sku])),""),ROWS($A$15:A242)+$B$3)),INDEX(bhpc_data[description],SMALL(IF(ISNUMBER(MATCH(bhpc_data[sex],$EC$11,0)*MATCH(bhpc_data[size1],$EC$13,0)),MATCH(ROW(bhpc_data[sku]),ROW(bhpc_data[sku])),""),ROWS($A$15:A242)+$B$3)))),IF($EC$11="",IF($EC$13="",INDEX(bhpc_data[description],SMALL(IF(ISNUMBER(MATCH(bhpc_data[category],$EC$9,0)),MATCH(ROW(bhpc_data[sku]),ROW(bhpc_data[sku])),""),ROWS($A$15:A242)+$B$3)),INDEX(bhpc_data[description],SMALL(IF(ISNUMBER(MATCH(bhpc_data[category],$EC$9,0)*MATCH(bhpc_data[size1],$EC$13,0)),MATCH(ROW(bhpc_data[sku]),ROW(bhpc_data[sku])),""),ROWS($A$15:A242)+$B$3))),IF($EC$13="",INDEX(bhpc_data[description],SMALL(IF(ISNUMBER(MATCH(bhpc_data[category],$EC$9,0)*MATCH(bhpc_data[sex],$EC$11,0)),MATCH(ROW(bhpc_data[sku]),ROW(bhpc_data[sku])),""),ROWS($A$15:A242)+$B$3)),INDEX(bhpc_data[description],SMALL(IF(ISNUMBER(MATCH(bhpc_data[category],$EC$9,0)*MATCH(bhpc_data[sex],$EC$11,0)*MATCH(bhpc_data[size1],$EC$13,0)),MATCH(ROW(bhpc_data[sku]),ROW(bhpc_data[sku])),""),ROWS($A$15:A242)+$B$3))))),"")</f>
        <v/>
      </c>
      <c r="EG237" s="263" t="str">
        <f>IFERROR(IF(warehouse[[#This Row],[SKU]]="","",INDEX(inventory[ESISTENZA],MATCH(warehouse[[#This Row],[SKU]],inventory[ARTICOLO],0))),"")</f>
        <v/>
      </c>
      <c r="EH237" s="328"/>
      <c r="EI237" s="328"/>
      <c r="EJ237" s="263"/>
      <c r="EK237" s="113"/>
    </row>
    <row r="238" spans="63:141" x14ac:dyDescent="0.35">
      <c r="BK238" s="450"/>
      <c r="BL238" s="451"/>
      <c r="BM238" s="452"/>
      <c r="BN238" s="451"/>
      <c r="BO238" s="452"/>
      <c r="EE238" s="202" t="str" cm="1">
        <f t="array" ref="EE238">IFERROR(IF($EC$9="",IF($EC$11="",IF($EC$13="",INDEX(bhpc_data[sku],SMALL(MATCH(ROW(bhpc_data[sku]),ROW(bhpc_data[sku])),ROWS($A$15:A243)+$B$3)),INDEX(bhpc_data[sku],SMALL(IF(ISNUMBER(MATCH(bhpc_data[size1],$EC$13,0)),MATCH(ROW(bhpc_data[sku]),ROW(bhpc_data[sku])),""),ROWS($A$15:A243)+$B$3))),IF($EC$13="",INDEX(bhpc_data[sku],SMALL(IF(ISNUMBER(MATCH(bhpc_data[sex],$EC$11,0)),MATCH(ROW(bhpc_data[sku]),ROW(bhpc_data[sku])),""),ROWS($A$15:A243)+$B$3)),INDEX(bhpc_data[sku],SMALL(IF(ISNUMBER(MATCH(bhpc_data[sex],$EC$11,0)*MATCH(bhpc_data[size1],$EC$13,0)),MATCH(ROW(bhpc_data[sku]),ROW(bhpc_data[sku])),""),ROWS($A$15:A243)+$B$3)))),IF($EC$11="",IF($EC$13="",INDEX(bhpc_data[sku],SMALL(IF(ISNUMBER(MATCH(bhpc_data[category],$EC$9,0)),MATCH(ROW(bhpc_data[sku]),ROW(bhpc_data[sku])),""),ROWS($A$15:A243)+$B$3)),INDEX(bhpc_data[sku],SMALL(IF(ISNUMBER(MATCH(bhpc_data[category],$EC$9,0)*MATCH(bhpc_data[size1],$EC$13,0)),MATCH(ROW(bhpc_data[sku]),ROW(bhpc_data[sku])),""),ROWS($A$15:A243)+$B$3))),IF($EC$13="",INDEX(bhpc_data[sku],SMALL(IF(ISNUMBER(MATCH(bhpc_data[category],$EC$9,0)*MATCH(bhpc_data[sex],$EC$11,0)),MATCH(ROW(bhpc_data[sku]),ROW(bhpc_data[sku])),""),ROWS($A$15:A243)+$B$3)),INDEX(bhpc_data[sku],SMALL(IF(ISNUMBER(MATCH(bhpc_data[category],$EC$9,0)*MATCH(bhpc_data[sex],$EC$11,0)*MATCH(bhpc_data[size1],$EC$13,0)),MATCH(ROW(bhpc_data[sku]),ROW(bhpc_data[sku])),""),ROWS($A$15:A243)+$B$3))))),"")</f>
        <v/>
      </c>
      <c r="EF238" s="198" t="str" cm="1">
        <f t="array" ref="EF238">IFERROR(IF($EC$9="",IF($EC$11="",IF($EC$13="",INDEX(bhpc_data[description],SMALL(MATCH(ROW(bhpc_data[sku]),ROW(bhpc_data[sku])),ROWS($A$15:A243)+$B$3)),INDEX(bhpc_data[description],SMALL(IF(ISNUMBER(MATCH(bhpc_data[size1],$EC$13,0)),MATCH(ROW(bhpc_data[sku]),ROW(bhpc_data[sku])),""),ROWS($A$15:A243)+$B$3))),IF($EC$13="",INDEX(bhpc_data[description],SMALL(IF(ISNUMBER(MATCH(bhpc_data[sex],$EC$11,0)),MATCH(ROW(bhpc_data[sku]),ROW(bhpc_data[sku])),""),ROWS($A$15:A243)+$B$3)),INDEX(bhpc_data[description],SMALL(IF(ISNUMBER(MATCH(bhpc_data[sex],$EC$11,0)*MATCH(bhpc_data[size1],$EC$13,0)),MATCH(ROW(bhpc_data[sku]),ROW(bhpc_data[sku])),""),ROWS($A$15:A243)+$B$3)))),IF($EC$11="",IF($EC$13="",INDEX(bhpc_data[description],SMALL(IF(ISNUMBER(MATCH(bhpc_data[category],$EC$9,0)),MATCH(ROW(bhpc_data[sku]),ROW(bhpc_data[sku])),""),ROWS($A$15:A243)+$B$3)),INDEX(bhpc_data[description],SMALL(IF(ISNUMBER(MATCH(bhpc_data[category],$EC$9,0)*MATCH(bhpc_data[size1],$EC$13,0)),MATCH(ROW(bhpc_data[sku]),ROW(bhpc_data[sku])),""),ROWS($A$15:A243)+$B$3))),IF($EC$13="",INDEX(bhpc_data[description],SMALL(IF(ISNUMBER(MATCH(bhpc_data[category],$EC$9,0)*MATCH(bhpc_data[sex],$EC$11,0)),MATCH(ROW(bhpc_data[sku]),ROW(bhpc_data[sku])),""),ROWS($A$15:A243)+$B$3)),INDEX(bhpc_data[description],SMALL(IF(ISNUMBER(MATCH(bhpc_data[category],$EC$9,0)*MATCH(bhpc_data[sex],$EC$11,0)*MATCH(bhpc_data[size1],$EC$13,0)),MATCH(ROW(bhpc_data[sku]),ROW(bhpc_data[sku])),""),ROWS($A$15:A243)+$B$3))))),"")</f>
        <v/>
      </c>
      <c r="EG238" s="263" t="str">
        <f>IFERROR(IF(warehouse[[#This Row],[SKU]]="","",INDEX(inventory[ESISTENZA],MATCH(warehouse[[#This Row],[SKU]],inventory[ARTICOLO],0))),"")</f>
        <v/>
      </c>
      <c r="EH238" s="328"/>
      <c r="EI238" s="328"/>
      <c r="EJ238" s="263"/>
      <c r="EK238" s="113"/>
    </row>
    <row r="239" spans="63:141" x14ac:dyDescent="0.35">
      <c r="BK239" s="450"/>
      <c r="BL239" s="451"/>
      <c r="BM239" s="452"/>
      <c r="BN239" s="451"/>
      <c r="BO239" s="452"/>
      <c r="EE239" s="202" t="str" cm="1">
        <f t="array" ref="EE239">IFERROR(IF($EC$9="",IF($EC$11="",IF($EC$13="",INDEX(bhpc_data[sku],SMALL(MATCH(ROW(bhpc_data[sku]),ROW(bhpc_data[sku])),ROWS($A$15:A244)+$B$3)),INDEX(bhpc_data[sku],SMALL(IF(ISNUMBER(MATCH(bhpc_data[size1],$EC$13,0)),MATCH(ROW(bhpc_data[sku]),ROW(bhpc_data[sku])),""),ROWS($A$15:A244)+$B$3))),IF($EC$13="",INDEX(bhpc_data[sku],SMALL(IF(ISNUMBER(MATCH(bhpc_data[sex],$EC$11,0)),MATCH(ROW(bhpc_data[sku]),ROW(bhpc_data[sku])),""),ROWS($A$15:A244)+$B$3)),INDEX(bhpc_data[sku],SMALL(IF(ISNUMBER(MATCH(bhpc_data[sex],$EC$11,0)*MATCH(bhpc_data[size1],$EC$13,0)),MATCH(ROW(bhpc_data[sku]),ROW(bhpc_data[sku])),""),ROWS($A$15:A244)+$B$3)))),IF($EC$11="",IF($EC$13="",INDEX(bhpc_data[sku],SMALL(IF(ISNUMBER(MATCH(bhpc_data[category],$EC$9,0)),MATCH(ROW(bhpc_data[sku]),ROW(bhpc_data[sku])),""),ROWS($A$15:A244)+$B$3)),INDEX(bhpc_data[sku],SMALL(IF(ISNUMBER(MATCH(bhpc_data[category],$EC$9,0)*MATCH(bhpc_data[size1],$EC$13,0)),MATCH(ROW(bhpc_data[sku]),ROW(bhpc_data[sku])),""),ROWS($A$15:A244)+$B$3))),IF($EC$13="",INDEX(bhpc_data[sku],SMALL(IF(ISNUMBER(MATCH(bhpc_data[category],$EC$9,0)*MATCH(bhpc_data[sex],$EC$11,0)),MATCH(ROW(bhpc_data[sku]),ROW(bhpc_data[sku])),""),ROWS($A$15:A244)+$B$3)),INDEX(bhpc_data[sku],SMALL(IF(ISNUMBER(MATCH(bhpc_data[category],$EC$9,0)*MATCH(bhpc_data[sex],$EC$11,0)*MATCH(bhpc_data[size1],$EC$13,0)),MATCH(ROW(bhpc_data[sku]),ROW(bhpc_data[sku])),""),ROWS($A$15:A244)+$B$3))))),"")</f>
        <v/>
      </c>
      <c r="EF239" s="198" t="str" cm="1">
        <f t="array" ref="EF239">IFERROR(IF($EC$9="",IF($EC$11="",IF($EC$13="",INDEX(bhpc_data[description],SMALL(MATCH(ROW(bhpc_data[sku]),ROW(bhpc_data[sku])),ROWS($A$15:A244)+$B$3)),INDEX(bhpc_data[description],SMALL(IF(ISNUMBER(MATCH(bhpc_data[size1],$EC$13,0)),MATCH(ROW(bhpc_data[sku]),ROW(bhpc_data[sku])),""),ROWS($A$15:A244)+$B$3))),IF($EC$13="",INDEX(bhpc_data[description],SMALL(IF(ISNUMBER(MATCH(bhpc_data[sex],$EC$11,0)),MATCH(ROW(bhpc_data[sku]),ROW(bhpc_data[sku])),""),ROWS($A$15:A244)+$B$3)),INDEX(bhpc_data[description],SMALL(IF(ISNUMBER(MATCH(bhpc_data[sex],$EC$11,0)*MATCH(bhpc_data[size1],$EC$13,0)),MATCH(ROW(bhpc_data[sku]),ROW(bhpc_data[sku])),""),ROWS($A$15:A244)+$B$3)))),IF($EC$11="",IF($EC$13="",INDEX(bhpc_data[description],SMALL(IF(ISNUMBER(MATCH(bhpc_data[category],$EC$9,0)),MATCH(ROW(bhpc_data[sku]),ROW(bhpc_data[sku])),""),ROWS($A$15:A244)+$B$3)),INDEX(bhpc_data[description],SMALL(IF(ISNUMBER(MATCH(bhpc_data[category],$EC$9,0)*MATCH(bhpc_data[size1],$EC$13,0)),MATCH(ROW(bhpc_data[sku]),ROW(bhpc_data[sku])),""),ROWS($A$15:A244)+$B$3))),IF($EC$13="",INDEX(bhpc_data[description],SMALL(IF(ISNUMBER(MATCH(bhpc_data[category],$EC$9,0)*MATCH(bhpc_data[sex],$EC$11,0)),MATCH(ROW(bhpc_data[sku]),ROW(bhpc_data[sku])),""),ROWS($A$15:A244)+$B$3)),INDEX(bhpc_data[description],SMALL(IF(ISNUMBER(MATCH(bhpc_data[category],$EC$9,0)*MATCH(bhpc_data[sex],$EC$11,0)*MATCH(bhpc_data[size1],$EC$13,0)),MATCH(ROW(bhpc_data[sku]),ROW(bhpc_data[sku])),""),ROWS($A$15:A244)+$B$3))))),"")</f>
        <v/>
      </c>
      <c r="EG239" s="263" t="str">
        <f>IFERROR(IF(warehouse[[#This Row],[SKU]]="","",INDEX(inventory[ESISTENZA],MATCH(warehouse[[#This Row],[SKU]],inventory[ARTICOLO],0))),"")</f>
        <v/>
      </c>
      <c r="EH239" s="328"/>
      <c r="EI239" s="328"/>
      <c r="EJ239" s="263"/>
      <c r="EK239" s="113"/>
    </row>
    <row r="240" spans="63:141" x14ac:dyDescent="0.35">
      <c r="BK240" s="450"/>
      <c r="BL240" s="451"/>
      <c r="BM240" s="452"/>
      <c r="BN240" s="451"/>
      <c r="BO240" s="452"/>
      <c r="EE240" s="202" t="str" cm="1">
        <f t="array" ref="EE240">IFERROR(IF($EC$9="",IF($EC$11="",IF($EC$13="",INDEX(bhpc_data[sku],SMALL(MATCH(ROW(bhpc_data[sku]),ROW(bhpc_data[sku])),ROWS($A$15:A245)+$B$3)),INDEX(bhpc_data[sku],SMALL(IF(ISNUMBER(MATCH(bhpc_data[size1],$EC$13,0)),MATCH(ROW(bhpc_data[sku]),ROW(bhpc_data[sku])),""),ROWS($A$15:A245)+$B$3))),IF($EC$13="",INDEX(bhpc_data[sku],SMALL(IF(ISNUMBER(MATCH(bhpc_data[sex],$EC$11,0)),MATCH(ROW(bhpc_data[sku]),ROW(bhpc_data[sku])),""),ROWS($A$15:A245)+$B$3)),INDEX(bhpc_data[sku],SMALL(IF(ISNUMBER(MATCH(bhpc_data[sex],$EC$11,0)*MATCH(bhpc_data[size1],$EC$13,0)),MATCH(ROW(bhpc_data[sku]),ROW(bhpc_data[sku])),""),ROWS($A$15:A245)+$B$3)))),IF($EC$11="",IF($EC$13="",INDEX(bhpc_data[sku],SMALL(IF(ISNUMBER(MATCH(bhpc_data[category],$EC$9,0)),MATCH(ROW(bhpc_data[sku]),ROW(bhpc_data[sku])),""),ROWS($A$15:A245)+$B$3)),INDEX(bhpc_data[sku],SMALL(IF(ISNUMBER(MATCH(bhpc_data[category],$EC$9,0)*MATCH(bhpc_data[size1],$EC$13,0)),MATCH(ROW(bhpc_data[sku]),ROW(bhpc_data[sku])),""),ROWS($A$15:A245)+$B$3))),IF($EC$13="",INDEX(bhpc_data[sku],SMALL(IF(ISNUMBER(MATCH(bhpc_data[category],$EC$9,0)*MATCH(bhpc_data[sex],$EC$11,0)),MATCH(ROW(bhpc_data[sku]),ROW(bhpc_data[sku])),""),ROWS($A$15:A245)+$B$3)),INDEX(bhpc_data[sku],SMALL(IF(ISNUMBER(MATCH(bhpc_data[category],$EC$9,0)*MATCH(bhpc_data[sex],$EC$11,0)*MATCH(bhpc_data[size1],$EC$13,0)),MATCH(ROW(bhpc_data[sku]),ROW(bhpc_data[sku])),""),ROWS($A$15:A245)+$B$3))))),"")</f>
        <v/>
      </c>
      <c r="EF240" s="198" t="str" cm="1">
        <f t="array" ref="EF240">IFERROR(IF($EC$9="",IF($EC$11="",IF($EC$13="",INDEX(bhpc_data[description],SMALL(MATCH(ROW(bhpc_data[sku]),ROW(bhpc_data[sku])),ROWS($A$15:A245)+$B$3)),INDEX(bhpc_data[description],SMALL(IF(ISNUMBER(MATCH(bhpc_data[size1],$EC$13,0)),MATCH(ROW(bhpc_data[sku]),ROW(bhpc_data[sku])),""),ROWS($A$15:A245)+$B$3))),IF($EC$13="",INDEX(bhpc_data[description],SMALL(IF(ISNUMBER(MATCH(bhpc_data[sex],$EC$11,0)),MATCH(ROW(bhpc_data[sku]),ROW(bhpc_data[sku])),""),ROWS($A$15:A245)+$B$3)),INDEX(bhpc_data[description],SMALL(IF(ISNUMBER(MATCH(bhpc_data[sex],$EC$11,0)*MATCH(bhpc_data[size1],$EC$13,0)),MATCH(ROW(bhpc_data[sku]),ROW(bhpc_data[sku])),""),ROWS($A$15:A245)+$B$3)))),IF($EC$11="",IF($EC$13="",INDEX(bhpc_data[description],SMALL(IF(ISNUMBER(MATCH(bhpc_data[category],$EC$9,0)),MATCH(ROW(bhpc_data[sku]),ROW(bhpc_data[sku])),""),ROWS($A$15:A245)+$B$3)),INDEX(bhpc_data[description],SMALL(IF(ISNUMBER(MATCH(bhpc_data[category],$EC$9,0)*MATCH(bhpc_data[size1],$EC$13,0)),MATCH(ROW(bhpc_data[sku]),ROW(bhpc_data[sku])),""),ROWS($A$15:A245)+$B$3))),IF($EC$13="",INDEX(bhpc_data[description],SMALL(IF(ISNUMBER(MATCH(bhpc_data[category],$EC$9,0)*MATCH(bhpc_data[sex],$EC$11,0)),MATCH(ROW(bhpc_data[sku]),ROW(bhpc_data[sku])),""),ROWS($A$15:A245)+$B$3)),INDEX(bhpc_data[description],SMALL(IF(ISNUMBER(MATCH(bhpc_data[category],$EC$9,0)*MATCH(bhpc_data[sex],$EC$11,0)*MATCH(bhpc_data[size1],$EC$13,0)),MATCH(ROW(bhpc_data[sku]),ROW(bhpc_data[sku])),""),ROWS($A$15:A245)+$B$3))))),"")</f>
        <v/>
      </c>
      <c r="EG240" s="263" t="str">
        <f>IFERROR(IF(warehouse[[#This Row],[SKU]]="","",INDEX(inventory[ESISTENZA],MATCH(warehouse[[#This Row],[SKU]],inventory[ARTICOLO],0))),"")</f>
        <v/>
      </c>
      <c r="EH240" s="328"/>
      <c r="EI240" s="328"/>
      <c r="EJ240" s="263"/>
      <c r="EK240" s="113"/>
    </row>
    <row r="241" spans="63:141" x14ac:dyDescent="0.35">
      <c r="BK241" s="450"/>
      <c r="BL241" s="451"/>
      <c r="BM241" s="452"/>
      <c r="BN241" s="451"/>
      <c r="BO241" s="452"/>
      <c r="EE241" s="202" t="str" cm="1">
        <f t="array" ref="EE241">IFERROR(IF($EC$9="",IF($EC$11="",IF($EC$13="",INDEX(bhpc_data[sku],SMALL(MATCH(ROW(bhpc_data[sku]),ROW(bhpc_data[sku])),ROWS($A$15:A246)+$B$3)),INDEX(bhpc_data[sku],SMALL(IF(ISNUMBER(MATCH(bhpc_data[size1],$EC$13,0)),MATCH(ROW(bhpc_data[sku]),ROW(bhpc_data[sku])),""),ROWS($A$15:A246)+$B$3))),IF($EC$13="",INDEX(bhpc_data[sku],SMALL(IF(ISNUMBER(MATCH(bhpc_data[sex],$EC$11,0)),MATCH(ROW(bhpc_data[sku]),ROW(bhpc_data[sku])),""),ROWS($A$15:A246)+$B$3)),INDEX(bhpc_data[sku],SMALL(IF(ISNUMBER(MATCH(bhpc_data[sex],$EC$11,0)*MATCH(bhpc_data[size1],$EC$13,0)),MATCH(ROW(bhpc_data[sku]),ROW(bhpc_data[sku])),""),ROWS($A$15:A246)+$B$3)))),IF($EC$11="",IF($EC$13="",INDEX(bhpc_data[sku],SMALL(IF(ISNUMBER(MATCH(bhpc_data[category],$EC$9,0)),MATCH(ROW(bhpc_data[sku]),ROW(bhpc_data[sku])),""),ROWS($A$15:A246)+$B$3)),INDEX(bhpc_data[sku],SMALL(IF(ISNUMBER(MATCH(bhpc_data[category],$EC$9,0)*MATCH(bhpc_data[size1],$EC$13,0)),MATCH(ROW(bhpc_data[sku]),ROW(bhpc_data[sku])),""),ROWS($A$15:A246)+$B$3))),IF($EC$13="",INDEX(bhpc_data[sku],SMALL(IF(ISNUMBER(MATCH(bhpc_data[category],$EC$9,0)*MATCH(bhpc_data[sex],$EC$11,0)),MATCH(ROW(bhpc_data[sku]),ROW(bhpc_data[sku])),""),ROWS($A$15:A246)+$B$3)),INDEX(bhpc_data[sku],SMALL(IF(ISNUMBER(MATCH(bhpc_data[category],$EC$9,0)*MATCH(bhpc_data[sex],$EC$11,0)*MATCH(bhpc_data[size1],$EC$13,0)),MATCH(ROW(bhpc_data[sku]),ROW(bhpc_data[sku])),""),ROWS($A$15:A246)+$B$3))))),"")</f>
        <v/>
      </c>
      <c r="EF241" s="198" t="str" cm="1">
        <f t="array" ref="EF241">IFERROR(IF($EC$9="",IF($EC$11="",IF($EC$13="",INDEX(bhpc_data[description],SMALL(MATCH(ROW(bhpc_data[sku]),ROW(bhpc_data[sku])),ROWS($A$15:A246)+$B$3)),INDEX(bhpc_data[description],SMALL(IF(ISNUMBER(MATCH(bhpc_data[size1],$EC$13,0)),MATCH(ROW(bhpc_data[sku]),ROW(bhpc_data[sku])),""),ROWS($A$15:A246)+$B$3))),IF($EC$13="",INDEX(bhpc_data[description],SMALL(IF(ISNUMBER(MATCH(bhpc_data[sex],$EC$11,0)),MATCH(ROW(bhpc_data[sku]),ROW(bhpc_data[sku])),""),ROWS($A$15:A246)+$B$3)),INDEX(bhpc_data[description],SMALL(IF(ISNUMBER(MATCH(bhpc_data[sex],$EC$11,0)*MATCH(bhpc_data[size1],$EC$13,0)),MATCH(ROW(bhpc_data[sku]),ROW(bhpc_data[sku])),""),ROWS($A$15:A246)+$B$3)))),IF($EC$11="",IF($EC$13="",INDEX(bhpc_data[description],SMALL(IF(ISNUMBER(MATCH(bhpc_data[category],$EC$9,0)),MATCH(ROW(bhpc_data[sku]),ROW(bhpc_data[sku])),""),ROWS($A$15:A246)+$B$3)),INDEX(bhpc_data[description],SMALL(IF(ISNUMBER(MATCH(bhpc_data[category],$EC$9,0)*MATCH(bhpc_data[size1],$EC$13,0)),MATCH(ROW(bhpc_data[sku]),ROW(bhpc_data[sku])),""),ROWS($A$15:A246)+$B$3))),IF($EC$13="",INDEX(bhpc_data[description],SMALL(IF(ISNUMBER(MATCH(bhpc_data[category],$EC$9,0)*MATCH(bhpc_data[sex],$EC$11,0)),MATCH(ROW(bhpc_data[sku]),ROW(bhpc_data[sku])),""),ROWS($A$15:A246)+$B$3)),INDEX(bhpc_data[description],SMALL(IF(ISNUMBER(MATCH(bhpc_data[category],$EC$9,0)*MATCH(bhpc_data[sex],$EC$11,0)*MATCH(bhpc_data[size1],$EC$13,0)),MATCH(ROW(bhpc_data[sku]),ROW(bhpc_data[sku])),""),ROWS($A$15:A246)+$B$3))))),"")</f>
        <v/>
      </c>
      <c r="EG241" s="263" t="str">
        <f>IFERROR(IF(warehouse[[#This Row],[SKU]]="","",INDEX(inventory[ESISTENZA],MATCH(warehouse[[#This Row],[SKU]],inventory[ARTICOLO],0))),"")</f>
        <v/>
      </c>
      <c r="EH241" s="328"/>
      <c r="EI241" s="328"/>
      <c r="EJ241" s="263"/>
      <c r="EK241" s="113"/>
    </row>
    <row r="242" spans="63:141" x14ac:dyDescent="0.35">
      <c r="BK242" s="450"/>
      <c r="BL242" s="451"/>
      <c r="BM242" s="452"/>
      <c r="BN242" s="451"/>
      <c r="BO242" s="452"/>
      <c r="EE242" s="202" t="str" cm="1">
        <f t="array" ref="EE242">IFERROR(IF($EC$9="",IF($EC$11="",IF($EC$13="",INDEX(bhpc_data[sku],SMALL(MATCH(ROW(bhpc_data[sku]),ROW(bhpc_data[sku])),ROWS($A$15:A247)+$B$3)),INDEX(bhpc_data[sku],SMALL(IF(ISNUMBER(MATCH(bhpc_data[size1],$EC$13,0)),MATCH(ROW(bhpc_data[sku]),ROW(bhpc_data[sku])),""),ROWS($A$15:A247)+$B$3))),IF($EC$13="",INDEX(bhpc_data[sku],SMALL(IF(ISNUMBER(MATCH(bhpc_data[sex],$EC$11,0)),MATCH(ROW(bhpc_data[sku]),ROW(bhpc_data[sku])),""),ROWS($A$15:A247)+$B$3)),INDEX(bhpc_data[sku],SMALL(IF(ISNUMBER(MATCH(bhpc_data[sex],$EC$11,0)*MATCH(bhpc_data[size1],$EC$13,0)),MATCH(ROW(bhpc_data[sku]),ROW(bhpc_data[sku])),""),ROWS($A$15:A247)+$B$3)))),IF($EC$11="",IF($EC$13="",INDEX(bhpc_data[sku],SMALL(IF(ISNUMBER(MATCH(bhpc_data[category],$EC$9,0)),MATCH(ROW(bhpc_data[sku]),ROW(bhpc_data[sku])),""),ROWS($A$15:A247)+$B$3)),INDEX(bhpc_data[sku],SMALL(IF(ISNUMBER(MATCH(bhpc_data[category],$EC$9,0)*MATCH(bhpc_data[size1],$EC$13,0)),MATCH(ROW(bhpc_data[sku]),ROW(bhpc_data[sku])),""),ROWS($A$15:A247)+$B$3))),IF($EC$13="",INDEX(bhpc_data[sku],SMALL(IF(ISNUMBER(MATCH(bhpc_data[category],$EC$9,0)*MATCH(bhpc_data[sex],$EC$11,0)),MATCH(ROW(bhpc_data[sku]),ROW(bhpc_data[sku])),""),ROWS($A$15:A247)+$B$3)),INDEX(bhpc_data[sku],SMALL(IF(ISNUMBER(MATCH(bhpc_data[category],$EC$9,0)*MATCH(bhpc_data[sex],$EC$11,0)*MATCH(bhpc_data[size1],$EC$13,0)),MATCH(ROW(bhpc_data[sku]),ROW(bhpc_data[sku])),""),ROWS($A$15:A247)+$B$3))))),"")</f>
        <v/>
      </c>
      <c r="EF242" s="198" t="str" cm="1">
        <f t="array" ref="EF242">IFERROR(IF($EC$9="",IF($EC$11="",IF($EC$13="",INDEX(bhpc_data[description],SMALL(MATCH(ROW(bhpc_data[sku]),ROW(bhpc_data[sku])),ROWS($A$15:A247)+$B$3)),INDEX(bhpc_data[description],SMALL(IF(ISNUMBER(MATCH(bhpc_data[size1],$EC$13,0)),MATCH(ROW(bhpc_data[sku]),ROW(bhpc_data[sku])),""),ROWS($A$15:A247)+$B$3))),IF($EC$13="",INDEX(bhpc_data[description],SMALL(IF(ISNUMBER(MATCH(bhpc_data[sex],$EC$11,0)),MATCH(ROW(bhpc_data[sku]),ROW(bhpc_data[sku])),""),ROWS($A$15:A247)+$B$3)),INDEX(bhpc_data[description],SMALL(IF(ISNUMBER(MATCH(bhpc_data[sex],$EC$11,0)*MATCH(bhpc_data[size1],$EC$13,0)),MATCH(ROW(bhpc_data[sku]),ROW(bhpc_data[sku])),""),ROWS($A$15:A247)+$B$3)))),IF($EC$11="",IF($EC$13="",INDEX(bhpc_data[description],SMALL(IF(ISNUMBER(MATCH(bhpc_data[category],$EC$9,0)),MATCH(ROW(bhpc_data[sku]),ROW(bhpc_data[sku])),""),ROWS($A$15:A247)+$B$3)),INDEX(bhpc_data[description],SMALL(IF(ISNUMBER(MATCH(bhpc_data[category],$EC$9,0)*MATCH(bhpc_data[size1],$EC$13,0)),MATCH(ROW(bhpc_data[sku]),ROW(bhpc_data[sku])),""),ROWS($A$15:A247)+$B$3))),IF($EC$13="",INDEX(bhpc_data[description],SMALL(IF(ISNUMBER(MATCH(bhpc_data[category],$EC$9,0)*MATCH(bhpc_data[sex],$EC$11,0)),MATCH(ROW(bhpc_data[sku]),ROW(bhpc_data[sku])),""),ROWS($A$15:A247)+$B$3)),INDEX(bhpc_data[description],SMALL(IF(ISNUMBER(MATCH(bhpc_data[category],$EC$9,0)*MATCH(bhpc_data[sex],$EC$11,0)*MATCH(bhpc_data[size1],$EC$13,0)),MATCH(ROW(bhpc_data[sku]),ROW(bhpc_data[sku])),""),ROWS($A$15:A247)+$B$3))))),"")</f>
        <v/>
      </c>
      <c r="EG242" s="263" t="str">
        <f>IFERROR(IF(warehouse[[#This Row],[SKU]]="","",INDEX(inventory[ESISTENZA],MATCH(warehouse[[#This Row],[SKU]],inventory[ARTICOLO],0))),"")</f>
        <v/>
      </c>
      <c r="EH242" s="328"/>
      <c r="EI242" s="328"/>
      <c r="EJ242" s="263"/>
      <c r="EK242" s="113"/>
    </row>
    <row r="243" spans="63:141" x14ac:dyDescent="0.35">
      <c r="BK243" s="450"/>
      <c r="BL243" s="451"/>
      <c r="BM243" s="452"/>
      <c r="BN243" s="451"/>
      <c r="BO243" s="452"/>
      <c r="EE243" s="202" t="str" cm="1">
        <f t="array" ref="EE243">IFERROR(IF($EC$9="",IF($EC$11="",IF($EC$13="",INDEX(bhpc_data[sku],SMALL(MATCH(ROW(bhpc_data[sku]),ROW(bhpc_data[sku])),ROWS($A$15:A248)+$B$3)),INDEX(bhpc_data[sku],SMALL(IF(ISNUMBER(MATCH(bhpc_data[size1],$EC$13,0)),MATCH(ROW(bhpc_data[sku]),ROW(bhpc_data[sku])),""),ROWS($A$15:A248)+$B$3))),IF($EC$13="",INDEX(bhpc_data[sku],SMALL(IF(ISNUMBER(MATCH(bhpc_data[sex],$EC$11,0)),MATCH(ROW(bhpc_data[sku]),ROW(bhpc_data[sku])),""),ROWS($A$15:A248)+$B$3)),INDEX(bhpc_data[sku],SMALL(IF(ISNUMBER(MATCH(bhpc_data[sex],$EC$11,0)*MATCH(bhpc_data[size1],$EC$13,0)),MATCH(ROW(bhpc_data[sku]),ROW(bhpc_data[sku])),""),ROWS($A$15:A248)+$B$3)))),IF($EC$11="",IF($EC$13="",INDEX(bhpc_data[sku],SMALL(IF(ISNUMBER(MATCH(bhpc_data[category],$EC$9,0)),MATCH(ROW(bhpc_data[sku]),ROW(bhpc_data[sku])),""),ROWS($A$15:A248)+$B$3)),INDEX(bhpc_data[sku],SMALL(IF(ISNUMBER(MATCH(bhpc_data[category],$EC$9,0)*MATCH(bhpc_data[size1],$EC$13,0)),MATCH(ROW(bhpc_data[sku]),ROW(bhpc_data[sku])),""),ROWS($A$15:A248)+$B$3))),IF($EC$13="",INDEX(bhpc_data[sku],SMALL(IF(ISNUMBER(MATCH(bhpc_data[category],$EC$9,0)*MATCH(bhpc_data[sex],$EC$11,0)),MATCH(ROW(bhpc_data[sku]),ROW(bhpc_data[sku])),""),ROWS($A$15:A248)+$B$3)),INDEX(bhpc_data[sku],SMALL(IF(ISNUMBER(MATCH(bhpc_data[category],$EC$9,0)*MATCH(bhpc_data[sex],$EC$11,0)*MATCH(bhpc_data[size1],$EC$13,0)),MATCH(ROW(bhpc_data[sku]),ROW(bhpc_data[sku])),""),ROWS($A$15:A248)+$B$3))))),"")</f>
        <v/>
      </c>
      <c r="EF243" s="198" t="str" cm="1">
        <f t="array" ref="EF243">IFERROR(IF($EC$9="",IF($EC$11="",IF($EC$13="",INDEX(bhpc_data[description],SMALL(MATCH(ROW(bhpc_data[sku]),ROW(bhpc_data[sku])),ROWS($A$15:A248)+$B$3)),INDEX(bhpc_data[description],SMALL(IF(ISNUMBER(MATCH(bhpc_data[size1],$EC$13,0)),MATCH(ROW(bhpc_data[sku]),ROW(bhpc_data[sku])),""),ROWS($A$15:A248)+$B$3))),IF($EC$13="",INDEX(bhpc_data[description],SMALL(IF(ISNUMBER(MATCH(bhpc_data[sex],$EC$11,0)),MATCH(ROW(bhpc_data[sku]),ROW(bhpc_data[sku])),""),ROWS($A$15:A248)+$B$3)),INDEX(bhpc_data[description],SMALL(IF(ISNUMBER(MATCH(bhpc_data[sex],$EC$11,0)*MATCH(bhpc_data[size1],$EC$13,0)),MATCH(ROW(bhpc_data[sku]),ROW(bhpc_data[sku])),""),ROWS($A$15:A248)+$B$3)))),IF($EC$11="",IF($EC$13="",INDEX(bhpc_data[description],SMALL(IF(ISNUMBER(MATCH(bhpc_data[category],$EC$9,0)),MATCH(ROW(bhpc_data[sku]),ROW(bhpc_data[sku])),""),ROWS($A$15:A248)+$B$3)),INDEX(bhpc_data[description],SMALL(IF(ISNUMBER(MATCH(bhpc_data[category],$EC$9,0)*MATCH(bhpc_data[size1],$EC$13,0)),MATCH(ROW(bhpc_data[sku]),ROW(bhpc_data[sku])),""),ROWS($A$15:A248)+$B$3))),IF($EC$13="",INDEX(bhpc_data[description],SMALL(IF(ISNUMBER(MATCH(bhpc_data[category],$EC$9,0)*MATCH(bhpc_data[sex],$EC$11,0)),MATCH(ROW(bhpc_data[sku]),ROW(bhpc_data[sku])),""),ROWS($A$15:A248)+$B$3)),INDEX(bhpc_data[description],SMALL(IF(ISNUMBER(MATCH(bhpc_data[category],$EC$9,0)*MATCH(bhpc_data[sex],$EC$11,0)*MATCH(bhpc_data[size1],$EC$13,0)),MATCH(ROW(bhpc_data[sku]),ROW(bhpc_data[sku])),""),ROWS($A$15:A248)+$B$3))))),"")</f>
        <v/>
      </c>
      <c r="EG243" s="263" t="str">
        <f>IFERROR(IF(warehouse[[#This Row],[SKU]]="","",INDEX(inventory[ESISTENZA],MATCH(warehouse[[#This Row],[SKU]],inventory[ARTICOLO],0))),"")</f>
        <v/>
      </c>
      <c r="EH243" s="328"/>
      <c r="EI243" s="328"/>
      <c r="EJ243" s="263"/>
      <c r="EK243" s="113"/>
    </row>
    <row r="244" spans="63:141" x14ac:dyDescent="0.35">
      <c r="BK244" s="450"/>
      <c r="BL244" s="451"/>
      <c r="BM244" s="452"/>
      <c r="BN244" s="451"/>
      <c r="BO244" s="452"/>
      <c r="EE244" s="202" t="str" cm="1">
        <f t="array" ref="EE244">IFERROR(IF($EC$9="",IF($EC$11="",IF($EC$13="",INDEX(bhpc_data[sku],SMALL(MATCH(ROW(bhpc_data[sku]),ROW(bhpc_data[sku])),ROWS($A$15:A249)+$B$3)),INDEX(bhpc_data[sku],SMALL(IF(ISNUMBER(MATCH(bhpc_data[size1],$EC$13,0)),MATCH(ROW(bhpc_data[sku]),ROW(bhpc_data[sku])),""),ROWS($A$15:A249)+$B$3))),IF($EC$13="",INDEX(bhpc_data[sku],SMALL(IF(ISNUMBER(MATCH(bhpc_data[sex],$EC$11,0)),MATCH(ROW(bhpc_data[sku]),ROW(bhpc_data[sku])),""),ROWS($A$15:A249)+$B$3)),INDEX(bhpc_data[sku],SMALL(IF(ISNUMBER(MATCH(bhpc_data[sex],$EC$11,0)*MATCH(bhpc_data[size1],$EC$13,0)),MATCH(ROW(bhpc_data[sku]),ROW(bhpc_data[sku])),""),ROWS($A$15:A249)+$B$3)))),IF($EC$11="",IF($EC$13="",INDEX(bhpc_data[sku],SMALL(IF(ISNUMBER(MATCH(bhpc_data[category],$EC$9,0)),MATCH(ROW(bhpc_data[sku]),ROW(bhpc_data[sku])),""),ROWS($A$15:A249)+$B$3)),INDEX(bhpc_data[sku],SMALL(IF(ISNUMBER(MATCH(bhpc_data[category],$EC$9,0)*MATCH(bhpc_data[size1],$EC$13,0)),MATCH(ROW(bhpc_data[sku]),ROW(bhpc_data[sku])),""),ROWS($A$15:A249)+$B$3))),IF($EC$13="",INDEX(bhpc_data[sku],SMALL(IF(ISNUMBER(MATCH(bhpc_data[category],$EC$9,0)*MATCH(bhpc_data[sex],$EC$11,0)),MATCH(ROW(bhpc_data[sku]),ROW(bhpc_data[sku])),""),ROWS($A$15:A249)+$B$3)),INDEX(bhpc_data[sku],SMALL(IF(ISNUMBER(MATCH(bhpc_data[category],$EC$9,0)*MATCH(bhpc_data[sex],$EC$11,0)*MATCH(bhpc_data[size1],$EC$13,0)),MATCH(ROW(bhpc_data[sku]),ROW(bhpc_data[sku])),""),ROWS($A$15:A249)+$B$3))))),"")</f>
        <v/>
      </c>
      <c r="EF244" s="198" t="str" cm="1">
        <f t="array" ref="EF244">IFERROR(IF($EC$9="",IF($EC$11="",IF($EC$13="",INDEX(bhpc_data[description],SMALL(MATCH(ROW(bhpc_data[sku]),ROW(bhpc_data[sku])),ROWS($A$15:A249)+$B$3)),INDEX(bhpc_data[description],SMALL(IF(ISNUMBER(MATCH(bhpc_data[size1],$EC$13,0)),MATCH(ROW(bhpc_data[sku]),ROW(bhpc_data[sku])),""),ROWS($A$15:A249)+$B$3))),IF($EC$13="",INDEX(bhpc_data[description],SMALL(IF(ISNUMBER(MATCH(bhpc_data[sex],$EC$11,0)),MATCH(ROW(bhpc_data[sku]),ROW(bhpc_data[sku])),""),ROWS($A$15:A249)+$B$3)),INDEX(bhpc_data[description],SMALL(IF(ISNUMBER(MATCH(bhpc_data[sex],$EC$11,0)*MATCH(bhpc_data[size1],$EC$13,0)),MATCH(ROW(bhpc_data[sku]),ROW(bhpc_data[sku])),""),ROWS($A$15:A249)+$B$3)))),IF($EC$11="",IF($EC$13="",INDEX(bhpc_data[description],SMALL(IF(ISNUMBER(MATCH(bhpc_data[category],$EC$9,0)),MATCH(ROW(bhpc_data[sku]),ROW(bhpc_data[sku])),""),ROWS($A$15:A249)+$B$3)),INDEX(bhpc_data[description],SMALL(IF(ISNUMBER(MATCH(bhpc_data[category],$EC$9,0)*MATCH(bhpc_data[size1],$EC$13,0)),MATCH(ROW(bhpc_data[sku]),ROW(bhpc_data[sku])),""),ROWS($A$15:A249)+$B$3))),IF($EC$13="",INDEX(bhpc_data[description],SMALL(IF(ISNUMBER(MATCH(bhpc_data[category],$EC$9,0)*MATCH(bhpc_data[sex],$EC$11,0)),MATCH(ROW(bhpc_data[sku]),ROW(bhpc_data[sku])),""),ROWS($A$15:A249)+$B$3)),INDEX(bhpc_data[description],SMALL(IF(ISNUMBER(MATCH(bhpc_data[category],$EC$9,0)*MATCH(bhpc_data[sex],$EC$11,0)*MATCH(bhpc_data[size1],$EC$13,0)),MATCH(ROW(bhpc_data[sku]),ROW(bhpc_data[sku])),""),ROWS($A$15:A249)+$B$3))))),"")</f>
        <v/>
      </c>
      <c r="EG244" s="263" t="str">
        <f>IFERROR(IF(warehouse[[#This Row],[SKU]]="","",INDEX(inventory[ESISTENZA],MATCH(warehouse[[#This Row],[SKU]],inventory[ARTICOLO],0))),"")</f>
        <v/>
      </c>
      <c r="EH244" s="328"/>
      <c r="EI244" s="328"/>
      <c r="EJ244" s="263"/>
      <c r="EK244" s="113"/>
    </row>
    <row r="245" spans="63:141" x14ac:dyDescent="0.35">
      <c r="BK245" s="450"/>
      <c r="BL245" s="451"/>
      <c r="BM245" s="452"/>
      <c r="BN245" s="451"/>
      <c r="BO245" s="452"/>
      <c r="EE245" s="202" t="str" cm="1">
        <f t="array" ref="EE245">IFERROR(IF($EC$9="",IF($EC$11="",IF($EC$13="",INDEX(bhpc_data[sku],SMALL(MATCH(ROW(bhpc_data[sku]),ROW(bhpc_data[sku])),ROWS($A$15:A250)+$B$3)),INDEX(bhpc_data[sku],SMALL(IF(ISNUMBER(MATCH(bhpc_data[size1],$EC$13,0)),MATCH(ROW(bhpc_data[sku]),ROW(bhpc_data[sku])),""),ROWS($A$15:A250)+$B$3))),IF($EC$13="",INDEX(bhpc_data[sku],SMALL(IF(ISNUMBER(MATCH(bhpc_data[sex],$EC$11,0)),MATCH(ROW(bhpc_data[sku]),ROW(bhpc_data[sku])),""),ROWS($A$15:A250)+$B$3)),INDEX(bhpc_data[sku],SMALL(IF(ISNUMBER(MATCH(bhpc_data[sex],$EC$11,0)*MATCH(bhpc_data[size1],$EC$13,0)),MATCH(ROW(bhpc_data[sku]),ROW(bhpc_data[sku])),""),ROWS($A$15:A250)+$B$3)))),IF($EC$11="",IF($EC$13="",INDEX(bhpc_data[sku],SMALL(IF(ISNUMBER(MATCH(bhpc_data[category],$EC$9,0)),MATCH(ROW(bhpc_data[sku]),ROW(bhpc_data[sku])),""),ROWS($A$15:A250)+$B$3)),INDEX(bhpc_data[sku],SMALL(IF(ISNUMBER(MATCH(bhpc_data[category],$EC$9,0)*MATCH(bhpc_data[size1],$EC$13,0)),MATCH(ROW(bhpc_data[sku]),ROW(bhpc_data[sku])),""),ROWS($A$15:A250)+$B$3))),IF($EC$13="",INDEX(bhpc_data[sku],SMALL(IF(ISNUMBER(MATCH(bhpc_data[category],$EC$9,0)*MATCH(bhpc_data[sex],$EC$11,0)),MATCH(ROW(bhpc_data[sku]),ROW(bhpc_data[sku])),""),ROWS($A$15:A250)+$B$3)),INDEX(bhpc_data[sku],SMALL(IF(ISNUMBER(MATCH(bhpc_data[category],$EC$9,0)*MATCH(bhpc_data[sex],$EC$11,0)*MATCH(bhpc_data[size1],$EC$13,0)),MATCH(ROW(bhpc_data[sku]),ROW(bhpc_data[sku])),""),ROWS($A$15:A250)+$B$3))))),"")</f>
        <v/>
      </c>
      <c r="EF245" s="198" t="str" cm="1">
        <f t="array" ref="EF245">IFERROR(IF($EC$9="",IF($EC$11="",IF($EC$13="",INDEX(bhpc_data[description],SMALL(MATCH(ROW(bhpc_data[sku]),ROW(bhpc_data[sku])),ROWS($A$15:A250)+$B$3)),INDEX(bhpc_data[description],SMALL(IF(ISNUMBER(MATCH(bhpc_data[size1],$EC$13,0)),MATCH(ROW(bhpc_data[sku]),ROW(bhpc_data[sku])),""),ROWS($A$15:A250)+$B$3))),IF($EC$13="",INDEX(bhpc_data[description],SMALL(IF(ISNUMBER(MATCH(bhpc_data[sex],$EC$11,0)),MATCH(ROW(bhpc_data[sku]),ROW(bhpc_data[sku])),""),ROWS($A$15:A250)+$B$3)),INDEX(bhpc_data[description],SMALL(IF(ISNUMBER(MATCH(bhpc_data[sex],$EC$11,0)*MATCH(bhpc_data[size1],$EC$13,0)),MATCH(ROW(bhpc_data[sku]),ROW(bhpc_data[sku])),""),ROWS($A$15:A250)+$B$3)))),IF($EC$11="",IF($EC$13="",INDEX(bhpc_data[description],SMALL(IF(ISNUMBER(MATCH(bhpc_data[category],$EC$9,0)),MATCH(ROW(bhpc_data[sku]),ROW(bhpc_data[sku])),""),ROWS($A$15:A250)+$B$3)),INDEX(bhpc_data[description],SMALL(IF(ISNUMBER(MATCH(bhpc_data[category],$EC$9,0)*MATCH(bhpc_data[size1],$EC$13,0)),MATCH(ROW(bhpc_data[sku]),ROW(bhpc_data[sku])),""),ROWS($A$15:A250)+$B$3))),IF($EC$13="",INDEX(bhpc_data[description],SMALL(IF(ISNUMBER(MATCH(bhpc_data[category],$EC$9,0)*MATCH(bhpc_data[sex],$EC$11,0)),MATCH(ROW(bhpc_data[sku]),ROW(bhpc_data[sku])),""),ROWS($A$15:A250)+$B$3)),INDEX(bhpc_data[description],SMALL(IF(ISNUMBER(MATCH(bhpc_data[category],$EC$9,0)*MATCH(bhpc_data[sex],$EC$11,0)*MATCH(bhpc_data[size1],$EC$13,0)),MATCH(ROW(bhpc_data[sku]),ROW(bhpc_data[sku])),""),ROWS($A$15:A250)+$B$3))))),"")</f>
        <v/>
      </c>
      <c r="EG245" s="263" t="str">
        <f>IFERROR(IF(warehouse[[#This Row],[SKU]]="","",INDEX(inventory[ESISTENZA],MATCH(warehouse[[#This Row],[SKU]],inventory[ARTICOLO],0))),"")</f>
        <v/>
      </c>
      <c r="EH245" s="328"/>
      <c r="EI245" s="328"/>
      <c r="EJ245" s="263"/>
      <c r="EK245" s="113"/>
    </row>
    <row r="246" spans="63:141" x14ac:dyDescent="0.35">
      <c r="BK246" s="450"/>
      <c r="BL246" s="451"/>
      <c r="BM246" s="452"/>
      <c r="BN246" s="451"/>
      <c r="BO246" s="452"/>
      <c r="EE246" s="202" t="str" cm="1">
        <f t="array" ref="EE246">IFERROR(IF($EC$9="",IF($EC$11="",IF($EC$13="",INDEX(bhpc_data[sku],SMALL(MATCH(ROW(bhpc_data[sku]),ROW(bhpc_data[sku])),ROWS($A$15:A251)+$B$3)),INDEX(bhpc_data[sku],SMALL(IF(ISNUMBER(MATCH(bhpc_data[size1],$EC$13,0)),MATCH(ROW(bhpc_data[sku]),ROW(bhpc_data[sku])),""),ROWS($A$15:A251)+$B$3))),IF($EC$13="",INDEX(bhpc_data[sku],SMALL(IF(ISNUMBER(MATCH(bhpc_data[sex],$EC$11,0)),MATCH(ROW(bhpc_data[sku]),ROW(bhpc_data[sku])),""),ROWS($A$15:A251)+$B$3)),INDEX(bhpc_data[sku],SMALL(IF(ISNUMBER(MATCH(bhpc_data[sex],$EC$11,0)*MATCH(bhpc_data[size1],$EC$13,0)),MATCH(ROW(bhpc_data[sku]),ROW(bhpc_data[sku])),""),ROWS($A$15:A251)+$B$3)))),IF($EC$11="",IF($EC$13="",INDEX(bhpc_data[sku],SMALL(IF(ISNUMBER(MATCH(bhpc_data[category],$EC$9,0)),MATCH(ROW(bhpc_data[sku]),ROW(bhpc_data[sku])),""),ROWS($A$15:A251)+$B$3)),INDEX(bhpc_data[sku],SMALL(IF(ISNUMBER(MATCH(bhpc_data[category],$EC$9,0)*MATCH(bhpc_data[size1],$EC$13,0)),MATCH(ROW(bhpc_data[sku]),ROW(bhpc_data[sku])),""),ROWS($A$15:A251)+$B$3))),IF($EC$13="",INDEX(bhpc_data[sku],SMALL(IF(ISNUMBER(MATCH(bhpc_data[category],$EC$9,0)*MATCH(bhpc_data[sex],$EC$11,0)),MATCH(ROW(bhpc_data[sku]),ROW(bhpc_data[sku])),""),ROWS($A$15:A251)+$B$3)),INDEX(bhpc_data[sku],SMALL(IF(ISNUMBER(MATCH(bhpc_data[category],$EC$9,0)*MATCH(bhpc_data[sex],$EC$11,0)*MATCH(bhpc_data[size1],$EC$13,0)),MATCH(ROW(bhpc_data[sku]),ROW(bhpc_data[sku])),""),ROWS($A$15:A251)+$B$3))))),"")</f>
        <v/>
      </c>
      <c r="EF246" s="198" t="str" cm="1">
        <f t="array" ref="EF246">IFERROR(IF($EC$9="",IF($EC$11="",IF($EC$13="",INDEX(bhpc_data[description],SMALL(MATCH(ROW(bhpc_data[sku]),ROW(bhpc_data[sku])),ROWS($A$15:A251)+$B$3)),INDEX(bhpc_data[description],SMALL(IF(ISNUMBER(MATCH(bhpc_data[size1],$EC$13,0)),MATCH(ROW(bhpc_data[sku]),ROW(bhpc_data[sku])),""),ROWS($A$15:A251)+$B$3))),IF($EC$13="",INDEX(bhpc_data[description],SMALL(IF(ISNUMBER(MATCH(bhpc_data[sex],$EC$11,0)),MATCH(ROW(bhpc_data[sku]),ROW(bhpc_data[sku])),""),ROWS($A$15:A251)+$B$3)),INDEX(bhpc_data[description],SMALL(IF(ISNUMBER(MATCH(bhpc_data[sex],$EC$11,0)*MATCH(bhpc_data[size1],$EC$13,0)),MATCH(ROW(bhpc_data[sku]),ROW(bhpc_data[sku])),""),ROWS($A$15:A251)+$B$3)))),IF($EC$11="",IF($EC$13="",INDEX(bhpc_data[description],SMALL(IF(ISNUMBER(MATCH(bhpc_data[category],$EC$9,0)),MATCH(ROW(bhpc_data[sku]),ROW(bhpc_data[sku])),""),ROWS($A$15:A251)+$B$3)),INDEX(bhpc_data[description],SMALL(IF(ISNUMBER(MATCH(bhpc_data[category],$EC$9,0)*MATCH(bhpc_data[size1],$EC$13,0)),MATCH(ROW(bhpc_data[sku]),ROW(bhpc_data[sku])),""),ROWS($A$15:A251)+$B$3))),IF($EC$13="",INDEX(bhpc_data[description],SMALL(IF(ISNUMBER(MATCH(bhpc_data[category],$EC$9,0)*MATCH(bhpc_data[sex],$EC$11,0)),MATCH(ROW(bhpc_data[sku]),ROW(bhpc_data[sku])),""),ROWS($A$15:A251)+$B$3)),INDEX(bhpc_data[description],SMALL(IF(ISNUMBER(MATCH(bhpc_data[category],$EC$9,0)*MATCH(bhpc_data[sex],$EC$11,0)*MATCH(bhpc_data[size1],$EC$13,0)),MATCH(ROW(bhpc_data[sku]),ROW(bhpc_data[sku])),""),ROWS($A$15:A251)+$B$3))))),"")</f>
        <v/>
      </c>
      <c r="EG246" s="263" t="str">
        <f>IFERROR(IF(warehouse[[#This Row],[SKU]]="","",INDEX(inventory[ESISTENZA],MATCH(warehouse[[#This Row],[SKU]],inventory[ARTICOLO],0))),"")</f>
        <v/>
      </c>
      <c r="EH246" s="328"/>
      <c r="EI246" s="328"/>
      <c r="EJ246" s="263"/>
      <c r="EK246" s="113"/>
    </row>
    <row r="247" spans="63:141" x14ac:dyDescent="0.35">
      <c r="BK247" s="450"/>
      <c r="BL247" s="451"/>
      <c r="BM247" s="452"/>
      <c r="BN247" s="451"/>
      <c r="BO247" s="452"/>
      <c r="EE247" s="202" t="str" cm="1">
        <f t="array" ref="EE247">IFERROR(IF($EC$9="",IF($EC$11="",IF($EC$13="",INDEX(bhpc_data[sku],SMALL(MATCH(ROW(bhpc_data[sku]),ROW(bhpc_data[sku])),ROWS($A$15:A252)+$B$3)),INDEX(bhpc_data[sku],SMALL(IF(ISNUMBER(MATCH(bhpc_data[size1],$EC$13,0)),MATCH(ROW(bhpc_data[sku]),ROW(bhpc_data[sku])),""),ROWS($A$15:A252)+$B$3))),IF($EC$13="",INDEX(bhpc_data[sku],SMALL(IF(ISNUMBER(MATCH(bhpc_data[sex],$EC$11,0)),MATCH(ROW(bhpc_data[sku]),ROW(bhpc_data[sku])),""),ROWS($A$15:A252)+$B$3)),INDEX(bhpc_data[sku],SMALL(IF(ISNUMBER(MATCH(bhpc_data[sex],$EC$11,0)*MATCH(bhpc_data[size1],$EC$13,0)),MATCH(ROW(bhpc_data[sku]),ROW(bhpc_data[sku])),""),ROWS($A$15:A252)+$B$3)))),IF($EC$11="",IF($EC$13="",INDEX(bhpc_data[sku],SMALL(IF(ISNUMBER(MATCH(bhpc_data[category],$EC$9,0)),MATCH(ROW(bhpc_data[sku]),ROW(bhpc_data[sku])),""),ROWS($A$15:A252)+$B$3)),INDEX(bhpc_data[sku],SMALL(IF(ISNUMBER(MATCH(bhpc_data[category],$EC$9,0)*MATCH(bhpc_data[size1],$EC$13,0)),MATCH(ROW(bhpc_data[sku]),ROW(bhpc_data[sku])),""),ROWS($A$15:A252)+$B$3))),IF($EC$13="",INDEX(bhpc_data[sku],SMALL(IF(ISNUMBER(MATCH(bhpc_data[category],$EC$9,0)*MATCH(bhpc_data[sex],$EC$11,0)),MATCH(ROW(bhpc_data[sku]),ROW(bhpc_data[sku])),""),ROWS($A$15:A252)+$B$3)),INDEX(bhpc_data[sku],SMALL(IF(ISNUMBER(MATCH(bhpc_data[category],$EC$9,0)*MATCH(bhpc_data[sex],$EC$11,0)*MATCH(bhpc_data[size1],$EC$13,0)),MATCH(ROW(bhpc_data[sku]),ROW(bhpc_data[sku])),""),ROWS($A$15:A252)+$B$3))))),"")</f>
        <v/>
      </c>
      <c r="EF247" s="198" t="str" cm="1">
        <f t="array" ref="EF247">IFERROR(IF($EC$9="",IF($EC$11="",IF($EC$13="",INDEX(bhpc_data[description],SMALL(MATCH(ROW(bhpc_data[sku]),ROW(bhpc_data[sku])),ROWS($A$15:A252)+$B$3)),INDEX(bhpc_data[description],SMALL(IF(ISNUMBER(MATCH(bhpc_data[size1],$EC$13,0)),MATCH(ROW(bhpc_data[sku]),ROW(bhpc_data[sku])),""),ROWS($A$15:A252)+$B$3))),IF($EC$13="",INDEX(bhpc_data[description],SMALL(IF(ISNUMBER(MATCH(bhpc_data[sex],$EC$11,0)),MATCH(ROW(bhpc_data[sku]),ROW(bhpc_data[sku])),""),ROWS($A$15:A252)+$B$3)),INDEX(bhpc_data[description],SMALL(IF(ISNUMBER(MATCH(bhpc_data[sex],$EC$11,0)*MATCH(bhpc_data[size1],$EC$13,0)),MATCH(ROW(bhpc_data[sku]),ROW(bhpc_data[sku])),""),ROWS($A$15:A252)+$B$3)))),IF($EC$11="",IF($EC$13="",INDEX(bhpc_data[description],SMALL(IF(ISNUMBER(MATCH(bhpc_data[category],$EC$9,0)),MATCH(ROW(bhpc_data[sku]),ROW(bhpc_data[sku])),""),ROWS($A$15:A252)+$B$3)),INDEX(bhpc_data[description],SMALL(IF(ISNUMBER(MATCH(bhpc_data[category],$EC$9,0)*MATCH(bhpc_data[size1],$EC$13,0)),MATCH(ROW(bhpc_data[sku]),ROW(bhpc_data[sku])),""),ROWS($A$15:A252)+$B$3))),IF($EC$13="",INDEX(bhpc_data[description],SMALL(IF(ISNUMBER(MATCH(bhpc_data[category],$EC$9,0)*MATCH(bhpc_data[sex],$EC$11,0)),MATCH(ROW(bhpc_data[sku]),ROW(bhpc_data[sku])),""),ROWS($A$15:A252)+$B$3)),INDEX(bhpc_data[description],SMALL(IF(ISNUMBER(MATCH(bhpc_data[category],$EC$9,0)*MATCH(bhpc_data[sex],$EC$11,0)*MATCH(bhpc_data[size1],$EC$13,0)),MATCH(ROW(bhpc_data[sku]),ROW(bhpc_data[sku])),""),ROWS($A$15:A252)+$B$3))))),"")</f>
        <v/>
      </c>
      <c r="EG247" s="263" t="str">
        <f>IFERROR(IF(warehouse[[#This Row],[SKU]]="","",INDEX(inventory[ESISTENZA],MATCH(warehouse[[#This Row],[SKU]],inventory[ARTICOLO],0))),"")</f>
        <v/>
      </c>
      <c r="EH247" s="328"/>
      <c r="EI247" s="328"/>
      <c r="EJ247" s="263"/>
      <c r="EK247" s="113"/>
    </row>
    <row r="248" spans="63:141" x14ac:dyDescent="0.35">
      <c r="BK248" s="450"/>
      <c r="BL248" s="451"/>
      <c r="BM248" s="452"/>
      <c r="BN248" s="451"/>
      <c r="BO248" s="452"/>
      <c r="EE248" s="202" t="str" cm="1">
        <f t="array" ref="EE248">IFERROR(IF($EC$9="",IF($EC$11="",IF($EC$13="",INDEX(bhpc_data[sku],SMALL(MATCH(ROW(bhpc_data[sku]),ROW(bhpc_data[sku])),ROWS($A$15:A253)+$B$3)),INDEX(bhpc_data[sku],SMALL(IF(ISNUMBER(MATCH(bhpc_data[size1],$EC$13,0)),MATCH(ROW(bhpc_data[sku]),ROW(bhpc_data[sku])),""),ROWS($A$15:A253)+$B$3))),IF($EC$13="",INDEX(bhpc_data[sku],SMALL(IF(ISNUMBER(MATCH(bhpc_data[sex],$EC$11,0)),MATCH(ROW(bhpc_data[sku]),ROW(bhpc_data[sku])),""),ROWS($A$15:A253)+$B$3)),INDEX(bhpc_data[sku],SMALL(IF(ISNUMBER(MATCH(bhpc_data[sex],$EC$11,0)*MATCH(bhpc_data[size1],$EC$13,0)),MATCH(ROW(bhpc_data[sku]),ROW(bhpc_data[sku])),""),ROWS($A$15:A253)+$B$3)))),IF($EC$11="",IF($EC$13="",INDEX(bhpc_data[sku],SMALL(IF(ISNUMBER(MATCH(bhpc_data[category],$EC$9,0)),MATCH(ROW(bhpc_data[sku]),ROW(bhpc_data[sku])),""),ROWS($A$15:A253)+$B$3)),INDEX(bhpc_data[sku],SMALL(IF(ISNUMBER(MATCH(bhpc_data[category],$EC$9,0)*MATCH(bhpc_data[size1],$EC$13,0)),MATCH(ROW(bhpc_data[sku]),ROW(bhpc_data[sku])),""),ROWS($A$15:A253)+$B$3))),IF($EC$13="",INDEX(bhpc_data[sku],SMALL(IF(ISNUMBER(MATCH(bhpc_data[category],$EC$9,0)*MATCH(bhpc_data[sex],$EC$11,0)),MATCH(ROW(bhpc_data[sku]),ROW(bhpc_data[sku])),""),ROWS($A$15:A253)+$B$3)),INDEX(bhpc_data[sku],SMALL(IF(ISNUMBER(MATCH(bhpc_data[category],$EC$9,0)*MATCH(bhpc_data[sex],$EC$11,0)*MATCH(bhpc_data[size1],$EC$13,0)),MATCH(ROW(bhpc_data[sku]),ROW(bhpc_data[sku])),""),ROWS($A$15:A253)+$B$3))))),"")</f>
        <v/>
      </c>
      <c r="EF248" s="198" t="str" cm="1">
        <f t="array" ref="EF248">IFERROR(IF($EC$9="",IF($EC$11="",IF($EC$13="",INDEX(bhpc_data[description],SMALL(MATCH(ROW(bhpc_data[sku]),ROW(bhpc_data[sku])),ROWS($A$15:A253)+$B$3)),INDEX(bhpc_data[description],SMALL(IF(ISNUMBER(MATCH(bhpc_data[size1],$EC$13,0)),MATCH(ROW(bhpc_data[sku]),ROW(bhpc_data[sku])),""),ROWS($A$15:A253)+$B$3))),IF($EC$13="",INDEX(bhpc_data[description],SMALL(IF(ISNUMBER(MATCH(bhpc_data[sex],$EC$11,0)),MATCH(ROW(bhpc_data[sku]),ROW(bhpc_data[sku])),""),ROWS($A$15:A253)+$B$3)),INDEX(bhpc_data[description],SMALL(IF(ISNUMBER(MATCH(bhpc_data[sex],$EC$11,0)*MATCH(bhpc_data[size1],$EC$13,0)),MATCH(ROW(bhpc_data[sku]),ROW(bhpc_data[sku])),""),ROWS($A$15:A253)+$B$3)))),IF($EC$11="",IF($EC$13="",INDEX(bhpc_data[description],SMALL(IF(ISNUMBER(MATCH(bhpc_data[category],$EC$9,0)),MATCH(ROW(bhpc_data[sku]),ROW(bhpc_data[sku])),""),ROWS($A$15:A253)+$B$3)),INDEX(bhpc_data[description],SMALL(IF(ISNUMBER(MATCH(bhpc_data[category],$EC$9,0)*MATCH(bhpc_data[size1],$EC$13,0)),MATCH(ROW(bhpc_data[sku]),ROW(bhpc_data[sku])),""),ROWS($A$15:A253)+$B$3))),IF($EC$13="",INDEX(bhpc_data[description],SMALL(IF(ISNUMBER(MATCH(bhpc_data[category],$EC$9,0)*MATCH(bhpc_data[sex],$EC$11,0)),MATCH(ROW(bhpc_data[sku]),ROW(bhpc_data[sku])),""),ROWS($A$15:A253)+$B$3)),INDEX(bhpc_data[description],SMALL(IF(ISNUMBER(MATCH(bhpc_data[category],$EC$9,0)*MATCH(bhpc_data[sex],$EC$11,0)*MATCH(bhpc_data[size1],$EC$13,0)),MATCH(ROW(bhpc_data[sku]),ROW(bhpc_data[sku])),""),ROWS($A$15:A253)+$B$3))))),"")</f>
        <v/>
      </c>
      <c r="EG248" s="263" t="str">
        <f>IFERROR(IF(warehouse[[#This Row],[SKU]]="","",INDEX(inventory[ESISTENZA],MATCH(warehouse[[#This Row],[SKU]],inventory[ARTICOLO],0))),"")</f>
        <v/>
      </c>
      <c r="EH248" s="328"/>
      <c r="EI248" s="328"/>
      <c r="EJ248" s="263"/>
      <c r="EK248" s="113"/>
    </row>
    <row r="249" spans="63:141" x14ac:dyDescent="0.35">
      <c r="BK249" s="450"/>
      <c r="BL249" s="451"/>
      <c r="BM249" s="452"/>
      <c r="BN249" s="451"/>
      <c r="BO249" s="452"/>
      <c r="EE249" s="202" t="str" cm="1">
        <f t="array" ref="EE249">IFERROR(IF($EC$9="",IF($EC$11="",IF($EC$13="",INDEX(bhpc_data[sku],SMALL(MATCH(ROW(bhpc_data[sku]),ROW(bhpc_data[sku])),ROWS($A$15:A254)+$B$3)),INDEX(bhpc_data[sku],SMALL(IF(ISNUMBER(MATCH(bhpc_data[size1],$EC$13,0)),MATCH(ROW(bhpc_data[sku]),ROW(bhpc_data[sku])),""),ROWS($A$15:A254)+$B$3))),IF($EC$13="",INDEX(bhpc_data[sku],SMALL(IF(ISNUMBER(MATCH(bhpc_data[sex],$EC$11,0)),MATCH(ROW(bhpc_data[sku]),ROW(bhpc_data[sku])),""),ROWS($A$15:A254)+$B$3)),INDEX(bhpc_data[sku],SMALL(IF(ISNUMBER(MATCH(bhpc_data[sex],$EC$11,0)*MATCH(bhpc_data[size1],$EC$13,0)),MATCH(ROW(bhpc_data[sku]),ROW(bhpc_data[sku])),""),ROWS($A$15:A254)+$B$3)))),IF($EC$11="",IF($EC$13="",INDEX(bhpc_data[sku],SMALL(IF(ISNUMBER(MATCH(bhpc_data[category],$EC$9,0)),MATCH(ROW(bhpc_data[sku]),ROW(bhpc_data[sku])),""),ROWS($A$15:A254)+$B$3)),INDEX(bhpc_data[sku],SMALL(IF(ISNUMBER(MATCH(bhpc_data[category],$EC$9,0)*MATCH(bhpc_data[size1],$EC$13,0)),MATCH(ROW(bhpc_data[sku]),ROW(bhpc_data[sku])),""),ROWS($A$15:A254)+$B$3))),IF($EC$13="",INDEX(bhpc_data[sku],SMALL(IF(ISNUMBER(MATCH(bhpc_data[category],$EC$9,0)*MATCH(bhpc_data[sex],$EC$11,0)),MATCH(ROW(bhpc_data[sku]),ROW(bhpc_data[sku])),""),ROWS($A$15:A254)+$B$3)),INDEX(bhpc_data[sku],SMALL(IF(ISNUMBER(MATCH(bhpc_data[category],$EC$9,0)*MATCH(bhpc_data[sex],$EC$11,0)*MATCH(bhpc_data[size1],$EC$13,0)),MATCH(ROW(bhpc_data[sku]),ROW(bhpc_data[sku])),""),ROWS($A$15:A254)+$B$3))))),"")</f>
        <v/>
      </c>
      <c r="EF249" s="198" t="str" cm="1">
        <f t="array" ref="EF249">IFERROR(IF($EC$9="",IF($EC$11="",IF($EC$13="",INDEX(bhpc_data[description],SMALL(MATCH(ROW(bhpc_data[sku]),ROW(bhpc_data[sku])),ROWS($A$15:A254)+$B$3)),INDEX(bhpc_data[description],SMALL(IF(ISNUMBER(MATCH(bhpc_data[size1],$EC$13,0)),MATCH(ROW(bhpc_data[sku]),ROW(bhpc_data[sku])),""),ROWS($A$15:A254)+$B$3))),IF($EC$13="",INDEX(bhpc_data[description],SMALL(IF(ISNUMBER(MATCH(bhpc_data[sex],$EC$11,0)),MATCH(ROW(bhpc_data[sku]),ROW(bhpc_data[sku])),""),ROWS($A$15:A254)+$B$3)),INDEX(bhpc_data[description],SMALL(IF(ISNUMBER(MATCH(bhpc_data[sex],$EC$11,0)*MATCH(bhpc_data[size1],$EC$13,0)),MATCH(ROW(bhpc_data[sku]),ROW(bhpc_data[sku])),""),ROWS($A$15:A254)+$B$3)))),IF($EC$11="",IF($EC$13="",INDEX(bhpc_data[description],SMALL(IF(ISNUMBER(MATCH(bhpc_data[category],$EC$9,0)),MATCH(ROW(bhpc_data[sku]),ROW(bhpc_data[sku])),""),ROWS($A$15:A254)+$B$3)),INDEX(bhpc_data[description],SMALL(IF(ISNUMBER(MATCH(bhpc_data[category],$EC$9,0)*MATCH(bhpc_data[size1],$EC$13,0)),MATCH(ROW(bhpc_data[sku]),ROW(bhpc_data[sku])),""),ROWS($A$15:A254)+$B$3))),IF($EC$13="",INDEX(bhpc_data[description],SMALL(IF(ISNUMBER(MATCH(bhpc_data[category],$EC$9,0)*MATCH(bhpc_data[sex],$EC$11,0)),MATCH(ROW(bhpc_data[sku]),ROW(bhpc_data[sku])),""),ROWS($A$15:A254)+$B$3)),INDEX(bhpc_data[description],SMALL(IF(ISNUMBER(MATCH(bhpc_data[category],$EC$9,0)*MATCH(bhpc_data[sex],$EC$11,0)*MATCH(bhpc_data[size1],$EC$13,0)),MATCH(ROW(bhpc_data[sku]),ROW(bhpc_data[sku])),""),ROWS($A$15:A254)+$B$3))))),"")</f>
        <v/>
      </c>
      <c r="EG249" s="263" t="str">
        <f>IFERROR(IF(warehouse[[#This Row],[SKU]]="","",INDEX(inventory[ESISTENZA],MATCH(warehouse[[#This Row],[SKU]],inventory[ARTICOLO],0))),"")</f>
        <v/>
      </c>
      <c r="EH249" s="328"/>
      <c r="EI249" s="328"/>
      <c r="EJ249" s="263"/>
      <c r="EK249" s="113"/>
    </row>
    <row r="250" spans="63:141" x14ac:dyDescent="0.35">
      <c r="BK250" s="453"/>
      <c r="BL250" s="454"/>
      <c r="BM250" s="455"/>
      <c r="BN250" s="454"/>
      <c r="BO250" s="455"/>
      <c r="EE250" s="202" t="str" cm="1">
        <f t="array" ref="EE250">IFERROR(IF($EC$9="",IF($EC$11="",IF($EC$13="",INDEX(bhpc_data[sku],SMALL(MATCH(ROW(bhpc_data[sku]),ROW(bhpc_data[sku])),ROWS($A$15:A255)+$B$3)),INDEX(bhpc_data[sku],SMALL(IF(ISNUMBER(MATCH(bhpc_data[size1],$EC$13,0)),MATCH(ROW(bhpc_data[sku]),ROW(bhpc_data[sku])),""),ROWS($A$15:A255)+$B$3))),IF($EC$13="",INDEX(bhpc_data[sku],SMALL(IF(ISNUMBER(MATCH(bhpc_data[sex],$EC$11,0)),MATCH(ROW(bhpc_data[sku]),ROW(bhpc_data[sku])),""),ROWS($A$15:A255)+$B$3)),INDEX(bhpc_data[sku],SMALL(IF(ISNUMBER(MATCH(bhpc_data[sex],$EC$11,0)*MATCH(bhpc_data[size1],$EC$13,0)),MATCH(ROW(bhpc_data[sku]),ROW(bhpc_data[sku])),""),ROWS($A$15:A255)+$B$3)))),IF($EC$11="",IF($EC$13="",INDEX(bhpc_data[sku],SMALL(IF(ISNUMBER(MATCH(bhpc_data[category],$EC$9,0)),MATCH(ROW(bhpc_data[sku]),ROW(bhpc_data[sku])),""),ROWS($A$15:A255)+$B$3)),INDEX(bhpc_data[sku],SMALL(IF(ISNUMBER(MATCH(bhpc_data[category],$EC$9,0)*MATCH(bhpc_data[size1],$EC$13,0)),MATCH(ROW(bhpc_data[sku]),ROW(bhpc_data[sku])),""),ROWS($A$15:A255)+$B$3))),IF($EC$13="",INDEX(bhpc_data[sku],SMALL(IF(ISNUMBER(MATCH(bhpc_data[category],$EC$9,0)*MATCH(bhpc_data[sex],$EC$11,0)),MATCH(ROW(bhpc_data[sku]),ROW(bhpc_data[sku])),""),ROWS($A$15:A255)+$B$3)),INDEX(bhpc_data[sku],SMALL(IF(ISNUMBER(MATCH(bhpc_data[category],$EC$9,0)*MATCH(bhpc_data[sex],$EC$11,0)*MATCH(bhpc_data[size1],$EC$13,0)),MATCH(ROW(bhpc_data[sku]),ROW(bhpc_data[sku])),""),ROWS($A$15:A255)+$B$3))))),"")</f>
        <v/>
      </c>
      <c r="EF250" s="198" t="str" cm="1">
        <f t="array" ref="EF250">IFERROR(IF($EC$9="",IF($EC$11="",IF($EC$13="",INDEX(bhpc_data[description],SMALL(MATCH(ROW(bhpc_data[sku]),ROW(bhpc_data[sku])),ROWS($A$15:A255)+$B$3)),INDEX(bhpc_data[description],SMALL(IF(ISNUMBER(MATCH(bhpc_data[size1],$EC$13,0)),MATCH(ROW(bhpc_data[sku]),ROW(bhpc_data[sku])),""),ROWS($A$15:A255)+$B$3))),IF($EC$13="",INDEX(bhpc_data[description],SMALL(IF(ISNUMBER(MATCH(bhpc_data[sex],$EC$11,0)),MATCH(ROW(bhpc_data[sku]),ROW(bhpc_data[sku])),""),ROWS($A$15:A255)+$B$3)),INDEX(bhpc_data[description],SMALL(IF(ISNUMBER(MATCH(bhpc_data[sex],$EC$11,0)*MATCH(bhpc_data[size1],$EC$13,0)),MATCH(ROW(bhpc_data[sku]),ROW(bhpc_data[sku])),""),ROWS($A$15:A255)+$B$3)))),IF($EC$11="",IF($EC$13="",INDEX(bhpc_data[description],SMALL(IF(ISNUMBER(MATCH(bhpc_data[category],$EC$9,0)),MATCH(ROW(bhpc_data[sku]),ROW(bhpc_data[sku])),""),ROWS($A$15:A255)+$B$3)),INDEX(bhpc_data[description],SMALL(IF(ISNUMBER(MATCH(bhpc_data[category],$EC$9,0)*MATCH(bhpc_data[size1],$EC$13,0)),MATCH(ROW(bhpc_data[sku]),ROW(bhpc_data[sku])),""),ROWS($A$15:A255)+$B$3))),IF($EC$13="",INDEX(bhpc_data[description],SMALL(IF(ISNUMBER(MATCH(bhpc_data[category],$EC$9,0)*MATCH(bhpc_data[sex],$EC$11,0)),MATCH(ROW(bhpc_data[sku]),ROW(bhpc_data[sku])),""),ROWS($A$15:A255)+$B$3)),INDEX(bhpc_data[description],SMALL(IF(ISNUMBER(MATCH(bhpc_data[category],$EC$9,0)*MATCH(bhpc_data[sex],$EC$11,0)*MATCH(bhpc_data[size1],$EC$13,0)),MATCH(ROW(bhpc_data[sku]),ROW(bhpc_data[sku])),""),ROWS($A$15:A255)+$B$3))))),"")</f>
        <v/>
      </c>
      <c r="EG250" s="263" t="str">
        <f>IFERROR(IF(warehouse[[#This Row],[SKU]]="","",INDEX(inventory[ESISTENZA],MATCH(warehouse[[#This Row],[SKU]],inventory[ARTICOLO],0))),"")</f>
        <v/>
      </c>
      <c r="EH250" s="328"/>
      <c r="EI250" s="328"/>
      <c r="EJ250" s="263"/>
      <c r="EK250" s="113"/>
    </row>
  </sheetData>
  <sortState xmlns:xlrd2="http://schemas.microsoft.com/office/spreadsheetml/2017/richdata2" ref="BZ10:CS110">
    <sortCondition ref="BZ10"/>
  </sortState>
  <dataConsolidate/>
  <mergeCells count="29">
    <mergeCell ref="G29:I29"/>
    <mergeCell ref="AR25:AT26"/>
    <mergeCell ref="AT20:AT21"/>
    <mergeCell ref="AS20:AS21"/>
    <mergeCell ref="N6:O6"/>
    <mergeCell ref="ZQ9:ZZ9"/>
    <mergeCell ref="ZF9:ZO9"/>
    <mergeCell ref="BD22:BH23"/>
    <mergeCell ref="BD19:BH20"/>
    <mergeCell ref="Q6:R6"/>
    <mergeCell ref="BX18:BX19"/>
    <mergeCell ref="G10:I10"/>
    <mergeCell ref="G27:I27"/>
    <mergeCell ref="G28:I28"/>
    <mergeCell ref="G22:I22"/>
    <mergeCell ref="G23:I23"/>
    <mergeCell ref="G24:I24"/>
    <mergeCell ref="G26:I26"/>
    <mergeCell ref="G14:I16"/>
    <mergeCell ref="G20:I20"/>
    <mergeCell ref="G18:I18"/>
    <mergeCell ref="G12:I12"/>
    <mergeCell ref="BB32:BD32"/>
    <mergeCell ref="BB31:BD31"/>
    <mergeCell ref="AR38:AT38"/>
    <mergeCell ref="AX27:AY27"/>
    <mergeCell ref="AR33:AT34"/>
    <mergeCell ref="BB27:BH30"/>
    <mergeCell ref="AX29:AY29"/>
  </mergeCells>
  <conditionalFormatting sqref="L10:O60 R10:V60">
    <cfRule type="expression" dxfId="15" priority="3">
      <formula>$B$2=ROW()</formula>
    </cfRule>
  </conditionalFormatting>
  <conditionalFormatting sqref="V10:V60">
    <cfRule type="cellIs" dxfId="14" priority="38" operator="equal">
      <formula>"SHIPPED"</formula>
    </cfRule>
    <cfRule type="cellIs" dxfId="13" priority="42" operator="equal">
      <formula>"ON WAITING"</formula>
    </cfRule>
    <cfRule type="cellIs" dxfId="12" priority="43" operator="equal">
      <formula>"PREPARING"</formula>
    </cfRule>
    <cfRule type="cellIs" dxfId="11" priority="82" operator="equal">
      <formula>"DELIVERED"</formula>
    </cfRule>
  </conditionalFormatting>
  <conditionalFormatting sqref="T10:T60">
    <cfRule type="cellIs" dxfId="10" priority="39" operator="equal">
      <formula>FALSE</formula>
    </cfRule>
    <cfRule type="cellIs" dxfId="9" priority="41" operator="equal">
      <formula>TRUE</formula>
    </cfRule>
  </conditionalFormatting>
  <conditionalFormatting sqref="D19:D21 G20:I20 G22:I24 G26:I29">
    <cfRule type="cellIs" dxfId="8" priority="33" operator="equal">
      <formula>0</formula>
    </cfRule>
  </conditionalFormatting>
  <conditionalFormatting sqref="N10:N60">
    <cfRule type="cellIs" dxfId="7" priority="20" operator="equal">
      <formula>"SUPPLY"</formula>
    </cfRule>
    <cfRule type="cellIs" dxfId="6" priority="21" operator="equal">
      <formula>"SAMPLING"</formula>
    </cfRule>
    <cfRule type="cellIs" dxfId="5" priority="25" operator="equal">
      <formula>"SALE"</formula>
    </cfRule>
  </conditionalFormatting>
  <conditionalFormatting sqref="D24:D27">
    <cfRule type="containsErrors" dxfId="4" priority="15">
      <formula>ISERROR(D24)</formula>
    </cfRule>
    <cfRule type="cellIs" dxfId="3" priority="19" operator="equal">
      <formula>0</formula>
    </cfRule>
  </conditionalFormatting>
  <conditionalFormatting sqref="P10:Q60">
    <cfRule type="expression" dxfId="2" priority="2">
      <formula>AND($B$2=ROW(), $P10&lt;&gt;0)</formula>
    </cfRule>
    <cfRule type="expression" dxfId="1" priority="4">
      <formula>AND($B$2=ROW(), $P10=0)</formula>
    </cfRule>
    <cfRule type="expression" dxfId="0" priority="14">
      <formula>$P10=0</formula>
    </cfRule>
  </conditionalFormatting>
  <dataValidations count="25">
    <dataValidation type="list" allowBlank="1" showInputMessage="1" showErrorMessage="1" sqref="Q6" xr:uid="{00000000-0002-0000-0F00-000000000000}">
      <formula1>"Ascending,Descending"</formula1>
    </dataValidation>
    <dataValidation type="list" allowBlank="1" showInputMessage="1" showErrorMessage="1" sqref="N6" xr:uid="{00000000-0002-0000-0F00-000001000000}">
      <formula1>$L$9:$V$9</formula1>
    </dataValidation>
    <dataValidation type="list" allowBlank="1" showInputMessage="1" showErrorMessage="1" sqref="CW35" xr:uid="{00000000-0002-0000-0F00-000002000000}">
      <formula1>"NO PALLET,CONSOLIDATO,PER CATEGORIA,PER SKU,PER SESSO"</formula1>
    </dataValidation>
    <dataValidation type="list" allowBlank="1" showInputMessage="1" showErrorMessage="1" sqref="CW36" xr:uid="{00000000-0002-0000-0F00-000003000000}">
      <formula1>"80x120,100x120"</formula1>
    </dataValidation>
    <dataValidation type="list" allowBlank="1" showInputMessage="1" showErrorMessage="1" sqref="ZF9:ZO9 ZQ9:ZZ9" xr:uid="{00000000-0002-0000-0F00-000004000000}">
      <formula1>"Z:\Stephane\Stephane Personale\Applicazioni Coppo\BHPC\CRM BHPC\,C:\Users\steph\OneDrive\Coppo1896\applicazioni\CRM BHPC\"</formula1>
    </dataValidation>
    <dataValidation type="list" allowBlank="1" showInputMessage="1" showErrorMessage="1" sqref="DL6:DV6" xr:uid="{00000000-0002-0000-0F00-000005000000}">
      <formula1>"Z:\Stephane\Applicazioni Coppo\BHPC\CRM BHPC\docs\,C:\Users\steph\OneDrive\Coppo1896\applicazioni\CRM BHPC\docs\"</formula1>
    </dataValidation>
    <dataValidation type="list" allowBlank="1" showInputMessage="1" showErrorMessage="1" sqref="AT29" xr:uid="{00000000-0002-0000-0F00-000006000000}">
      <formula1>"BY ROAD,BY SEA,BY AIR"</formula1>
    </dataValidation>
    <dataValidation type="list" allowBlank="1" showInputMessage="1" showErrorMessage="1" sqref="AX29:AY29" xr:uid="{00000000-0002-0000-0F00-000007000000}">
      <formula1>$AR$51:$AR$59</formula1>
    </dataValidation>
    <dataValidation type="list" allowBlank="1" showInputMessage="1" showErrorMessage="1" sqref="AR13" xr:uid="{00000000-0002-0000-0F00-000008000000}">
      <formula1>"EUR,USD,GBP"</formula1>
    </dataValidation>
    <dataValidation type="list" allowBlank="1" showInputMessage="1" showErrorMessage="1" sqref="AR28" xr:uid="{00000000-0002-0000-0F00-000009000000}">
      <formula1>"80x120,100x120,NO PALLET"</formula1>
    </dataValidation>
    <dataValidation type="list" allowBlank="1" showInputMessage="1" showErrorMessage="1" sqref="D11" xr:uid="{00000000-0002-0000-0F00-00000A000000}">
      <formula1>"ON WAITING,PREPARING,SHIPPED"</formula1>
    </dataValidation>
    <dataValidation type="list" allowBlank="1" showInputMessage="1" showErrorMessage="1" sqref="AX32 AT14 AT39" xr:uid="{00000000-0002-0000-0F00-00000B000000}">
      <formula1>"VERO,FALSO"</formula1>
    </dataValidation>
    <dataValidation type="list" allowBlank="1" showInputMessage="1" showErrorMessage="1" sqref="AZ7" xr:uid="{00000000-0002-0000-0F00-00000C000000}">
      <formula1>$AW$49:$BH$49</formula1>
    </dataValidation>
    <dataValidation type="list" allowBlank="1" showInputMessage="1" showErrorMessage="1" sqref="P5" xr:uid="{00000000-0002-0000-0F00-00000D000000}">
      <formula1>yearSelDist</formula1>
    </dataValidation>
    <dataValidation type="list" allowBlank="1" showInputMessage="1" showErrorMessage="1" sqref="D9" xr:uid="{00000000-0002-0000-0F00-00000E000000}">
      <formula1>clientName</formula1>
    </dataValidation>
    <dataValidation type="list" allowBlank="1" showInputMessage="1" showErrorMessage="1" sqref="AT13" xr:uid="{00000000-0002-0000-0F00-00000F000000}">
      <formula1>"SALE,SAMPLE,SUPPLY"</formula1>
    </dataValidation>
    <dataValidation type="list" allowBlank="1" showInputMessage="1" showErrorMessage="1" sqref="AT18" xr:uid="{00000000-0002-0000-0F00-000010000000}">
      <formula1>"IN ADVANCE,30 DAYS FROM INVOICE,60 DAYS FROM INVOICE,90 DAYS FROM INVOICE,120 DAYS FROM INVOICE,AGAINST SHIPPING DOCS"</formula1>
    </dataValidation>
    <dataValidation type="list" allowBlank="1" showInputMessage="1" showErrorMessage="1" sqref="D13" xr:uid="{00000000-0002-0000-0F00-000011000000}">
      <formula1>"SALE,SUPPLY,SAMPLING"</formula1>
    </dataValidation>
    <dataValidation type="list" allowBlank="1" showInputMessage="1" showErrorMessage="1" sqref="EC13" xr:uid="{00000000-0002-0000-0F00-000012000000}">
      <formula1>"50,100,150,175,200,300"</formula1>
    </dataValidation>
    <dataValidation type="list" allowBlank="1" showInputMessage="1" showErrorMessage="1" sqref="EC11" xr:uid="{00000000-0002-0000-0F00-000013000000}">
      <formula1>"MAN,WOMAN"</formula1>
    </dataValidation>
    <dataValidation type="list" allowBlank="1" showInputMessage="1" showErrorMessage="1" sqref="AX27:AY27" xr:uid="{00000000-0002-0000-0F00-000014000000}">
      <formula1>"ON WAITING, PREPARING,SHIPPED"</formula1>
    </dataValidation>
    <dataValidation type="list" allowBlank="1" showInputMessage="1" showErrorMessage="1" sqref="D15" xr:uid="{00000000-0002-0000-0F00-000015000000}">
      <formula1>"2023,2024,2025"</formula1>
    </dataValidation>
    <dataValidation type="list" allowBlank="1" showInputMessage="1" showErrorMessage="1" sqref="BH11" xr:uid="{00000000-0002-0000-0F00-000016000000}">
      <formula1>"20',40',40' HC"</formula1>
    </dataValidation>
    <dataValidation type="list" allowBlank="1" showInputMessage="1" showErrorMessage="1" sqref="EC9" xr:uid="{00000000-0002-0000-0F00-000017000000}">
      <formula1>"MASSTIGE,PRESTIGE,GIFTSET,BODYMIST,HAIRMIST,ROLL-ON,TESTER,MATERIAL"</formula1>
    </dataValidation>
    <dataValidation type="list" allowBlank="1" showInputMessage="1" showErrorMessage="1" sqref="FG9:FG39" xr:uid="{00000000-0002-0000-0F00-000018000000}">
      <formula1>giftSetSku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39" r:id="rId4" name="barraScorrimentoOrdini">
              <controlPr defaultSize="0" autoPict="0">
                <anchor>
                  <from>
                    <xdr:col>22</xdr:col>
                    <xdr:colOff>19050</xdr:colOff>
                    <xdr:row>9</xdr:row>
                    <xdr:rowOff>19050</xdr:rowOff>
                  </from>
                  <to>
                    <xdr:col>23</xdr:col>
                    <xdr:colOff>0</xdr:colOff>
                    <xdr:row>59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1"/>
  <dimension ref="A1:H1"/>
  <sheetViews>
    <sheetView workbookViewId="0">
      <selection activeCell="B2" sqref="B2"/>
    </sheetView>
  </sheetViews>
  <sheetFormatPr defaultRowHeight="14.5" x14ac:dyDescent="0.35"/>
  <cols>
    <col min="1" max="1" width="17.1796875" bestFit="1" customWidth="1"/>
    <col min="2" max="2" width="14.7265625" bestFit="1" customWidth="1"/>
    <col min="3" max="7" width="19.81640625" bestFit="1" customWidth="1"/>
    <col min="8" max="8" width="14.54296875" bestFit="1" customWidth="1"/>
  </cols>
  <sheetData>
    <row r="1" spans="1:8" s="5" customFormat="1" x14ac:dyDescent="0.35">
      <c r="A1" s="5" t="s">
        <v>1108</v>
      </c>
      <c r="B1" s="5" t="s">
        <v>6</v>
      </c>
      <c r="C1" s="5" t="s">
        <v>1109</v>
      </c>
      <c r="D1" s="5" t="s">
        <v>1110</v>
      </c>
      <c r="E1" s="5" t="s">
        <v>1111</v>
      </c>
      <c r="F1" s="5" t="s">
        <v>1112</v>
      </c>
      <c r="G1" s="5" t="s">
        <v>1113</v>
      </c>
      <c r="H1" s="5" t="s">
        <v>1114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glio3"/>
  <dimension ref="A1:O87"/>
  <sheetViews>
    <sheetView workbookViewId="0">
      <selection activeCell="M3" sqref="M3"/>
    </sheetView>
  </sheetViews>
  <sheetFormatPr defaultRowHeight="14.5" x14ac:dyDescent="0.35"/>
  <cols>
    <col min="1" max="1" width="18.453125" style="61" customWidth="1"/>
    <col min="2" max="2" width="53.26953125" style="1" bestFit="1" customWidth="1"/>
    <col min="3" max="3" width="79.81640625" style="1" bestFit="1" customWidth="1"/>
    <col min="4" max="4" width="14.54296875" style="1" customWidth="1"/>
    <col min="5" max="5" width="17.81640625" style="1" customWidth="1"/>
    <col min="6" max="11" width="8.7265625" style="1"/>
    <col min="12" max="12" width="8.7265625" style="6"/>
    <col min="13" max="15" width="8.7265625" style="1"/>
  </cols>
  <sheetData>
    <row r="1" spans="1:13" ht="30" customHeight="1" x14ac:dyDescent="0.35">
      <c r="A1" s="267" t="s">
        <v>1118</v>
      </c>
      <c r="B1" s="267" t="s">
        <v>1126</v>
      </c>
      <c r="C1" s="267" t="s">
        <v>1127</v>
      </c>
      <c r="D1" s="267" t="s">
        <v>474</v>
      </c>
      <c r="E1" s="267" t="s">
        <v>1131</v>
      </c>
      <c r="F1" s="267"/>
      <c r="G1" s="267"/>
      <c r="H1" s="267"/>
      <c r="I1" s="267"/>
      <c r="J1" s="267"/>
      <c r="L1" s="373"/>
      <c r="M1" s="267" t="s">
        <v>1132</v>
      </c>
    </row>
    <row r="2" spans="1:13" x14ac:dyDescent="0.35">
      <c r="A2" s="61" t="s">
        <v>168</v>
      </c>
      <c r="B2" s="54" t="s">
        <v>1128</v>
      </c>
      <c r="C2" s="1" t="s">
        <v>272</v>
      </c>
      <c r="D2" s="1" t="s">
        <v>246</v>
      </c>
      <c r="E2" s="1" t="s">
        <v>847</v>
      </c>
      <c r="L2" s="6" t="s">
        <v>1118</v>
      </c>
    </row>
    <row r="3" spans="1:13" x14ac:dyDescent="0.35">
      <c r="A3" s="61" t="s">
        <v>170</v>
      </c>
      <c r="B3" s="54" t="s">
        <v>1016</v>
      </c>
      <c r="C3" s="1" t="s">
        <v>947</v>
      </c>
      <c r="D3" s="1" t="s">
        <v>267</v>
      </c>
      <c r="E3" s="1" t="s">
        <v>1116</v>
      </c>
      <c r="L3" s="6" t="s">
        <v>1126</v>
      </c>
      <c r="M3" s="1">
        <f ca="1">COUNTA(payment_method)</f>
        <v>9</v>
      </c>
    </row>
    <row r="4" spans="1:13" x14ac:dyDescent="0.35">
      <c r="A4" s="61" t="s">
        <v>172</v>
      </c>
      <c r="B4" s="54" t="s">
        <v>955</v>
      </c>
      <c r="C4" s="1" t="s">
        <v>336</v>
      </c>
      <c r="D4" s="1" t="s">
        <v>657</v>
      </c>
      <c r="E4" s="1" t="s">
        <v>1115</v>
      </c>
      <c r="L4" s="6" t="s">
        <v>1127</v>
      </c>
    </row>
    <row r="5" spans="1:13" x14ac:dyDescent="0.35">
      <c r="A5" s="61" t="s">
        <v>174</v>
      </c>
      <c r="B5" s="54" t="s">
        <v>1026</v>
      </c>
      <c r="E5" s="1" t="s">
        <v>1117</v>
      </c>
      <c r="L5" s="6" t="s">
        <v>474</v>
      </c>
    </row>
    <row r="6" spans="1:13" x14ac:dyDescent="0.35">
      <c r="A6" s="61" t="s">
        <v>99</v>
      </c>
      <c r="B6" s="54" t="s">
        <v>1022</v>
      </c>
      <c r="L6" s="6" t="s">
        <v>1131</v>
      </c>
    </row>
    <row r="7" spans="1:13" x14ac:dyDescent="0.35">
      <c r="A7" s="61" t="s">
        <v>101</v>
      </c>
      <c r="B7" s="54" t="s">
        <v>1129</v>
      </c>
    </row>
    <row r="8" spans="1:13" x14ac:dyDescent="0.35">
      <c r="A8" s="61" t="s">
        <v>103</v>
      </c>
      <c r="B8" s="54" t="s">
        <v>1130</v>
      </c>
    </row>
    <row r="9" spans="1:13" x14ac:dyDescent="0.35">
      <c r="A9" s="61" t="s">
        <v>105</v>
      </c>
      <c r="B9" s="54" t="s">
        <v>1202</v>
      </c>
    </row>
    <row r="10" spans="1:13" x14ac:dyDescent="0.35">
      <c r="A10" s="61" t="s">
        <v>61</v>
      </c>
      <c r="B10" s="54" t="s">
        <v>1019</v>
      </c>
    </row>
    <row r="11" spans="1:13" x14ac:dyDescent="0.35">
      <c r="A11" s="61" t="s">
        <v>66</v>
      </c>
    </row>
    <row r="12" spans="1:13" x14ac:dyDescent="0.35">
      <c r="A12" s="61" t="s">
        <v>68</v>
      </c>
    </row>
    <row r="13" spans="1:13" x14ac:dyDescent="0.35">
      <c r="A13" s="61" t="s">
        <v>70</v>
      </c>
    </row>
    <row r="14" spans="1:13" x14ac:dyDescent="0.35">
      <c r="A14" s="61" t="s">
        <v>157</v>
      </c>
    </row>
    <row r="15" spans="1:13" x14ac:dyDescent="0.35">
      <c r="A15" s="61" t="s">
        <v>162</v>
      </c>
    </row>
    <row r="16" spans="1:13" x14ac:dyDescent="0.35">
      <c r="A16" s="61" t="s">
        <v>164</v>
      </c>
    </row>
    <row r="17" spans="1:1" x14ac:dyDescent="0.35">
      <c r="A17" s="61" t="s">
        <v>166</v>
      </c>
    </row>
    <row r="18" spans="1:1" x14ac:dyDescent="0.35">
      <c r="A18" s="61" t="s">
        <v>72</v>
      </c>
    </row>
    <row r="19" spans="1:1" x14ac:dyDescent="0.35">
      <c r="A19" s="61" t="s">
        <v>74</v>
      </c>
    </row>
    <row r="20" spans="1:1" x14ac:dyDescent="0.35">
      <c r="A20" s="61" t="s">
        <v>76</v>
      </c>
    </row>
    <row r="21" spans="1:1" x14ac:dyDescent="0.35">
      <c r="A21" s="61" t="s">
        <v>78</v>
      </c>
    </row>
    <row r="22" spans="1:1" x14ac:dyDescent="0.35">
      <c r="A22" s="61" t="s">
        <v>107</v>
      </c>
    </row>
    <row r="23" spans="1:1" x14ac:dyDescent="0.35">
      <c r="A23" s="61" t="s">
        <v>109</v>
      </c>
    </row>
    <row r="24" spans="1:1" x14ac:dyDescent="0.35">
      <c r="A24" s="61" t="s">
        <v>111</v>
      </c>
    </row>
    <row r="25" spans="1:1" x14ac:dyDescent="0.35">
      <c r="A25" s="61" t="s">
        <v>113</v>
      </c>
    </row>
    <row r="26" spans="1:1" x14ac:dyDescent="0.35">
      <c r="A26" s="61" t="s">
        <v>115</v>
      </c>
    </row>
    <row r="27" spans="1:1" x14ac:dyDescent="0.35">
      <c r="A27" s="61" t="s">
        <v>118</v>
      </c>
    </row>
    <row r="28" spans="1:1" x14ac:dyDescent="0.35">
      <c r="A28" s="61" t="s">
        <v>120</v>
      </c>
    </row>
    <row r="29" spans="1:1" x14ac:dyDescent="0.35">
      <c r="A29" s="61" t="s">
        <v>122</v>
      </c>
    </row>
    <row r="30" spans="1:1" x14ac:dyDescent="0.35">
      <c r="A30" s="61" t="s">
        <v>124</v>
      </c>
    </row>
    <row r="31" spans="1:1" x14ac:dyDescent="0.35">
      <c r="A31" s="61" t="s">
        <v>126</v>
      </c>
    </row>
    <row r="32" spans="1:1" x14ac:dyDescent="0.35">
      <c r="A32" s="61" t="s">
        <v>128</v>
      </c>
    </row>
    <row r="33" spans="1:1" x14ac:dyDescent="0.35">
      <c r="A33" s="61" t="s">
        <v>130</v>
      </c>
    </row>
    <row r="34" spans="1:1" x14ac:dyDescent="0.35">
      <c r="A34" s="61" t="s">
        <v>149</v>
      </c>
    </row>
    <row r="35" spans="1:1" x14ac:dyDescent="0.35">
      <c r="A35" s="61" t="s">
        <v>151</v>
      </c>
    </row>
    <row r="36" spans="1:1" x14ac:dyDescent="0.35">
      <c r="A36" s="61" t="s">
        <v>189</v>
      </c>
    </row>
    <row r="37" spans="1:1" x14ac:dyDescent="0.35">
      <c r="A37" s="61" t="s">
        <v>192</v>
      </c>
    </row>
    <row r="38" spans="1:1" x14ac:dyDescent="0.35">
      <c r="A38" s="61" t="s">
        <v>194</v>
      </c>
    </row>
    <row r="39" spans="1:1" x14ac:dyDescent="0.35">
      <c r="A39" s="61" t="s">
        <v>196</v>
      </c>
    </row>
    <row r="40" spans="1:1" x14ac:dyDescent="0.35">
      <c r="A40" s="61" t="s">
        <v>80</v>
      </c>
    </row>
    <row r="41" spans="1:1" x14ac:dyDescent="0.35">
      <c r="A41" s="61" t="s">
        <v>82</v>
      </c>
    </row>
    <row r="42" spans="1:1" x14ac:dyDescent="0.35">
      <c r="A42" s="61" t="s">
        <v>84</v>
      </c>
    </row>
    <row r="43" spans="1:1" x14ac:dyDescent="0.35">
      <c r="A43" s="61" t="s">
        <v>86</v>
      </c>
    </row>
    <row r="44" spans="1:1" x14ac:dyDescent="0.35">
      <c r="A44" s="61" t="s">
        <v>24</v>
      </c>
    </row>
    <row r="45" spans="1:1" x14ac:dyDescent="0.35">
      <c r="A45" s="61" t="s">
        <v>30</v>
      </c>
    </row>
    <row r="46" spans="1:1" x14ac:dyDescent="0.35">
      <c r="A46" s="61" t="s">
        <v>32</v>
      </c>
    </row>
    <row r="47" spans="1:1" x14ac:dyDescent="0.35">
      <c r="A47" s="61" t="s">
        <v>34</v>
      </c>
    </row>
    <row r="48" spans="1:1" x14ac:dyDescent="0.35">
      <c r="A48" s="61" t="s">
        <v>36</v>
      </c>
    </row>
    <row r="49" spans="1:1" x14ac:dyDescent="0.35">
      <c r="A49" s="61" t="s">
        <v>39</v>
      </c>
    </row>
    <row r="50" spans="1:1" x14ac:dyDescent="0.35">
      <c r="A50" s="61" t="s">
        <v>41</v>
      </c>
    </row>
    <row r="51" spans="1:1" x14ac:dyDescent="0.35">
      <c r="A51" s="61" t="s">
        <v>43</v>
      </c>
    </row>
    <row r="52" spans="1:1" x14ac:dyDescent="0.35">
      <c r="A52" s="61" t="s">
        <v>88</v>
      </c>
    </row>
    <row r="53" spans="1:1" x14ac:dyDescent="0.35">
      <c r="A53" s="61" t="s">
        <v>90</v>
      </c>
    </row>
    <row r="54" spans="1:1" x14ac:dyDescent="0.35">
      <c r="A54" s="61" t="s">
        <v>92</v>
      </c>
    </row>
    <row r="55" spans="1:1" x14ac:dyDescent="0.35">
      <c r="A55" s="61" t="s">
        <v>94</v>
      </c>
    </row>
    <row r="56" spans="1:1" x14ac:dyDescent="0.35">
      <c r="A56" s="61" t="s">
        <v>45</v>
      </c>
    </row>
    <row r="57" spans="1:1" x14ac:dyDescent="0.35">
      <c r="A57" s="61" t="s">
        <v>47</v>
      </c>
    </row>
    <row r="58" spans="1:1" x14ac:dyDescent="0.35">
      <c r="A58" s="61" t="s">
        <v>49</v>
      </c>
    </row>
    <row r="59" spans="1:1" x14ac:dyDescent="0.35">
      <c r="A59" s="61" t="s">
        <v>51</v>
      </c>
    </row>
    <row r="60" spans="1:1" x14ac:dyDescent="0.35">
      <c r="A60" s="61" t="s">
        <v>53</v>
      </c>
    </row>
    <row r="61" spans="1:1" x14ac:dyDescent="0.35">
      <c r="A61" s="61" t="s">
        <v>55</v>
      </c>
    </row>
    <row r="62" spans="1:1" x14ac:dyDescent="0.35">
      <c r="A62" s="61" t="s">
        <v>57</v>
      </c>
    </row>
    <row r="63" spans="1:1" x14ac:dyDescent="0.35">
      <c r="A63" s="61" t="s">
        <v>59</v>
      </c>
    </row>
    <row r="64" spans="1:1" x14ac:dyDescent="0.35">
      <c r="A64" s="61" t="s">
        <v>198</v>
      </c>
    </row>
    <row r="65" spans="1:1" x14ac:dyDescent="0.35">
      <c r="A65" s="61" t="s">
        <v>200</v>
      </c>
    </row>
    <row r="66" spans="1:1" x14ac:dyDescent="0.35">
      <c r="A66" s="61" t="s">
        <v>202</v>
      </c>
    </row>
    <row r="67" spans="1:1" x14ac:dyDescent="0.35">
      <c r="A67" s="61" t="s">
        <v>204</v>
      </c>
    </row>
    <row r="68" spans="1:1" x14ac:dyDescent="0.35">
      <c r="A68" s="61" t="s">
        <v>206</v>
      </c>
    </row>
    <row r="69" spans="1:1" x14ac:dyDescent="0.35">
      <c r="A69" s="61" t="s">
        <v>208</v>
      </c>
    </row>
    <row r="70" spans="1:1" x14ac:dyDescent="0.35">
      <c r="A70" s="61" t="s">
        <v>96</v>
      </c>
    </row>
    <row r="71" spans="1:1" x14ac:dyDescent="0.35">
      <c r="A71" s="61" t="s">
        <v>210</v>
      </c>
    </row>
    <row r="72" spans="1:1" x14ac:dyDescent="0.35">
      <c r="A72" s="61" t="s">
        <v>212</v>
      </c>
    </row>
    <row r="73" spans="1:1" x14ac:dyDescent="0.35">
      <c r="A73" s="61" t="s">
        <v>214</v>
      </c>
    </row>
    <row r="74" spans="1:1" x14ac:dyDescent="0.35">
      <c r="A74" s="61" t="s">
        <v>176</v>
      </c>
    </row>
    <row r="75" spans="1:1" x14ac:dyDescent="0.35">
      <c r="A75" s="61" t="s">
        <v>185</v>
      </c>
    </row>
    <row r="76" spans="1:1" x14ac:dyDescent="0.35">
      <c r="A76" s="61" t="s">
        <v>183</v>
      </c>
    </row>
    <row r="77" spans="1:1" x14ac:dyDescent="0.35">
      <c r="A77" s="61" t="s">
        <v>181</v>
      </c>
    </row>
    <row r="78" spans="1:1" x14ac:dyDescent="0.35">
      <c r="A78" s="61" t="s">
        <v>132</v>
      </c>
    </row>
    <row r="79" spans="1:1" x14ac:dyDescent="0.35">
      <c r="A79" s="61" t="s">
        <v>135</v>
      </c>
    </row>
    <row r="80" spans="1:1" x14ac:dyDescent="0.35">
      <c r="A80" s="61" t="s">
        <v>137</v>
      </c>
    </row>
    <row r="81" spans="1:1" x14ac:dyDescent="0.35">
      <c r="A81" s="61" t="s">
        <v>139</v>
      </c>
    </row>
    <row r="82" spans="1:1" x14ac:dyDescent="0.35">
      <c r="A82" s="61" t="s">
        <v>141</v>
      </c>
    </row>
    <row r="83" spans="1:1" x14ac:dyDescent="0.35">
      <c r="A83" s="61" t="s">
        <v>143</v>
      </c>
    </row>
    <row r="84" spans="1:1" x14ac:dyDescent="0.35">
      <c r="A84" s="61" t="s">
        <v>145</v>
      </c>
    </row>
    <row r="85" spans="1:1" x14ac:dyDescent="0.35">
      <c r="A85" s="61" t="s">
        <v>147</v>
      </c>
    </row>
    <row r="86" spans="1:1" x14ac:dyDescent="0.35">
      <c r="A86" s="61" t="s">
        <v>153</v>
      </c>
    </row>
    <row r="87" spans="1:1" x14ac:dyDescent="0.35">
      <c r="A87" s="61" t="s">
        <v>155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49</vt:i4>
      </vt:variant>
    </vt:vector>
  </HeadingPairs>
  <TitlesOfParts>
    <vt:vector size="67" baseType="lpstr">
      <vt:lpstr>bhpc_data</vt:lpstr>
      <vt:lpstr>giftSet</vt:lpstr>
      <vt:lpstr>clientData</vt:lpstr>
      <vt:lpstr>dgn_class</vt:lpstr>
      <vt:lpstr>salesHistory</vt:lpstr>
      <vt:lpstr>orderHistory</vt:lpstr>
      <vt:lpstr>inventoryBHPC</vt:lpstr>
      <vt:lpstr>proformaModel1</vt:lpstr>
      <vt:lpstr>proformaModel12</vt:lpstr>
      <vt:lpstr>proformaModel2</vt:lpstr>
      <vt:lpstr>proformaModel22</vt:lpstr>
      <vt:lpstr>plModel1</vt:lpstr>
      <vt:lpstr>plModel12</vt:lpstr>
      <vt:lpstr>carrier_data</vt:lpstr>
      <vt:lpstr>dgnFinalModel</vt:lpstr>
      <vt:lpstr>BHPC MANAGER</vt:lpstr>
      <vt:lpstr>production</vt:lpstr>
      <vt:lpstr>utility</vt:lpstr>
      <vt:lpstr>dgnFinalModel!Area_stampa</vt:lpstr>
      <vt:lpstr>plModel1!Area_stampa</vt:lpstr>
      <vt:lpstr>plModel12!Area_stampa</vt:lpstr>
      <vt:lpstr>proformaModel1!Area_stampa</vt:lpstr>
      <vt:lpstr>proformaModel12!Area_stampa</vt:lpstr>
      <vt:lpstr>proformaModel2!Area_stampa</vt:lpstr>
      <vt:lpstr>proformaModel22!Area_stampa</vt:lpstr>
      <vt:lpstr>plModel12!bhpcSKU</vt:lpstr>
      <vt:lpstr>proformaModel1!bhpcSKU</vt:lpstr>
      <vt:lpstr>proformaModel12!bhpcSKU</vt:lpstr>
      <vt:lpstr>proformaModel2!bhpcSKU</vt:lpstr>
      <vt:lpstr>proformaModel22!bhpcSKU</vt:lpstr>
      <vt:lpstr>dgnFinalModel!carriers_name</vt:lpstr>
      <vt:lpstr>giftSetSku</vt:lpstr>
      <vt:lpstr>productsCartons</vt:lpstr>
      <vt:lpstr>productsCategory</vt:lpstr>
      <vt:lpstr>productsCbm</vt:lpstr>
      <vt:lpstr>productsCostPrice</vt:lpstr>
      <vt:lpstr>productsCostTot</vt:lpstr>
      <vt:lpstr>productsDescription</vt:lpstr>
      <vt:lpstr>productsDiscCartons</vt:lpstr>
      <vt:lpstr>productsDiscPrice</vt:lpstr>
      <vt:lpstr>productsDiscQty</vt:lpstr>
      <vt:lpstr>productsFocCartons</vt:lpstr>
      <vt:lpstr>productsFocQty</vt:lpstr>
      <vt:lpstr>productsGrossWeight</vt:lpstr>
      <vt:lpstr>productsNetWeight</vt:lpstr>
      <vt:lpstr>productsQty</vt:lpstr>
      <vt:lpstr>productsSalePrice</vt:lpstr>
      <vt:lpstr>productsSize</vt:lpstr>
      <vt:lpstr>productsSku</vt:lpstr>
      <vt:lpstr>productsSoldTot</vt:lpstr>
      <vt:lpstr>dgnFinalModel!proformaModel3</vt:lpstr>
      <vt:lpstr>plModel12!proformaModel3</vt:lpstr>
      <vt:lpstr>proformaModel12!proformaModel3</vt:lpstr>
      <vt:lpstr>proformaModel2!proformaModel3</vt:lpstr>
      <vt:lpstr>proformaModel22!proformaModel3</vt:lpstr>
      <vt:lpstr>proformaModel3</vt:lpstr>
      <vt:lpstr>plModel12!ss</vt:lpstr>
      <vt:lpstr>proformaModel1!ss</vt:lpstr>
      <vt:lpstr>proformaModel12!ss</vt:lpstr>
      <vt:lpstr>proformaModel2!ss</vt:lpstr>
      <vt:lpstr>proformaModel22!ss</vt:lpstr>
      <vt:lpstr>plModel1!Titoli_stampa</vt:lpstr>
      <vt:lpstr>plModel12!Titoli_stampa</vt:lpstr>
      <vt:lpstr>proformaModel1!Titoli_stampa</vt:lpstr>
      <vt:lpstr>proformaModel12!Titoli_stampa</vt:lpstr>
      <vt:lpstr>proformaModel2!Titoli_stampa</vt:lpstr>
      <vt:lpstr>proformaModel22!Titoli_stampa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Stephane Ducci</cp:lastModifiedBy>
  <cp:revision/>
  <cp:lastPrinted>2024-06-22T19:08:04Z</cp:lastPrinted>
  <dcterms:created xsi:type="dcterms:W3CDTF">2016-09-21T06:55:08Z</dcterms:created>
  <dcterms:modified xsi:type="dcterms:W3CDTF">2024-07-06T10:18:47Z</dcterms:modified>
</cp:coreProperties>
</file>