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19200" windowHeight="11595" firstSheet="2" activeTab="3"/>
  </bookViews>
  <sheets>
    <sheet name="Original" sheetId="1" r:id="rId1"/>
    <sheet name="Beispiel ohne Wichtung" sheetId="2" r:id="rId2"/>
    <sheet name="Beispiel Wichtung Schwerpunkt" sheetId="3" r:id="rId3"/>
    <sheet name="Beispiel Wichtung Umkrei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7" i="4" l="1"/>
  <c r="C167" i="4"/>
  <c r="H166" i="4"/>
  <c r="C166" i="4"/>
  <c r="H165" i="4"/>
  <c r="C165" i="4"/>
  <c r="H161" i="4"/>
  <c r="C161" i="4"/>
  <c r="H160" i="4"/>
  <c r="C160" i="4"/>
  <c r="H159" i="4"/>
  <c r="C159" i="4"/>
  <c r="E151" i="4"/>
  <c r="C151" i="4"/>
  <c r="E150" i="4"/>
  <c r="C150" i="4"/>
  <c r="E149" i="4"/>
  <c r="C149" i="4"/>
  <c r="C136" i="4"/>
  <c r="C135" i="4"/>
  <c r="C134" i="4"/>
  <c r="E135" i="4" s="1"/>
  <c r="C133" i="4"/>
  <c r="C132" i="4"/>
  <c r="D132" i="4" s="1"/>
  <c r="C131" i="4"/>
  <c r="E132" i="4" s="1"/>
  <c r="C130" i="4"/>
  <c r="C129" i="4"/>
  <c r="D129" i="4" s="1"/>
  <c r="C128" i="4"/>
  <c r="C127" i="4"/>
  <c r="C126" i="4"/>
  <c r="C125" i="4"/>
  <c r="C124" i="4"/>
  <c r="C123" i="4"/>
  <c r="C122" i="4"/>
  <c r="D123" i="4" s="1"/>
  <c r="C121" i="4"/>
  <c r="C120" i="4"/>
  <c r="C119" i="4"/>
  <c r="C118" i="4"/>
  <c r="C117" i="4"/>
  <c r="C116" i="4"/>
  <c r="C115" i="4"/>
  <c r="E114" i="4"/>
  <c r="C114" i="4"/>
  <c r="C113" i="4"/>
  <c r="C112" i="4"/>
  <c r="E111" i="4"/>
  <c r="C111" i="4"/>
  <c r="C110" i="4"/>
  <c r="C109" i="4"/>
  <c r="E108" i="4"/>
  <c r="C108" i="4"/>
  <c r="C107" i="4"/>
  <c r="D108" i="4" s="1"/>
  <c r="H57" i="4"/>
  <c r="F57" i="4"/>
  <c r="C98" i="4" s="1"/>
  <c r="D57" i="4"/>
  <c r="H56" i="4"/>
  <c r="F56" i="4"/>
  <c r="C97" i="4" s="1"/>
  <c r="D56" i="4"/>
  <c r="H55" i="4"/>
  <c r="C99" i="4" s="1"/>
  <c r="F55" i="4"/>
  <c r="D55" i="4"/>
  <c r="H54" i="4"/>
  <c r="F54" i="4"/>
  <c r="C95" i="4" s="1"/>
  <c r="D54" i="4"/>
  <c r="H53" i="4"/>
  <c r="F53" i="4"/>
  <c r="C94" i="4" s="1"/>
  <c r="D53" i="4"/>
  <c r="H52" i="4"/>
  <c r="F52" i="4"/>
  <c r="D52" i="4"/>
  <c r="H51" i="4"/>
  <c r="F51" i="4"/>
  <c r="D51" i="4"/>
  <c r="H50" i="4"/>
  <c r="F50" i="4"/>
  <c r="C91" i="4" s="1"/>
  <c r="D50" i="4"/>
  <c r="H49" i="4"/>
  <c r="F49" i="4"/>
  <c r="C93" i="4" s="1"/>
  <c r="D49" i="4"/>
  <c r="H48" i="4"/>
  <c r="F48" i="4"/>
  <c r="C89" i="4" s="1"/>
  <c r="D48" i="4"/>
  <c r="H47" i="4"/>
  <c r="C88" i="4" s="1"/>
  <c r="F47" i="4"/>
  <c r="D47" i="4"/>
  <c r="H46" i="4"/>
  <c r="F46" i="4"/>
  <c r="C90" i="4" s="1"/>
  <c r="D46" i="4"/>
  <c r="H45" i="4"/>
  <c r="F45" i="4"/>
  <c r="C86" i="4" s="1"/>
  <c r="D45" i="4"/>
  <c r="H44" i="4"/>
  <c r="F44" i="4"/>
  <c r="C85" i="4" s="1"/>
  <c r="D44" i="4"/>
  <c r="H43" i="4"/>
  <c r="C87" i="4" s="1"/>
  <c r="F43" i="4"/>
  <c r="D43" i="4"/>
  <c r="H42" i="4"/>
  <c r="F42" i="4"/>
  <c r="C83" i="4" s="1"/>
  <c r="D42" i="4"/>
  <c r="H41" i="4"/>
  <c r="F41" i="4"/>
  <c r="C82" i="4" s="1"/>
  <c r="D41" i="4"/>
  <c r="H40" i="4"/>
  <c r="F40" i="4"/>
  <c r="D40" i="4"/>
  <c r="H39" i="4"/>
  <c r="F39" i="4"/>
  <c r="D39" i="4"/>
  <c r="H38" i="4"/>
  <c r="F38" i="4"/>
  <c r="C79" i="4" s="1"/>
  <c r="D38" i="4"/>
  <c r="H37" i="4"/>
  <c r="F37" i="4"/>
  <c r="C80" i="4" s="1"/>
  <c r="D37" i="4"/>
  <c r="H36" i="4"/>
  <c r="F36" i="4"/>
  <c r="C77" i="4" s="1"/>
  <c r="D36" i="4"/>
  <c r="H35" i="4"/>
  <c r="C76" i="4" s="1"/>
  <c r="F35" i="4"/>
  <c r="D35" i="4"/>
  <c r="H34" i="4"/>
  <c r="F34" i="4"/>
  <c r="C78" i="4" s="1"/>
  <c r="D34" i="4"/>
  <c r="H33" i="4"/>
  <c r="F33" i="4"/>
  <c r="C74" i="4" s="1"/>
  <c r="D33" i="4"/>
  <c r="H32" i="4"/>
  <c r="F32" i="4"/>
  <c r="C73" i="4" s="1"/>
  <c r="D32" i="4"/>
  <c r="H31" i="4"/>
  <c r="C75" i="4" s="1"/>
  <c r="F31" i="4"/>
  <c r="D31" i="4"/>
  <c r="H30" i="4"/>
  <c r="F30" i="4"/>
  <c r="C71" i="4" s="1"/>
  <c r="D30" i="4"/>
  <c r="H29" i="4"/>
  <c r="F29" i="4"/>
  <c r="C70" i="4" s="1"/>
  <c r="D29" i="4"/>
  <c r="H28" i="4"/>
  <c r="F28" i="4"/>
  <c r="D28" i="4"/>
  <c r="C140" i="3"/>
  <c r="C141" i="3"/>
  <c r="C139" i="3"/>
  <c r="B140" i="3"/>
  <c r="B141" i="3"/>
  <c r="B139" i="3"/>
  <c r="E135" i="3"/>
  <c r="E132" i="3"/>
  <c r="D132" i="3"/>
  <c r="D129" i="3"/>
  <c r="D123" i="3"/>
  <c r="E114" i="3"/>
  <c r="E111" i="3"/>
  <c r="E108" i="3"/>
  <c r="D108" i="3"/>
  <c r="C136" i="3"/>
  <c r="C135" i="3"/>
  <c r="C134" i="3"/>
  <c r="C132" i="3"/>
  <c r="C133" i="3"/>
  <c r="C131" i="3"/>
  <c r="C129" i="3"/>
  <c r="C130" i="3"/>
  <c r="C128" i="3"/>
  <c r="C126" i="3"/>
  <c r="C127" i="3"/>
  <c r="C125" i="3"/>
  <c r="C120" i="3"/>
  <c r="C121" i="3"/>
  <c r="C119" i="3"/>
  <c r="C123" i="3"/>
  <c r="C124" i="3"/>
  <c r="C122" i="3"/>
  <c r="C117" i="3"/>
  <c r="C118" i="3"/>
  <c r="C116" i="3"/>
  <c r="C114" i="3"/>
  <c r="C115" i="3"/>
  <c r="C113" i="3"/>
  <c r="C111" i="3"/>
  <c r="C112" i="3"/>
  <c r="C110" i="3"/>
  <c r="C108" i="3"/>
  <c r="C109" i="3"/>
  <c r="C107" i="3"/>
  <c r="H167" i="3"/>
  <c r="C167" i="3"/>
  <c r="H166" i="3"/>
  <c r="C166" i="3"/>
  <c r="H165" i="3"/>
  <c r="C165" i="3"/>
  <c r="H161" i="3"/>
  <c r="C161" i="3"/>
  <c r="H160" i="3"/>
  <c r="C160" i="3"/>
  <c r="H159" i="3"/>
  <c r="C159" i="3"/>
  <c r="E151" i="3"/>
  <c r="C151" i="3"/>
  <c r="E150" i="3"/>
  <c r="C150" i="3"/>
  <c r="E149" i="3"/>
  <c r="C149" i="3"/>
  <c r="H57" i="3"/>
  <c r="F57" i="3"/>
  <c r="D57" i="3"/>
  <c r="H56" i="3"/>
  <c r="F56" i="3"/>
  <c r="D56" i="3"/>
  <c r="H55" i="3"/>
  <c r="F55" i="3"/>
  <c r="D55" i="3"/>
  <c r="H54" i="3"/>
  <c r="F54" i="3"/>
  <c r="D54" i="3"/>
  <c r="H53" i="3"/>
  <c r="F53" i="3"/>
  <c r="D53" i="3"/>
  <c r="H52" i="3"/>
  <c r="F52" i="3"/>
  <c r="D52" i="3"/>
  <c r="H51" i="3"/>
  <c r="F51" i="3"/>
  <c r="D51" i="3"/>
  <c r="H50" i="3"/>
  <c r="F50" i="3"/>
  <c r="D50" i="3"/>
  <c r="H49" i="3"/>
  <c r="F49" i="3"/>
  <c r="D49" i="3"/>
  <c r="H48" i="3"/>
  <c r="F48" i="3"/>
  <c r="D48" i="3"/>
  <c r="H47" i="3"/>
  <c r="F47" i="3"/>
  <c r="D47" i="3"/>
  <c r="H46" i="3"/>
  <c r="F46" i="3"/>
  <c r="D46" i="3"/>
  <c r="H45" i="3"/>
  <c r="F45" i="3"/>
  <c r="D45" i="3"/>
  <c r="H44" i="3"/>
  <c r="F44" i="3"/>
  <c r="D44" i="3"/>
  <c r="H43" i="3"/>
  <c r="F43" i="3"/>
  <c r="D43" i="3"/>
  <c r="H42" i="3"/>
  <c r="F42" i="3"/>
  <c r="D42" i="3"/>
  <c r="H41" i="3"/>
  <c r="F41" i="3"/>
  <c r="D41" i="3"/>
  <c r="H40" i="3"/>
  <c r="F40" i="3"/>
  <c r="C84" i="3" s="1"/>
  <c r="D40" i="3"/>
  <c r="H39" i="3"/>
  <c r="F39" i="3"/>
  <c r="D39" i="3"/>
  <c r="H38" i="3"/>
  <c r="F38" i="3"/>
  <c r="D38" i="3"/>
  <c r="H37" i="3"/>
  <c r="F37" i="3"/>
  <c r="D37" i="3"/>
  <c r="H36" i="3"/>
  <c r="F36" i="3"/>
  <c r="D36" i="3"/>
  <c r="H35" i="3"/>
  <c r="F35" i="3"/>
  <c r="D35" i="3"/>
  <c r="H34" i="3"/>
  <c r="F34" i="3"/>
  <c r="D34" i="3"/>
  <c r="H33" i="3"/>
  <c r="F33" i="3"/>
  <c r="D33" i="3"/>
  <c r="H32" i="3"/>
  <c r="F32" i="3"/>
  <c r="D32" i="3"/>
  <c r="H31" i="3"/>
  <c r="F31" i="3"/>
  <c r="D31" i="3"/>
  <c r="H30" i="3"/>
  <c r="F30" i="3"/>
  <c r="D30" i="3"/>
  <c r="H29" i="3"/>
  <c r="F29" i="3"/>
  <c r="D29" i="3"/>
  <c r="H28" i="3"/>
  <c r="F28" i="3"/>
  <c r="D28" i="3"/>
  <c r="E140" i="2"/>
  <c r="O123" i="2"/>
  <c r="O124" i="2"/>
  <c r="O122" i="2"/>
  <c r="N123" i="2"/>
  <c r="N124" i="2"/>
  <c r="N122" i="2"/>
  <c r="G110" i="2"/>
  <c r="G111" i="2"/>
  <c r="G109" i="2"/>
  <c r="F110" i="2"/>
  <c r="F111" i="2"/>
  <c r="F109" i="2"/>
  <c r="C118" i="2"/>
  <c r="H50" i="2"/>
  <c r="H51" i="2"/>
  <c r="F50" i="2"/>
  <c r="F51" i="2"/>
  <c r="H49" i="2"/>
  <c r="F49" i="2"/>
  <c r="F44" i="2"/>
  <c r="F45" i="2"/>
  <c r="H44" i="2"/>
  <c r="H45" i="2"/>
  <c r="H43" i="2"/>
  <c r="F43" i="2"/>
  <c r="F42" i="2"/>
  <c r="F41" i="2"/>
  <c r="H41" i="2"/>
  <c r="H42" i="2"/>
  <c r="H40" i="2"/>
  <c r="F40" i="2"/>
  <c r="F38" i="2"/>
  <c r="F39" i="2"/>
  <c r="H38" i="2"/>
  <c r="H39" i="2"/>
  <c r="H37" i="2"/>
  <c r="F37" i="2"/>
  <c r="H35" i="2"/>
  <c r="H36" i="2"/>
  <c r="F35" i="2"/>
  <c r="F36" i="2"/>
  <c r="H34" i="2"/>
  <c r="F34" i="2"/>
  <c r="H29" i="2"/>
  <c r="H30" i="2"/>
  <c r="C70" i="2" s="1"/>
  <c r="F29" i="2"/>
  <c r="F30" i="2"/>
  <c r="H28" i="2"/>
  <c r="F28" i="2"/>
  <c r="C91" i="2"/>
  <c r="C73" i="2"/>
  <c r="C99" i="2"/>
  <c r="C98" i="2"/>
  <c r="C97" i="2"/>
  <c r="C96" i="2"/>
  <c r="C95" i="2"/>
  <c r="C94" i="2"/>
  <c r="C93" i="2"/>
  <c r="C92" i="2"/>
  <c r="D56" i="2"/>
  <c r="D57" i="2"/>
  <c r="F56" i="2"/>
  <c r="F57" i="2"/>
  <c r="H56" i="2"/>
  <c r="H57" i="2"/>
  <c r="H55" i="2"/>
  <c r="F55" i="2"/>
  <c r="D55" i="2"/>
  <c r="H53" i="2"/>
  <c r="H54" i="2"/>
  <c r="H52" i="2"/>
  <c r="F53" i="2"/>
  <c r="F54" i="2"/>
  <c r="F52" i="2"/>
  <c r="D53" i="2"/>
  <c r="D54" i="2"/>
  <c r="D52" i="2"/>
  <c r="D50" i="2"/>
  <c r="D51" i="2"/>
  <c r="D49" i="2"/>
  <c r="H47" i="2"/>
  <c r="H48" i="2"/>
  <c r="H46" i="2"/>
  <c r="F47" i="2"/>
  <c r="F48" i="2"/>
  <c r="F46" i="2"/>
  <c r="D47" i="2"/>
  <c r="D48" i="2"/>
  <c r="D46" i="2"/>
  <c r="D44" i="2"/>
  <c r="D45" i="2"/>
  <c r="D43" i="2"/>
  <c r="D41" i="2"/>
  <c r="D42" i="2"/>
  <c r="D40" i="2"/>
  <c r="D38" i="2"/>
  <c r="D39" i="2"/>
  <c r="D37" i="2"/>
  <c r="D35" i="2"/>
  <c r="D36" i="2"/>
  <c r="D34" i="2"/>
  <c r="H32" i="2"/>
  <c r="H33" i="2"/>
  <c r="H31" i="2"/>
  <c r="F32" i="2"/>
  <c r="F33" i="2"/>
  <c r="F31" i="2"/>
  <c r="D32" i="2"/>
  <c r="D33" i="2"/>
  <c r="D31" i="2"/>
  <c r="B141" i="4" l="1"/>
  <c r="B139" i="4"/>
  <c r="C140" i="4"/>
  <c r="J151" i="4" s="1"/>
  <c r="C84" i="4"/>
  <c r="C92" i="4"/>
  <c r="B140" i="4" s="1"/>
  <c r="H151" i="4" s="1"/>
  <c r="C141" i="4"/>
  <c r="C81" i="4"/>
  <c r="C72" i="4"/>
  <c r="C96" i="4"/>
  <c r="C139" i="4"/>
  <c r="C77" i="3"/>
  <c r="C89" i="3"/>
  <c r="C72" i="3"/>
  <c r="C73" i="3"/>
  <c r="C82" i="3"/>
  <c r="C93" i="3"/>
  <c r="C97" i="3"/>
  <c r="C80" i="3"/>
  <c r="C92" i="3"/>
  <c r="C70" i="3"/>
  <c r="C81" i="3"/>
  <c r="C85" i="3"/>
  <c r="C94" i="3"/>
  <c r="C76" i="3"/>
  <c r="C96" i="3"/>
  <c r="C74" i="3"/>
  <c r="C86" i="3"/>
  <c r="C88" i="3"/>
  <c r="C98" i="3"/>
  <c r="C71" i="3"/>
  <c r="C79" i="3"/>
  <c r="C83" i="3"/>
  <c r="C91" i="3"/>
  <c r="C95" i="3"/>
  <c r="C90" i="3"/>
  <c r="C75" i="3"/>
  <c r="C87" i="3"/>
  <c r="C99" i="3"/>
  <c r="C78" i="3"/>
  <c r="C174" i="1"/>
  <c r="H149" i="4" l="1"/>
  <c r="J150" i="4"/>
  <c r="H150" i="4"/>
  <c r="J149" i="4"/>
  <c r="H129" i="2"/>
  <c r="H130" i="2"/>
  <c r="H128" i="2"/>
  <c r="H135" i="2"/>
  <c r="H136" i="2"/>
  <c r="H134" i="2"/>
  <c r="C136" i="2"/>
  <c r="C135" i="2"/>
  <c r="C134" i="2"/>
  <c r="C129" i="2"/>
  <c r="C130" i="2"/>
  <c r="C128" i="2"/>
  <c r="E119" i="2"/>
  <c r="E120" i="2"/>
  <c r="C119" i="2"/>
  <c r="C120" i="2"/>
  <c r="E118" i="2"/>
  <c r="P151" i="4" l="1"/>
  <c r="U151" i="4"/>
  <c r="P149" i="4"/>
  <c r="U149" i="4"/>
  <c r="U150" i="4"/>
  <c r="R151" i="4"/>
  <c r="N151" i="4"/>
  <c r="P150" i="4"/>
  <c r="N150" i="4"/>
  <c r="R149" i="4"/>
  <c r="N149" i="4"/>
  <c r="R150" i="4"/>
  <c r="H151" i="3"/>
  <c r="J151" i="3"/>
  <c r="H149" i="3"/>
  <c r="J150" i="3"/>
  <c r="H150" i="3"/>
  <c r="J149" i="3"/>
  <c r="D29" i="2"/>
  <c r="D30" i="2"/>
  <c r="D28" i="2"/>
  <c r="E166" i="4" l="1"/>
  <c r="O154" i="4"/>
  <c r="J154" i="4"/>
  <c r="J165" i="4" s="1"/>
  <c r="E154" i="4"/>
  <c r="N153" i="4"/>
  <c r="E159" i="4"/>
  <c r="E161" i="4"/>
  <c r="N155" i="4"/>
  <c r="O153" i="4"/>
  <c r="E165" i="4"/>
  <c r="H154" i="4"/>
  <c r="C154" i="4"/>
  <c r="H155" i="4" s="1"/>
  <c r="H156" i="4"/>
  <c r="J156" i="4"/>
  <c r="J167" i="4" s="1"/>
  <c r="N154" i="4"/>
  <c r="E160" i="4"/>
  <c r="J155" i="4"/>
  <c r="J166" i="4" s="1"/>
  <c r="E167" i="4"/>
  <c r="O155" i="4"/>
  <c r="P151" i="3"/>
  <c r="O155" i="3" s="1"/>
  <c r="P149" i="3"/>
  <c r="O153" i="3" s="1"/>
  <c r="N149" i="3"/>
  <c r="E159" i="3" s="1"/>
  <c r="N150" i="3"/>
  <c r="E160" i="3" s="1"/>
  <c r="R150" i="3"/>
  <c r="U149" i="3"/>
  <c r="U150" i="3"/>
  <c r="P150" i="3"/>
  <c r="O154" i="3" s="1"/>
  <c r="R151" i="3"/>
  <c r="R149" i="3"/>
  <c r="N151" i="3"/>
  <c r="N155" i="3" s="1"/>
  <c r="U151" i="3"/>
  <c r="C75" i="2"/>
  <c r="C79" i="2"/>
  <c r="C86" i="2"/>
  <c r="C85" i="2"/>
  <c r="B110" i="2" s="1"/>
  <c r="C82" i="2"/>
  <c r="C88" i="2"/>
  <c r="C84" i="2"/>
  <c r="C90" i="2"/>
  <c r="C83" i="2"/>
  <c r="C89" i="2"/>
  <c r="C87" i="2"/>
  <c r="C76" i="2"/>
  <c r="C110" i="2" s="1"/>
  <c r="C81" i="2"/>
  <c r="C78" i="2"/>
  <c r="C74" i="2"/>
  <c r="C77" i="2"/>
  <c r="C80" i="2"/>
  <c r="C71" i="2"/>
  <c r="C72" i="2"/>
  <c r="C184" i="1"/>
  <c r="C185" i="1"/>
  <c r="C183" i="1"/>
  <c r="G174" i="1"/>
  <c r="C179" i="1" s="1"/>
  <c r="E174" i="1"/>
  <c r="G175" i="1" s="1"/>
  <c r="C175" i="1"/>
  <c r="C176" i="1"/>
  <c r="J160" i="4" l="1"/>
  <c r="J159" i="4"/>
  <c r="E171" i="4"/>
  <c r="C171" i="4"/>
  <c r="J161" i="4"/>
  <c r="E167" i="3"/>
  <c r="E165" i="3"/>
  <c r="N153" i="3"/>
  <c r="E154" i="3"/>
  <c r="J154" i="3" s="1"/>
  <c r="J165" i="3" s="1"/>
  <c r="N154" i="3"/>
  <c r="C154" i="3"/>
  <c r="H156" i="3" s="1"/>
  <c r="J161" i="3" s="1"/>
  <c r="E166" i="3"/>
  <c r="E161" i="3"/>
  <c r="D110" i="2"/>
  <c r="C112" i="2"/>
  <c r="D112" i="2"/>
  <c r="B112" i="2"/>
  <c r="D111" i="2"/>
  <c r="C111" i="2"/>
  <c r="B111" i="2"/>
  <c r="E180" i="1"/>
  <c r="C180" i="1"/>
  <c r="G176" i="1"/>
  <c r="E179" i="1"/>
  <c r="G179" i="1" s="1"/>
  <c r="E167" i="1"/>
  <c r="E166" i="1"/>
  <c r="F146" i="1"/>
  <c r="C150" i="1" s="1"/>
  <c r="F130" i="1"/>
  <c r="F129" i="1"/>
  <c r="J128" i="1" s="1"/>
  <c r="C130" i="1"/>
  <c r="L130" i="1" s="1"/>
  <c r="E143" i="1" s="1"/>
  <c r="C154" i="1" s="1"/>
  <c r="C129" i="1"/>
  <c r="H128" i="1" s="1"/>
  <c r="C128" i="1"/>
  <c r="M122" i="1"/>
  <c r="E137" i="1" s="1"/>
  <c r="M120" i="1"/>
  <c r="H122" i="1"/>
  <c r="H120" i="1"/>
  <c r="O120" i="1"/>
  <c r="K135" i="1" s="1"/>
  <c r="O122" i="1"/>
  <c r="K137" i="1" s="1"/>
  <c r="O121" i="1"/>
  <c r="K136" i="1" s="1"/>
  <c r="J122" i="1"/>
  <c r="J121" i="1"/>
  <c r="J120" i="1"/>
  <c r="E122" i="1"/>
  <c r="E121" i="1"/>
  <c r="E120" i="1"/>
  <c r="E136" i="1"/>
  <c r="C149" i="1" s="1"/>
  <c r="E135" i="1"/>
  <c r="L128" i="1"/>
  <c r="E141" i="1" s="1"/>
  <c r="C152" i="1" s="1"/>
  <c r="K99" i="1"/>
  <c r="K100" i="1"/>
  <c r="K98" i="1"/>
  <c r="E99" i="1"/>
  <c r="E100" i="1"/>
  <c r="F93" i="1"/>
  <c r="F92" i="1"/>
  <c r="J91" i="1" s="1"/>
  <c r="C92" i="1"/>
  <c r="O83" i="1"/>
  <c r="M83" i="1"/>
  <c r="E98" i="1" s="1"/>
  <c r="C111" i="1" s="1"/>
  <c r="J85" i="1"/>
  <c r="J84" i="1"/>
  <c r="H85" i="1"/>
  <c r="E85" i="1"/>
  <c r="E84" i="1"/>
  <c r="E83" i="1"/>
  <c r="B76" i="1"/>
  <c r="B77" i="1"/>
  <c r="B75" i="1"/>
  <c r="H91" i="1"/>
  <c r="L92" i="1" s="1"/>
  <c r="E105" i="1" s="1"/>
  <c r="D181" i="4" l="1"/>
  <c r="D183" i="4"/>
  <c r="C174" i="4"/>
  <c r="C173" i="4"/>
  <c r="C175" i="4"/>
  <c r="E175" i="4"/>
  <c r="E173" i="4"/>
  <c r="E174" i="4"/>
  <c r="D182" i="4"/>
  <c r="C187" i="4" s="1"/>
  <c r="J155" i="3"/>
  <c r="J166" i="3" s="1"/>
  <c r="E171" i="3" s="1"/>
  <c r="E173" i="3" s="1"/>
  <c r="J156" i="3"/>
  <c r="J167" i="3" s="1"/>
  <c r="H154" i="3"/>
  <c r="J159" i="3" s="1"/>
  <c r="H155" i="3"/>
  <c r="J160" i="3" s="1"/>
  <c r="H120" i="2"/>
  <c r="J120" i="2"/>
  <c r="J118" i="2"/>
  <c r="H118" i="2"/>
  <c r="J119" i="2"/>
  <c r="H119" i="2"/>
  <c r="C181" i="1"/>
  <c r="G181" i="1" s="1"/>
  <c r="E181" i="1"/>
  <c r="G180" i="1"/>
  <c r="N93" i="1"/>
  <c r="K106" i="1" s="1"/>
  <c r="N130" i="1"/>
  <c r="K143" i="1" s="1"/>
  <c r="N128" i="1"/>
  <c r="K141" i="1" s="1"/>
  <c r="L129" i="1"/>
  <c r="E142" i="1" s="1"/>
  <c r="C153" i="1" s="1"/>
  <c r="C148" i="1"/>
  <c r="N129" i="1"/>
  <c r="K142" i="1" s="1"/>
  <c r="L93" i="1"/>
  <c r="E106" i="1" s="1"/>
  <c r="N92" i="1"/>
  <c r="K105" i="1" s="1"/>
  <c r="L91" i="1"/>
  <c r="E104" i="1" s="1"/>
  <c r="N91" i="1"/>
  <c r="K104" i="1" s="1"/>
  <c r="D76" i="1"/>
  <c r="D77" i="1" s="1"/>
  <c r="C77" i="1"/>
  <c r="C76" i="1"/>
  <c r="E188" i="4" l="1"/>
  <c r="C188" i="4"/>
  <c r="E191" i="4"/>
  <c r="E189" i="4"/>
  <c r="C191" i="4"/>
  <c r="C189" i="4"/>
  <c r="E190" i="4"/>
  <c r="C171" i="3"/>
  <c r="C174" i="3" s="1"/>
  <c r="E174" i="3"/>
  <c r="E175" i="3"/>
  <c r="N118" i="2"/>
  <c r="E128" i="2" s="1"/>
  <c r="U119" i="2"/>
  <c r="P119" i="2"/>
  <c r="E135" i="2" s="1"/>
  <c r="R119" i="2"/>
  <c r="R118" i="2"/>
  <c r="P120" i="2"/>
  <c r="E136" i="2" s="1"/>
  <c r="U120" i="2"/>
  <c r="P118" i="2"/>
  <c r="E134" i="2" s="1"/>
  <c r="U118" i="2"/>
  <c r="R120" i="2"/>
  <c r="N120" i="2"/>
  <c r="E130" i="2" s="1"/>
  <c r="N119" i="2"/>
  <c r="E129" i="2" s="1"/>
  <c r="C199" i="4" l="1"/>
  <c r="C198" i="4"/>
  <c r="C200" i="4"/>
  <c r="C190" i="4"/>
  <c r="K200" i="4"/>
  <c r="K199" i="4"/>
  <c r="K198" i="4"/>
  <c r="C173" i="3"/>
  <c r="C175" i="3"/>
  <c r="D182" i="3"/>
  <c r="D181" i="3"/>
  <c r="D183" i="3"/>
  <c r="C123" i="2"/>
  <c r="H123" i="2" s="1"/>
  <c r="E123" i="2"/>
  <c r="O200" i="4" l="1"/>
  <c r="E198" i="4"/>
  <c r="G198" i="4" s="1"/>
  <c r="M198" i="4"/>
  <c r="O198" i="4"/>
  <c r="O199" i="4"/>
  <c r="G200" i="4"/>
  <c r="C187" i="3"/>
  <c r="C188" i="3" s="1"/>
  <c r="C189" i="3" s="1"/>
  <c r="J128" i="2"/>
  <c r="J124" i="2"/>
  <c r="J135" i="2" s="1"/>
  <c r="J123" i="2"/>
  <c r="J134" i="2" s="1"/>
  <c r="J125" i="2"/>
  <c r="J136" i="2" s="1"/>
  <c r="H124" i="2"/>
  <c r="H125" i="2"/>
  <c r="F204" i="4" l="1"/>
  <c r="C204" i="4"/>
  <c r="K204" i="4"/>
  <c r="N204" i="4"/>
  <c r="K206" i="4"/>
  <c r="N206" i="4"/>
  <c r="F206" i="4"/>
  <c r="C206" i="4"/>
  <c r="K205" i="4"/>
  <c r="N205" i="4"/>
  <c r="G199" i="4"/>
  <c r="C199" i="3"/>
  <c r="C200" i="3"/>
  <c r="C191" i="3"/>
  <c r="C190" i="3"/>
  <c r="C198" i="3"/>
  <c r="E188" i="3"/>
  <c r="K200" i="3" s="1"/>
  <c r="J130" i="2"/>
  <c r="J129" i="2"/>
  <c r="C140" i="2" s="1"/>
  <c r="K210" i="4" l="1"/>
  <c r="P205" i="4"/>
  <c r="P206" i="4"/>
  <c r="K211" i="4"/>
  <c r="C211" i="4"/>
  <c r="H206" i="4"/>
  <c r="F205" i="4"/>
  <c r="C205" i="4"/>
  <c r="P204" i="4"/>
  <c r="K209" i="4"/>
  <c r="C209" i="4"/>
  <c r="H204" i="4"/>
  <c r="E198" i="3"/>
  <c r="G198" i="3" s="1"/>
  <c r="F204" i="3" s="1"/>
  <c r="E191" i="3"/>
  <c r="K199" i="3"/>
  <c r="K198" i="3"/>
  <c r="E190" i="3"/>
  <c r="E189" i="3"/>
  <c r="D152" i="2"/>
  <c r="C143" i="2"/>
  <c r="D150" i="2"/>
  <c r="C142" i="2"/>
  <c r="C144" i="2"/>
  <c r="E143" i="2"/>
  <c r="D151" i="2"/>
  <c r="E142" i="2"/>
  <c r="E144" i="2"/>
  <c r="C210" i="4" l="1"/>
  <c r="H205" i="4"/>
  <c r="O198" i="3"/>
  <c r="N204" i="3" s="1"/>
  <c r="G200" i="3"/>
  <c r="O200" i="3"/>
  <c r="K206" i="3" s="1"/>
  <c r="O199" i="3"/>
  <c r="K205" i="3" s="1"/>
  <c r="K210" i="3" s="1"/>
  <c r="C204" i="3"/>
  <c r="G199" i="3"/>
  <c r="N206" i="3"/>
  <c r="M198" i="3"/>
  <c r="C156" i="2"/>
  <c r="E157" i="2" s="1"/>
  <c r="E158" i="2" s="1"/>
  <c r="N205" i="3" l="1"/>
  <c r="P205" i="3" s="1"/>
  <c r="H204" i="3"/>
  <c r="C209" i="3"/>
  <c r="P206" i="3"/>
  <c r="C205" i="3"/>
  <c r="C210" i="3" s="1"/>
  <c r="F205" i="3"/>
  <c r="K204" i="3"/>
  <c r="C206" i="3"/>
  <c r="C211" i="3" s="1"/>
  <c r="F206" i="3"/>
  <c r="K211" i="3"/>
  <c r="C157" i="2"/>
  <c r="C158" i="2" s="1"/>
  <c r="K167" i="2"/>
  <c r="K168" i="2"/>
  <c r="K169" i="2"/>
  <c r="E159" i="2"/>
  <c r="E160" i="2"/>
  <c r="H206" i="3" l="1"/>
  <c r="H205" i="3"/>
  <c r="P204" i="3"/>
  <c r="K209" i="3"/>
  <c r="C167" i="2"/>
  <c r="C169" i="2"/>
  <c r="C168" i="2"/>
  <c r="C160" i="2"/>
  <c r="C159" i="2"/>
  <c r="M167" i="2"/>
  <c r="E167" i="2" l="1"/>
  <c r="G168" i="2" s="1"/>
  <c r="F174" i="2" s="1"/>
  <c r="C174" i="2" l="1"/>
  <c r="C179" i="2" s="1"/>
  <c r="G167" i="2"/>
  <c r="C173" i="2" s="1"/>
  <c r="C178" i="2" s="1"/>
  <c r="O167" i="2"/>
  <c r="K173" i="2" s="1"/>
  <c r="K178" i="2" s="1"/>
  <c r="G169" i="2"/>
  <c r="C175" i="2" s="1"/>
  <c r="C180" i="2" s="1"/>
  <c r="O168" i="2"/>
  <c r="N174" i="2" s="1"/>
  <c r="O169" i="2"/>
  <c r="K175" i="2" s="1"/>
  <c r="K180" i="2" s="1"/>
  <c r="H174" i="2" l="1"/>
  <c r="N175" i="2"/>
  <c r="P175" i="2" s="1"/>
  <c r="F173" i="2"/>
  <c r="H173" i="2" s="1"/>
  <c r="N173" i="2"/>
  <c r="P173" i="2" s="1"/>
  <c r="K174" i="2"/>
  <c r="P174" i="2" s="1"/>
  <c r="F175" i="2"/>
  <c r="H175" i="2" s="1"/>
  <c r="K179" i="2" l="1"/>
</calcChain>
</file>

<file path=xl/sharedStrings.xml><?xml version="1.0" encoding="utf-8"?>
<sst xmlns="http://schemas.openxmlformats.org/spreadsheetml/2006/main" count="736" uniqueCount="149">
  <si>
    <t>x</t>
  </si>
  <si>
    <t>y</t>
  </si>
  <si>
    <t>z</t>
  </si>
  <si>
    <t>1. Messpunkte</t>
  </si>
  <si>
    <t>A</t>
  </si>
  <si>
    <t>B</t>
  </si>
  <si>
    <t>C</t>
  </si>
  <si>
    <t>D</t>
  </si>
  <si>
    <t>E</t>
  </si>
  <si>
    <t>F</t>
  </si>
  <si>
    <t>Fläche ABC</t>
  </si>
  <si>
    <t>y=</t>
  </si>
  <si>
    <t>+b</t>
  </si>
  <si>
    <t>+a</t>
  </si>
  <si>
    <t>Fläche ABF</t>
  </si>
  <si>
    <t>Fläche ACE</t>
  </si>
  <si>
    <t>Fläche BCD</t>
  </si>
  <si>
    <t>2. Parameterdarstellung der Flächen</t>
  </si>
  <si>
    <t>3. Normalvektoren der Flächen</t>
  </si>
  <si>
    <t xml:space="preserve">4. Normalvektoren </t>
  </si>
  <si>
    <t>Bei der Berechnug des Normalvektoren eines Punktes, gehen die Normalvektoren der angrenzenden Flächen mit unterschiedlicher Wichtung ein. Zu überlegen ist, ob die Kantenlänge der Flächenkanten durch diesen Punkt als Wichtung eingehen (1 durch Kantenlänge) oder der Abstand des Punktes zum Mittelpunkt der entsprechenden Fläche (1/ Abstand).</t>
  </si>
  <si>
    <t>Wir nehmen an, das die zweite Annahme besser geeignet ist.</t>
  </si>
  <si>
    <t>1.a Triangulation der Punkte zur Dreiecken (Ball Pivot Algorithmus)</t>
  </si>
  <si>
    <t>Dreieck ABC, ACE, ABF, BCD</t>
  </si>
  <si>
    <t>(hier ohne Wichtung)</t>
  </si>
  <si>
    <t>Durchschnitt der Normalvektoren berehcnen zu einem Punkt.</t>
  </si>
  <si>
    <t>Punkt A</t>
  </si>
  <si>
    <t>Punkt B</t>
  </si>
  <si>
    <t>Punkt C</t>
  </si>
  <si>
    <t>Gerade AB</t>
  </si>
  <si>
    <t>Gerade AC</t>
  </si>
  <si>
    <t>Lot in A</t>
  </si>
  <si>
    <t>Lot in B</t>
  </si>
  <si>
    <t>Lot in C</t>
  </si>
  <si>
    <t>Steigung in A</t>
  </si>
  <si>
    <t>Steigung in B</t>
  </si>
  <si>
    <t>Steigung in C</t>
  </si>
  <si>
    <t>Kreuzprodukt Richtungsvektor der Geraden und Normalvektor des Punktes</t>
  </si>
  <si>
    <t>Kreuzprodukt des Lots mit dem Normalvektor des Punktes</t>
  </si>
  <si>
    <t>Lot von A X Richtungsvektor AB</t>
  </si>
  <si>
    <t>Lot von B X Richtungsvektor AB</t>
  </si>
  <si>
    <t>Länge des Vektors Normalisieren</t>
  </si>
  <si>
    <t>Normalisieren</t>
  </si>
  <si>
    <t>Geradengleichung Ortsvektor A und Steigung in A</t>
  </si>
  <si>
    <t>Geradengleichung Ortsvektor B und Lot auf AB</t>
  </si>
  <si>
    <t>Geradengleichung Ortsvektor B und Steigung in B</t>
  </si>
  <si>
    <t>Geradengleichung Ortsvektor A und Lot auf AB</t>
  </si>
  <si>
    <t>Schnittpunkt</t>
  </si>
  <si>
    <t>5.Parametrisieren für AB</t>
  </si>
  <si>
    <t>Sonderfall: f(t)=0 -&gt; zur Bildung der kubischen Funktion nehmen wir den Mittelpunkt von AB</t>
  </si>
  <si>
    <t>5.Parametrisieren für AC</t>
  </si>
  <si>
    <t>Lot von A X Richtungsvektor AC</t>
  </si>
  <si>
    <t>Lot von C X Richtungsvektor AC</t>
  </si>
  <si>
    <t>a=</t>
  </si>
  <si>
    <t>b=</t>
  </si>
  <si>
    <t>Geradengleichung Ortsvektor A und Lot auf AC</t>
  </si>
  <si>
    <t>Geradengleichung Ortsvektor C und Steigung in C</t>
  </si>
  <si>
    <t>Geradengleichung Ortsvektor C und Lot auf AC</t>
  </si>
  <si>
    <t>Kubische Funktion (Formel siehe Bericht) über AC</t>
  </si>
  <si>
    <t>c=</t>
  </si>
  <si>
    <t>d=</t>
  </si>
  <si>
    <t>t1=</t>
  </si>
  <si>
    <t>f(t) = t^3-2t^2+t</t>
  </si>
  <si>
    <t>f'(t) = 3t^2-4t +1</t>
  </si>
  <si>
    <t>Parametrieserte Form auflösen</t>
  </si>
  <si>
    <t>x=</t>
  </si>
  <si>
    <t>z=</t>
  </si>
  <si>
    <t>Normierung</t>
  </si>
  <si>
    <t>Va</t>
  </si>
  <si>
    <t>Vc</t>
  </si>
  <si>
    <t>=A+t(C-A)+y*Norm(Va(1-t)+Vc*t)</t>
  </si>
  <si>
    <t>=C+(t-1)(A-C)+y*Norm(Va(1-t)+Vc*t)</t>
  </si>
  <si>
    <t>Pneu=</t>
  </si>
  <si>
    <t>Punkt</t>
  </si>
  <si>
    <t>Neue Dreiecke ermitteln</t>
  </si>
  <si>
    <t>G</t>
  </si>
  <si>
    <t>2. Triangulation der Punkte zur Dreiecken (Ball Pivot Algorithmus)</t>
  </si>
  <si>
    <t>Dreiecke</t>
  </si>
  <si>
    <t>ABC</t>
  </si>
  <si>
    <t>BCG</t>
  </si>
  <si>
    <t>3. Parameterdarstellung der Flächen</t>
  </si>
  <si>
    <t>Dreieck</t>
  </si>
  <si>
    <t>Orstvektor</t>
  </si>
  <si>
    <t>Richtungsvektor1</t>
  </si>
  <si>
    <t>Richtungsvektor2</t>
  </si>
  <si>
    <t>4. Normalvektoren der Punkte</t>
  </si>
  <si>
    <t>ohne Wichtng</t>
  </si>
  <si>
    <t>Umkreis</t>
  </si>
  <si>
    <t>Kantenhalbierende</t>
  </si>
  <si>
    <t>Richtungsvektor der Geraden X Normalvektor des Punktes</t>
  </si>
  <si>
    <t>Lot im Punkt X Normalvektor des Punktes</t>
  </si>
  <si>
    <t>Lot im Punkt X Richtungsvektor der Geraden</t>
  </si>
  <si>
    <t>Länge des Lotvektors</t>
  </si>
  <si>
    <t>über A</t>
  </si>
  <si>
    <t>über B</t>
  </si>
  <si>
    <t>s</t>
  </si>
  <si>
    <t>6. Kubische Funktion (Formel siehe Bericht) über AB</t>
  </si>
  <si>
    <t>f(t) = at^3-bt^2+ct+d</t>
  </si>
  <si>
    <t>m=</t>
  </si>
  <si>
    <t>t2=</t>
  </si>
  <si>
    <t xml:space="preserve">Extremwerte </t>
  </si>
  <si>
    <t>f1(t1)=</t>
  </si>
  <si>
    <t>f2(t2)=</t>
  </si>
  <si>
    <t>f'1(t1)=</t>
  </si>
  <si>
    <t>f'2(t2)=</t>
  </si>
  <si>
    <t>f''1(t1)=</t>
  </si>
  <si>
    <t>f''2(t2)=</t>
  </si>
  <si>
    <t>7. Parametrieserte Form auflösen</t>
  </si>
  <si>
    <t>Länge</t>
  </si>
  <si>
    <t>Normalisiert</t>
  </si>
  <si>
    <t>neuer Punkt</t>
  </si>
  <si>
    <t>=A+t(B-A)+y*Norm(Va(1-t)+Vb*t)</t>
  </si>
  <si>
    <t>=B+(t-1)(A-B)+y*Norm(Va(1-t)+Vb*t)</t>
  </si>
  <si>
    <t>Normierung für t1</t>
  </si>
  <si>
    <t>Normierung für t2</t>
  </si>
  <si>
    <t>1. Messpunkte ermitteln (hier: auf einem Kreis mit Radius r=5 und Mittelpunkt M=(0,0,0)</t>
  </si>
  <si>
    <t>c</t>
  </si>
  <si>
    <t>d</t>
  </si>
  <si>
    <t>e</t>
  </si>
  <si>
    <t>f</t>
  </si>
  <si>
    <t>g</t>
  </si>
  <si>
    <t>h</t>
  </si>
  <si>
    <t>i</t>
  </si>
  <si>
    <t>j</t>
  </si>
  <si>
    <t>k</t>
  </si>
  <si>
    <t>l</t>
  </si>
  <si>
    <t>m</t>
  </si>
  <si>
    <t>H</t>
  </si>
  <si>
    <t>I</t>
  </si>
  <si>
    <t>J</t>
  </si>
  <si>
    <t>K</t>
  </si>
  <si>
    <t>BDG</t>
  </si>
  <si>
    <t>CGH</t>
  </si>
  <si>
    <t>CHJ</t>
  </si>
  <si>
    <t>ACI</t>
  </si>
  <si>
    <t>CIJ</t>
  </si>
  <si>
    <t>AIK</t>
  </si>
  <si>
    <t>ABK</t>
  </si>
  <si>
    <t>BFK</t>
  </si>
  <si>
    <t>ACB</t>
  </si>
  <si>
    <t>BGD</t>
  </si>
  <si>
    <t>CHG</t>
  </si>
  <si>
    <t>CJH</t>
  </si>
  <si>
    <t>AIC</t>
  </si>
  <si>
    <t>AKI</t>
  </si>
  <si>
    <t>Schwerpunkt</t>
  </si>
  <si>
    <t>Abstand zu A</t>
  </si>
  <si>
    <t>Abstand zu B</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</si>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</sst>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0000"/>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
      <patternFill patternType="solid">
        <fgColor rgb="FFFF656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7">
    <border>
      <left/>
      <right/>
      <top/>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theme="0" tint="-0.34998626667073579"/>
      </left>
      <right style="thin">
        <color auto="1"/>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65">
    <xf numFmtId="0" fontId="0" fillId="0" borderId="0" xfId="0"/>
    <xf numFmtId="0" fontId="0" fillId="2" borderId="0" xfId="0" applyFill="1"/>
    <xf numFmtId="0" fontId="0" fillId="0" borderId="0" xfId="0" applyFill="1"/>
    <xf numFmtId="0" fontId="1" fillId="0" borderId="0" xfId="0" applyFont="1"/>
    <xf numFmtId="0" fontId="0" fillId="0" borderId="0" xfId="0" quotePrefix="1"/>
    <xf numFmtId="0" fontId="1" fillId="0" borderId="0" xfId="0" applyFont="1" applyFill="1"/>
    <xf numFmtId="2" fontId="0" fillId="0" borderId="0" xfId="0" applyNumberFormat="1"/>
    <xf numFmtId="0" fontId="0" fillId="3" borderId="0" xfId="0" applyFill="1"/>
    <xf numFmtId="0" fontId="0" fillId="4" borderId="0" xfId="0" applyFill="1"/>
    <xf numFmtId="164" fontId="0" fillId="0" borderId="0" xfId="0" applyNumberFormat="1"/>
    <xf numFmtId="0" fontId="2" fillId="0" borderId="0" xfId="0" applyFont="1"/>
    <xf numFmtId="0" fontId="0" fillId="0" borderId="0" xfId="0" applyFill="1" applyBorder="1"/>
    <xf numFmtId="0" fontId="0" fillId="5" borderId="0" xfId="0" applyFill="1"/>
    <xf numFmtId="0" fontId="1" fillId="5" borderId="0" xfId="0" applyFont="1" applyFill="1"/>
    <xf numFmtId="0" fontId="0" fillId="6" borderId="0" xfId="0" applyFill="1"/>
    <xf numFmtId="0" fontId="1" fillId="6" borderId="0" xfId="0" applyFont="1" applyFill="1"/>
    <xf numFmtId="0" fontId="1" fillId="0" borderId="0" xfId="0" applyFont="1" applyFill="1" applyBorder="1"/>
    <xf numFmtId="0" fontId="0" fillId="0" borderId="0" xfId="0" applyFont="1" applyFill="1"/>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Font="1"/>
    <xf numFmtId="0" fontId="0" fillId="0" borderId="2" xfId="0" applyFont="1" applyBorder="1" applyAlignment="1">
      <alignment horizontal="center" vertical="center"/>
    </xf>
    <xf numFmtId="0" fontId="0" fillId="0" borderId="4" xfId="0" applyFont="1" applyFill="1" applyBorder="1" applyAlignment="1">
      <alignment horizontal="center" vertical="center"/>
    </xf>
    <xf numFmtId="0" fontId="0" fillId="0" borderId="6" xfId="0" applyFont="1" applyFill="1" applyBorder="1" applyAlignment="1">
      <alignment horizontal="center" vertical="center"/>
    </xf>
    <xf numFmtId="0" fontId="1" fillId="2" borderId="0" xfId="0" applyFont="1" applyFill="1"/>
    <xf numFmtId="0" fontId="1" fillId="7" borderId="0" xfId="0" applyFont="1" applyFill="1"/>
    <xf numFmtId="0" fontId="0" fillId="7" borderId="0" xfId="0" applyFill="1"/>
    <xf numFmtId="0" fontId="0" fillId="7" borderId="0" xfId="0" quotePrefix="1" applyFill="1"/>
    <xf numFmtId="0" fontId="1" fillId="8" borderId="0" xfId="0" applyFont="1" applyFill="1"/>
    <xf numFmtId="0" fontId="0" fillId="8" borderId="0" xfId="0" applyFill="1"/>
    <xf numFmtId="0" fontId="0" fillId="2" borderId="0" xfId="0" quotePrefix="1" applyFill="1"/>
    <xf numFmtId="0" fontId="1" fillId="4" borderId="0" xfId="0" applyFont="1" applyFill="1"/>
    <xf numFmtId="0" fontId="3" fillId="4" borderId="0" xfId="0" applyFont="1" applyFill="1"/>
    <xf numFmtId="0" fontId="0" fillId="0" borderId="11" xfId="0" applyBorder="1"/>
    <xf numFmtId="0" fontId="0" fillId="0" borderId="13" xfId="0" applyBorder="1"/>
    <xf numFmtId="0" fontId="1" fillId="9" borderId="0" xfId="0" quotePrefix="1" applyFont="1" applyFill="1"/>
    <xf numFmtId="0" fontId="1" fillId="9" borderId="0" xfId="0" applyFont="1" applyFill="1"/>
    <xf numFmtId="0" fontId="0" fillId="9" borderId="0" xfId="0" applyFill="1"/>
    <xf numFmtId="0" fontId="0" fillId="9" borderId="0" xfId="0" applyFont="1" applyFill="1"/>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165" fontId="0" fillId="9" borderId="0" xfId="0" applyNumberFormat="1" applyFill="1"/>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2" fontId="0" fillId="9" borderId="0" xfId="0" applyNumberFormat="1" applyFill="1"/>
    <xf numFmtId="2" fontId="0" fillId="7" borderId="0" xfId="0" applyNumberFormat="1" applyFill="1"/>
    <xf numFmtId="2" fontId="0" fillId="0" borderId="14" xfId="0" applyNumberFormat="1" applyBorder="1"/>
    <xf numFmtId="2" fontId="0" fillId="0" borderId="15" xfId="0" applyNumberFormat="1" applyBorder="1"/>
    <xf numFmtId="2" fontId="0" fillId="0" borderId="16" xfId="0" applyNumberFormat="1" applyBorder="1"/>
    <xf numFmtId="2" fontId="1" fillId="0" borderId="16" xfId="0" applyNumberFormat="1" applyFont="1" applyBorder="1"/>
    <xf numFmtId="2" fontId="0" fillId="0" borderId="15" xfId="0" quotePrefix="1" applyNumberFormat="1" applyBorder="1"/>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quotePrefix="1" applyBorder="1" applyAlignment="1">
      <alignment horizontal="center" vertical="center"/>
    </xf>
    <xf numFmtId="0" fontId="0" fillId="0" borderId="3" xfId="0" quotePrefix="1" applyBorder="1" applyAlignment="1">
      <alignment horizontal="center" vertical="center"/>
    </xf>
    <xf numFmtId="0" fontId="0" fillId="0" borderId="5" xfId="0" quotePrefix="1" applyBorder="1" applyAlignment="1">
      <alignment horizontal="center" vertical="center"/>
    </xf>
    <xf numFmtId="0" fontId="0" fillId="0" borderId="7" xfId="0" applyBorder="1" applyAlignment="1">
      <alignment horizontal="center"/>
    </xf>
    <xf numFmtId="0" fontId="0" fillId="0" borderId="12" xfId="0" applyBorder="1" applyAlignment="1">
      <alignment horizontal="center"/>
    </xf>
  </cellXfs>
  <cellStyles count="1">
    <cellStyle name="Standard" xfId="0" builtinId="0"/>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523875</xdr:colOff>
      <xdr:row>0</xdr:row>
      <xdr:rowOff>133350</xdr:rowOff>
    </xdr:from>
    <xdr:to>
      <xdr:col>12</xdr:col>
      <xdr:colOff>95250</xdr:colOff>
      <xdr:row>17</xdr:row>
      <xdr:rowOff>6962</xdr:rowOff>
    </xdr:to>
    <xdr:pic>
      <xdr:nvPicPr>
        <xdr:cNvPr id="4" name="Grafik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133350"/>
          <a:ext cx="4219575" cy="3112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5"/>
  <sheetViews>
    <sheetView zoomScale="70" zoomScaleNormal="70" workbookViewId="0">
      <selection activeCell="C179" sqref="C179"/>
    </sheetView>
  </sheetViews>
  <sheetFormatPr baseColWidth="10" defaultRowHeight="15" x14ac:dyDescent="0.25"/>
  <cols>
    <col min="12" max="12" width="12.5703125" bestFit="1" customWidth="1"/>
    <col min="13" max="13" width="12.7109375" bestFit="1" customWidth="1"/>
    <col min="14" max="14" width="12.42578125" bestFit="1" customWidth="1"/>
    <col min="15" max="15" width="12.7109375" bestFit="1" customWidth="1"/>
  </cols>
  <sheetData>
    <row r="1" spans="1:5" x14ac:dyDescent="0.25">
      <c r="B1" s="3" t="s">
        <v>3</v>
      </c>
    </row>
    <row r="2" spans="1:5" x14ac:dyDescent="0.25">
      <c r="B2" t="s">
        <v>0</v>
      </c>
      <c r="C2" t="s">
        <v>1</v>
      </c>
      <c r="D2" t="s">
        <v>2</v>
      </c>
    </row>
    <row r="3" spans="1:5" x14ac:dyDescent="0.25">
      <c r="A3" t="s">
        <v>4</v>
      </c>
      <c r="B3" s="1">
        <v>1</v>
      </c>
      <c r="C3" s="1">
        <v>4</v>
      </c>
      <c r="D3" s="1">
        <v>0</v>
      </c>
    </row>
    <row r="4" spans="1:5" x14ac:dyDescent="0.25">
      <c r="A4" t="s">
        <v>5</v>
      </c>
      <c r="B4" s="1">
        <v>2</v>
      </c>
      <c r="C4" s="1">
        <v>4</v>
      </c>
      <c r="D4" s="1">
        <v>0</v>
      </c>
    </row>
    <row r="5" spans="1:5" x14ac:dyDescent="0.25">
      <c r="A5" t="s">
        <v>6</v>
      </c>
      <c r="B5" s="1">
        <v>1.5</v>
      </c>
      <c r="C5" s="1">
        <v>3.5</v>
      </c>
      <c r="D5" s="1">
        <v>0.5</v>
      </c>
    </row>
    <row r="6" spans="1:5" x14ac:dyDescent="0.25">
      <c r="A6" t="s">
        <v>7</v>
      </c>
      <c r="B6" s="2">
        <v>2.5</v>
      </c>
      <c r="C6" s="2">
        <v>3.5</v>
      </c>
      <c r="D6" s="2">
        <v>0.5</v>
      </c>
      <c r="E6" s="2"/>
    </row>
    <row r="7" spans="1:5" x14ac:dyDescent="0.25">
      <c r="A7" t="s">
        <v>8</v>
      </c>
      <c r="B7" s="2">
        <v>0.5</v>
      </c>
      <c r="C7" s="2">
        <v>3.5</v>
      </c>
      <c r="D7" s="2">
        <v>0.5</v>
      </c>
      <c r="E7" s="2"/>
    </row>
    <row r="8" spans="1:5" x14ac:dyDescent="0.25">
      <c r="A8" t="s">
        <v>9</v>
      </c>
      <c r="B8" s="2">
        <v>1.5</v>
      </c>
      <c r="C8" s="2">
        <v>5</v>
      </c>
      <c r="D8" s="2">
        <v>-0.5</v>
      </c>
      <c r="E8" s="2"/>
    </row>
    <row r="9" spans="1:5" x14ac:dyDescent="0.25">
      <c r="B9" s="2"/>
      <c r="C9" s="2"/>
      <c r="D9" s="2"/>
      <c r="E9" s="2"/>
    </row>
    <row r="10" spans="1:5" x14ac:dyDescent="0.25">
      <c r="B10" s="2"/>
      <c r="C10" s="2"/>
      <c r="D10" s="2"/>
      <c r="E10" s="2"/>
    </row>
    <row r="11" spans="1:5" x14ac:dyDescent="0.25">
      <c r="B11" s="2"/>
      <c r="C11" s="2"/>
      <c r="D11" s="2"/>
      <c r="E11" s="2"/>
    </row>
    <row r="12" spans="1:5" x14ac:dyDescent="0.25">
      <c r="B12" s="2"/>
      <c r="C12" s="2"/>
      <c r="D12" s="2"/>
      <c r="E12" s="2"/>
    </row>
    <row r="13" spans="1:5" x14ac:dyDescent="0.25">
      <c r="B13" s="5" t="s">
        <v>22</v>
      </c>
      <c r="C13" s="2"/>
      <c r="D13" s="2"/>
      <c r="E13" s="2"/>
    </row>
    <row r="14" spans="1:5" x14ac:dyDescent="0.25">
      <c r="B14" s="2" t="s">
        <v>23</v>
      </c>
      <c r="C14" s="2"/>
      <c r="D14" s="2"/>
      <c r="E14" s="2"/>
    </row>
    <row r="22" spans="2:7" x14ac:dyDescent="0.25">
      <c r="B22" s="3" t="s">
        <v>17</v>
      </c>
    </row>
    <row r="23" spans="2:7" x14ac:dyDescent="0.25">
      <c r="B23" t="s">
        <v>10</v>
      </c>
    </row>
    <row r="24" spans="2:7" x14ac:dyDescent="0.25">
      <c r="C24">
        <v>1</v>
      </c>
      <c r="E24">
        <v>1</v>
      </c>
      <c r="G24">
        <v>0.5</v>
      </c>
    </row>
    <row r="25" spans="2:7" x14ac:dyDescent="0.25">
      <c r="B25" t="s">
        <v>11</v>
      </c>
      <c r="C25">
        <v>4</v>
      </c>
      <c r="D25" s="4" t="s">
        <v>13</v>
      </c>
      <c r="E25">
        <v>0</v>
      </c>
      <c r="F25" s="4" t="s">
        <v>12</v>
      </c>
      <c r="G25">
        <v>-0.5</v>
      </c>
    </row>
    <row r="26" spans="2:7" x14ac:dyDescent="0.25">
      <c r="C26">
        <v>0</v>
      </c>
      <c r="E26">
        <v>0</v>
      </c>
      <c r="G26">
        <v>0.5</v>
      </c>
    </row>
    <row r="30" spans="2:7" x14ac:dyDescent="0.25">
      <c r="B30" t="s">
        <v>14</v>
      </c>
    </row>
    <row r="31" spans="2:7" x14ac:dyDescent="0.25">
      <c r="C31">
        <v>1</v>
      </c>
      <c r="E31">
        <v>1</v>
      </c>
      <c r="G31">
        <v>0.5</v>
      </c>
    </row>
    <row r="32" spans="2:7" x14ac:dyDescent="0.25">
      <c r="B32" t="s">
        <v>11</v>
      </c>
      <c r="C32">
        <v>4</v>
      </c>
      <c r="D32" s="4" t="s">
        <v>13</v>
      </c>
      <c r="E32">
        <v>0</v>
      </c>
      <c r="F32" s="4" t="s">
        <v>12</v>
      </c>
      <c r="G32">
        <v>1</v>
      </c>
    </row>
    <row r="33" spans="2:7" x14ac:dyDescent="0.25">
      <c r="C33">
        <v>0</v>
      </c>
      <c r="E33">
        <v>0</v>
      </c>
      <c r="G33">
        <v>-0.5</v>
      </c>
    </row>
    <row r="35" spans="2:7" x14ac:dyDescent="0.25">
      <c r="B35" t="s">
        <v>15</v>
      </c>
    </row>
    <row r="36" spans="2:7" x14ac:dyDescent="0.25">
      <c r="C36">
        <v>1</v>
      </c>
      <c r="E36">
        <v>0.5</v>
      </c>
      <c r="G36">
        <v>-0.5</v>
      </c>
    </row>
    <row r="37" spans="2:7" x14ac:dyDescent="0.25">
      <c r="B37" t="s">
        <v>11</v>
      </c>
      <c r="C37">
        <v>4</v>
      </c>
      <c r="D37" s="4" t="s">
        <v>13</v>
      </c>
      <c r="E37">
        <v>-0.5</v>
      </c>
      <c r="F37" s="4" t="s">
        <v>12</v>
      </c>
      <c r="G37">
        <v>-0.5</v>
      </c>
    </row>
    <row r="38" spans="2:7" x14ac:dyDescent="0.25">
      <c r="C38">
        <v>0</v>
      </c>
      <c r="E38">
        <v>0.5</v>
      </c>
      <c r="G38">
        <v>0.5</v>
      </c>
    </row>
    <row r="41" spans="2:7" x14ac:dyDescent="0.25">
      <c r="B41" t="s">
        <v>16</v>
      </c>
    </row>
    <row r="42" spans="2:7" x14ac:dyDescent="0.25">
      <c r="C42">
        <v>2</v>
      </c>
      <c r="E42">
        <v>-0.5</v>
      </c>
      <c r="G42">
        <v>0.5</v>
      </c>
    </row>
    <row r="43" spans="2:7" x14ac:dyDescent="0.25">
      <c r="B43" t="s">
        <v>11</v>
      </c>
      <c r="C43">
        <v>4</v>
      </c>
      <c r="D43" s="4" t="s">
        <v>13</v>
      </c>
      <c r="E43">
        <v>-0.5</v>
      </c>
      <c r="F43" s="4" t="s">
        <v>12</v>
      </c>
      <c r="G43">
        <v>-0.5</v>
      </c>
    </row>
    <row r="44" spans="2:7" x14ac:dyDescent="0.25">
      <c r="C44">
        <v>0</v>
      </c>
      <c r="E44">
        <v>0.5</v>
      </c>
      <c r="G44">
        <v>0.5</v>
      </c>
    </row>
    <row r="48" spans="2:7" x14ac:dyDescent="0.25">
      <c r="B48" s="3" t="s">
        <v>18</v>
      </c>
    </row>
    <row r="50" spans="2:4" x14ac:dyDescent="0.25">
      <c r="B50" t="s">
        <v>10</v>
      </c>
      <c r="D50">
        <v>0</v>
      </c>
    </row>
    <row r="51" spans="2:4" x14ac:dyDescent="0.25">
      <c r="D51">
        <v>-0.5</v>
      </c>
    </row>
    <row r="52" spans="2:4" x14ac:dyDescent="0.25">
      <c r="D52">
        <v>-0.5</v>
      </c>
    </row>
    <row r="54" spans="2:4" x14ac:dyDescent="0.25">
      <c r="B54" t="s">
        <v>14</v>
      </c>
      <c r="D54">
        <v>0</v>
      </c>
    </row>
    <row r="55" spans="2:4" x14ac:dyDescent="0.25">
      <c r="D55">
        <v>0.5</v>
      </c>
    </row>
    <row r="56" spans="2:4" x14ac:dyDescent="0.25">
      <c r="D56">
        <v>1</v>
      </c>
    </row>
    <row r="58" spans="2:4" x14ac:dyDescent="0.25">
      <c r="B58" t="s">
        <v>15</v>
      </c>
      <c r="D58">
        <v>0</v>
      </c>
    </row>
    <row r="59" spans="2:4" x14ac:dyDescent="0.25">
      <c r="D59">
        <v>-0.5</v>
      </c>
    </row>
    <row r="60" spans="2:4" x14ac:dyDescent="0.25">
      <c r="D60">
        <v>-0.5</v>
      </c>
    </row>
    <row r="62" spans="2:4" x14ac:dyDescent="0.25">
      <c r="B62" t="s">
        <v>16</v>
      </c>
      <c r="D62">
        <v>0</v>
      </c>
    </row>
    <row r="63" spans="2:4" x14ac:dyDescent="0.25">
      <c r="D63">
        <v>0.5</v>
      </c>
    </row>
    <row r="64" spans="2:4" x14ac:dyDescent="0.25">
      <c r="D64">
        <v>0.5</v>
      </c>
    </row>
    <row r="67" spans="2:4" x14ac:dyDescent="0.25">
      <c r="B67" s="3" t="s">
        <v>19</v>
      </c>
    </row>
    <row r="68" spans="2:4" x14ac:dyDescent="0.25">
      <c r="B68" t="s">
        <v>20</v>
      </c>
    </row>
    <row r="69" spans="2:4" x14ac:dyDescent="0.25">
      <c r="B69" t="s">
        <v>21</v>
      </c>
    </row>
    <row r="71" spans="2:4" x14ac:dyDescent="0.25">
      <c r="B71" t="s">
        <v>24</v>
      </c>
    </row>
    <row r="72" spans="2:4" x14ac:dyDescent="0.25">
      <c r="B72" t="s">
        <v>25</v>
      </c>
    </row>
    <row r="74" spans="2:4" x14ac:dyDescent="0.25">
      <c r="B74" t="s">
        <v>26</v>
      </c>
      <c r="C74" t="s">
        <v>27</v>
      </c>
      <c r="D74" t="s">
        <v>28</v>
      </c>
    </row>
    <row r="75" spans="2:4" x14ac:dyDescent="0.25">
      <c r="B75">
        <f>SUM(D50,D54,D58)/COUNT(D50,D54,D58)</f>
        <v>0</v>
      </c>
      <c r="C75">
        <v>0</v>
      </c>
      <c r="D75">
        <v>0</v>
      </c>
    </row>
    <row r="76" spans="2:4" x14ac:dyDescent="0.25">
      <c r="B76">
        <f t="shared" ref="B76:B77" si="0">SUM(D51,D55,D59)/COUNT(D51,D55,D59)</f>
        <v>-0.16666666666666666</v>
      </c>
      <c r="C76">
        <f>B76*-1</f>
        <v>0.16666666666666666</v>
      </c>
      <c r="D76">
        <f>B76</f>
        <v>-0.16666666666666666</v>
      </c>
    </row>
    <row r="77" spans="2:4" x14ac:dyDescent="0.25">
      <c r="B77">
        <f t="shared" si="0"/>
        <v>0</v>
      </c>
      <c r="C77" s="6">
        <f>1/3</f>
        <v>0.33333333333333331</v>
      </c>
      <c r="D77">
        <f>D76</f>
        <v>-0.16666666666666666</v>
      </c>
    </row>
    <row r="80" spans="2:4" x14ac:dyDescent="0.25">
      <c r="B80" s="3" t="s">
        <v>48</v>
      </c>
    </row>
    <row r="81" spans="2:15" x14ac:dyDescent="0.25">
      <c r="G81" t="s">
        <v>37</v>
      </c>
      <c r="L81" t="s">
        <v>38</v>
      </c>
    </row>
    <row r="82" spans="2:15" x14ac:dyDescent="0.25">
      <c r="B82" s="7" t="s">
        <v>29</v>
      </c>
      <c r="C82" s="7"/>
      <c r="D82" s="7"/>
      <c r="E82" s="7"/>
      <c r="F82" s="7"/>
      <c r="G82" s="7"/>
      <c r="H82" s="7"/>
      <c r="I82" s="7"/>
      <c r="J82" s="7"/>
      <c r="K82" s="7"/>
      <c r="L82" s="7"/>
      <c r="M82" s="7"/>
      <c r="N82" s="7"/>
      <c r="O82" s="7"/>
    </row>
    <row r="83" spans="2:15" x14ac:dyDescent="0.25">
      <c r="C83">
        <v>1</v>
      </c>
      <c r="E83">
        <f>B4-B3</f>
        <v>1</v>
      </c>
      <c r="G83" t="s">
        <v>31</v>
      </c>
      <c r="H83">
        <v>0</v>
      </c>
      <c r="I83" t="s">
        <v>32</v>
      </c>
      <c r="J83">
        <v>0</v>
      </c>
      <c r="L83" t="s">
        <v>34</v>
      </c>
      <c r="M83">
        <f>-1/36</f>
        <v>-2.7777777777777776E-2</v>
      </c>
      <c r="N83" t="s">
        <v>35</v>
      </c>
      <c r="O83">
        <f>-5/36</f>
        <v>-0.1388888888888889</v>
      </c>
    </row>
    <row r="84" spans="2:15" x14ac:dyDescent="0.25">
      <c r="B84" t="s">
        <v>11</v>
      </c>
      <c r="C84">
        <v>4</v>
      </c>
      <c r="D84" s="4" t="s">
        <v>13</v>
      </c>
      <c r="E84">
        <f>C4-C3</f>
        <v>0</v>
      </c>
      <c r="H84">
        <v>0</v>
      </c>
      <c r="J84">
        <f>1/3</f>
        <v>0.33333333333333331</v>
      </c>
      <c r="M84">
        <v>0</v>
      </c>
      <c r="O84">
        <v>0</v>
      </c>
    </row>
    <row r="85" spans="2:15" x14ac:dyDescent="0.25">
      <c r="C85">
        <v>0</v>
      </c>
      <c r="E85">
        <f>D4-D3</f>
        <v>0</v>
      </c>
      <c r="H85">
        <f>-1/6</f>
        <v>-0.16666666666666666</v>
      </c>
      <c r="J85">
        <f>-1/6</f>
        <v>-0.16666666666666666</v>
      </c>
      <c r="M85">
        <v>0</v>
      </c>
      <c r="O85">
        <v>0</v>
      </c>
    </row>
    <row r="88" spans="2:15" x14ac:dyDescent="0.25">
      <c r="B88" s="2"/>
      <c r="O88" s="2"/>
    </row>
    <row r="89" spans="2:15" x14ac:dyDescent="0.25">
      <c r="O89" s="2"/>
    </row>
    <row r="90" spans="2:15" x14ac:dyDescent="0.25">
      <c r="H90" t="s">
        <v>41</v>
      </c>
      <c r="L90" t="s">
        <v>42</v>
      </c>
      <c r="O90" s="2"/>
    </row>
    <row r="91" spans="2:15" x14ac:dyDescent="0.25">
      <c r="B91" t="s">
        <v>39</v>
      </c>
      <c r="C91">
        <v>0</v>
      </c>
      <c r="E91" t="s">
        <v>40</v>
      </c>
      <c r="F91">
        <v>0</v>
      </c>
      <c r="H91">
        <f>SQRT(C92^2+C93^2)</f>
        <v>0.16666666666666666</v>
      </c>
      <c r="J91">
        <f>SQRT(F92^2+F93^2)</f>
        <v>0.37267799624996495</v>
      </c>
      <c r="L91">
        <f>C91/$H$91</f>
        <v>0</v>
      </c>
      <c r="N91">
        <f>F91/$J$91</f>
        <v>0</v>
      </c>
      <c r="O91" s="2"/>
    </row>
    <row r="92" spans="2:15" x14ac:dyDescent="0.25">
      <c r="C92">
        <f>-1/6</f>
        <v>-0.16666666666666666</v>
      </c>
      <c r="F92">
        <f>-1/6</f>
        <v>-0.16666666666666666</v>
      </c>
      <c r="L92">
        <f>C92/$H$91</f>
        <v>-1</v>
      </c>
      <c r="N92">
        <f>F92/$J$91</f>
        <v>-0.44721359549995793</v>
      </c>
      <c r="O92" s="2"/>
    </row>
    <row r="93" spans="2:15" x14ac:dyDescent="0.25">
      <c r="C93">
        <v>0</v>
      </c>
      <c r="F93">
        <f>-1/3</f>
        <v>-0.33333333333333331</v>
      </c>
      <c r="L93">
        <f>C93/$H$91</f>
        <v>0</v>
      </c>
      <c r="N93">
        <f>F93/$J$91</f>
        <v>-0.89442719099991586</v>
      </c>
      <c r="O93" s="2"/>
    </row>
    <row r="94" spans="2:15" x14ac:dyDescent="0.25">
      <c r="O94" s="2"/>
    </row>
    <row r="97" spans="2:17" x14ac:dyDescent="0.25">
      <c r="B97" t="s">
        <v>43</v>
      </c>
      <c r="H97" t="s">
        <v>45</v>
      </c>
    </row>
    <row r="98" spans="2:17" x14ac:dyDescent="0.25">
      <c r="C98">
        <v>1</v>
      </c>
      <c r="E98">
        <f>M83</f>
        <v>-2.7777777777777776E-2</v>
      </c>
      <c r="I98">
        <v>2</v>
      </c>
      <c r="K98">
        <f>O83</f>
        <v>-0.1388888888888889</v>
      </c>
    </row>
    <row r="99" spans="2:17" x14ac:dyDescent="0.25">
      <c r="B99" t="s">
        <v>11</v>
      </c>
      <c r="C99">
        <v>4</v>
      </c>
      <c r="D99" s="4" t="s">
        <v>13</v>
      </c>
      <c r="E99">
        <f t="shared" ref="E99:E100" si="1">M84</f>
        <v>0</v>
      </c>
      <c r="H99" t="s">
        <v>11</v>
      </c>
      <c r="I99">
        <v>4</v>
      </c>
      <c r="J99" t="s">
        <v>13</v>
      </c>
      <c r="K99">
        <f t="shared" ref="K99:K100" si="2">O84</f>
        <v>0</v>
      </c>
    </row>
    <row r="100" spans="2:17" x14ac:dyDescent="0.25">
      <c r="C100">
        <v>0</v>
      </c>
      <c r="E100">
        <f t="shared" si="1"/>
        <v>0</v>
      </c>
      <c r="I100">
        <v>0</v>
      </c>
      <c r="K100">
        <f t="shared" si="2"/>
        <v>0</v>
      </c>
    </row>
    <row r="103" spans="2:17" x14ac:dyDescent="0.25">
      <c r="B103" t="s">
        <v>44</v>
      </c>
      <c r="H103" t="s">
        <v>46</v>
      </c>
    </row>
    <row r="104" spans="2:17" x14ac:dyDescent="0.25">
      <c r="C104">
        <v>2</v>
      </c>
      <c r="E104">
        <f>L91</f>
        <v>0</v>
      </c>
      <c r="I104">
        <v>1</v>
      </c>
      <c r="K104">
        <f>N91</f>
        <v>0</v>
      </c>
    </row>
    <row r="105" spans="2:17" x14ac:dyDescent="0.25">
      <c r="B105" t="s">
        <v>11</v>
      </c>
      <c r="C105">
        <v>4</v>
      </c>
      <c r="D105" s="4" t="s">
        <v>12</v>
      </c>
      <c r="E105">
        <f t="shared" ref="E105:E106" si="3">L92</f>
        <v>-1</v>
      </c>
      <c r="H105" t="s">
        <v>11</v>
      </c>
      <c r="I105">
        <v>4</v>
      </c>
      <c r="J105" t="s">
        <v>12</v>
      </c>
      <c r="K105">
        <f t="shared" ref="K105:K106" si="4">N92</f>
        <v>-0.44721359549995793</v>
      </c>
    </row>
    <row r="106" spans="2:17" x14ac:dyDescent="0.25">
      <c r="C106">
        <v>0</v>
      </c>
      <c r="E106">
        <f t="shared" si="3"/>
        <v>0</v>
      </c>
      <c r="I106">
        <v>0</v>
      </c>
      <c r="K106">
        <f t="shared" si="4"/>
        <v>-0.89442719099991586</v>
      </c>
    </row>
    <row r="110" spans="2:17" x14ac:dyDescent="0.25">
      <c r="B110" t="s">
        <v>47</v>
      </c>
    </row>
    <row r="111" spans="2:17" x14ac:dyDescent="0.25">
      <c r="C111">
        <f>1+(-36*E98)</f>
        <v>2</v>
      </c>
      <c r="I111">
        <v>1</v>
      </c>
      <c r="K111" s="8" t="s">
        <v>49</v>
      </c>
      <c r="L111" s="8"/>
      <c r="M111" s="8"/>
      <c r="N111" s="8"/>
      <c r="O111" s="8"/>
      <c r="P111" s="8"/>
      <c r="Q111" s="8"/>
    </row>
    <row r="112" spans="2:17" x14ac:dyDescent="0.25">
      <c r="C112">
        <v>4</v>
      </c>
      <c r="I112">
        <v>4</v>
      </c>
    </row>
    <row r="113" spans="2:15" x14ac:dyDescent="0.25">
      <c r="C113">
        <v>0</v>
      </c>
      <c r="I113">
        <v>0</v>
      </c>
    </row>
    <row r="117" spans="2:15" x14ac:dyDescent="0.25">
      <c r="B117" s="3" t="s">
        <v>50</v>
      </c>
    </row>
    <row r="118" spans="2:15" x14ac:dyDescent="0.25">
      <c r="G118" t="s">
        <v>37</v>
      </c>
      <c r="L118" t="s">
        <v>38</v>
      </c>
    </row>
    <row r="119" spans="2:15" x14ac:dyDescent="0.25">
      <c r="B119" s="7" t="s">
        <v>30</v>
      </c>
      <c r="C119" s="7"/>
      <c r="D119" s="7"/>
      <c r="E119" s="7"/>
      <c r="F119" s="7"/>
      <c r="G119" s="7"/>
      <c r="H119" s="7"/>
      <c r="I119" s="7"/>
      <c r="J119" s="7"/>
      <c r="K119" s="7"/>
      <c r="L119" s="7"/>
      <c r="M119" s="7"/>
      <c r="N119" s="7"/>
      <c r="O119" s="7"/>
    </row>
    <row r="120" spans="2:15" x14ac:dyDescent="0.25">
      <c r="C120">
        <v>1</v>
      </c>
      <c r="E120">
        <f>B5-B3</f>
        <v>0.5</v>
      </c>
      <c r="G120" t="s">
        <v>31</v>
      </c>
      <c r="H120" s="9">
        <f>1/12</f>
        <v>8.3333333333333329E-2</v>
      </c>
      <c r="I120" t="s">
        <v>33</v>
      </c>
      <c r="J120">
        <f>1/6</f>
        <v>0.16666666666666666</v>
      </c>
      <c r="L120" t="s">
        <v>34</v>
      </c>
      <c r="M120">
        <f>-1/72</f>
        <v>-1.3888888888888888E-2</v>
      </c>
      <c r="N120" t="s">
        <v>36</v>
      </c>
      <c r="O120">
        <f>-1/36</f>
        <v>-2.7777777777777776E-2</v>
      </c>
    </row>
    <row r="121" spans="2:15" x14ac:dyDescent="0.25">
      <c r="B121" t="s">
        <v>11</v>
      </c>
      <c r="C121">
        <v>4</v>
      </c>
      <c r="D121" s="4" t="s">
        <v>13</v>
      </c>
      <c r="E121">
        <f>C5-C3</f>
        <v>-0.5</v>
      </c>
      <c r="H121">
        <v>0</v>
      </c>
      <c r="J121">
        <f>1/12</f>
        <v>8.3333333333333329E-2</v>
      </c>
      <c r="M121">
        <v>0</v>
      </c>
      <c r="O121">
        <f>1/36</f>
        <v>2.7777777777777776E-2</v>
      </c>
    </row>
    <row r="122" spans="2:15" x14ac:dyDescent="0.25">
      <c r="C122">
        <v>0</v>
      </c>
      <c r="E122">
        <f>D5-D3</f>
        <v>0.5</v>
      </c>
      <c r="H122">
        <f>-1/12</f>
        <v>-8.3333333333333329E-2</v>
      </c>
      <c r="J122">
        <f>-1/12</f>
        <v>-8.3333333333333329E-2</v>
      </c>
      <c r="M122">
        <f>-1/72</f>
        <v>-1.3888888888888888E-2</v>
      </c>
      <c r="O122">
        <f>-1/36</f>
        <v>-2.7777777777777776E-2</v>
      </c>
    </row>
    <row r="125" spans="2:15" x14ac:dyDescent="0.25">
      <c r="B125" s="2"/>
      <c r="O125" s="2"/>
    </row>
    <row r="126" spans="2:15" x14ac:dyDescent="0.25">
      <c r="O126" s="2"/>
    </row>
    <row r="127" spans="2:15" x14ac:dyDescent="0.25">
      <c r="H127" t="s">
        <v>41</v>
      </c>
      <c r="K127" t="s">
        <v>42</v>
      </c>
      <c r="L127" t="s">
        <v>68</v>
      </c>
      <c r="N127" t="s">
        <v>69</v>
      </c>
      <c r="O127" s="2"/>
    </row>
    <row r="128" spans="2:15" x14ac:dyDescent="0.25">
      <c r="B128" t="s">
        <v>51</v>
      </c>
      <c r="C128">
        <f>-1/24</f>
        <v>-4.1666666666666664E-2</v>
      </c>
      <c r="E128" t="s">
        <v>52</v>
      </c>
      <c r="F128">
        <v>0</v>
      </c>
      <c r="H128">
        <f>SQRT(C129^2+C130^2)</f>
        <v>9.3169499062491237E-2</v>
      </c>
      <c r="J128">
        <f>SQRT(F129^2+F130^2)</f>
        <v>0.17677669529663689</v>
      </c>
      <c r="L128">
        <f>C128/$H$91</f>
        <v>-0.25</v>
      </c>
      <c r="N128">
        <f>F128/$J$91</f>
        <v>0</v>
      </c>
      <c r="O128" s="2"/>
    </row>
    <row r="129" spans="2:15" x14ac:dyDescent="0.25">
      <c r="C129" s="9">
        <f>1/12</f>
        <v>8.3333333333333329E-2</v>
      </c>
      <c r="F129">
        <f>3/24</f>
        <v>0.125</v>
      </c>
      <c r="L129">
        <f>C129/$H$91</f>
        <v>0.5</v>
      </c>
      <c r="N129">
        <f>F129/$J$91</f>
        <v>0.33541019662496846</v>
      </c>
      <c r="O129" s="2"/>
    </row>
    <row r="130" spans="2:15" x14ac:dyDescent="0.25">
      <c r="C130">
        <f>-1/24</f>
        <v>-4.1666666666666664E-2</v>
      </c>
      <c r="F130">
        <f>3/24</f>
        <v>0.125</v>
      </c>
      <c r="L130">
        <f>C130/$H$91</f>
        <v>-0.25</v>
      </c>
      <c r="N130">
        <f>F130/$J$91</f>
        <v>0.33541019662496846</v>
      </c>
      <c r="O130" s="2"/>
    </row>
    <row r="131" spans="2:15" x14ac:dyDescent="0.25">
      <c r="O131" s="2"/>
    </row>
    <row r="134" spans="2:15" x14ac:dyDescent="0.25">
      <c r="B134" t="s">
        <v>43</v>
      </c>
      <c r="H134" t="s">
        <v>56</v>
      </c>
    </row>
    <row r="135" spans="2:15" x14ac:dyDescent="0.25">
      <c r="C135">
        <v>1</v>
      </c>
      <c r="E135">
        <f>M120</f>
        <v>-1.3888888888888888E-2</v>
      </c>
      <c r="I135">
        <v>1.5</v>
      </c>
      <c r="K135">
        <f>O120</f>
        <v>-2.7777777777777776E-2</v>
      </c>
    </row>
    <row r="136" spans="2:15" x14ac:dyDescent="0.25">
      <c r="B136" t="s">
        <v>11</v>
      </c>
      <c r="C136">
        <v>4</v>
      </c>
      <c r="D136" s="4" t="s">
        <v>13</v>
      </c>
      <c r="E136">
        <f t="shared" ref="E136:E137" si="5">M121</f>
        <v>0</v>
      </c>
      <c r="H136" t="s">
        <v>11</v>
      </c>
      <c r="I136">
        <v>3.5</v>
      </c>
      <c r="J136" t="s">
        <v>13</v>
      </c>
      <c r="K136">
        <f t="shared" ref="K136:K137" si="6">O121</f>
        <v>2.7777777777777776E-2</v>
      </c>
    </row>
    <row r="137" spans="2:15" x14ac:dyDescent="0.25">
      <c r="C137">
        <v>0</v>
      </c>
      <c r="E137">
        <f t="shared" si="5"/>
        <v>-1.3888888888888888E-2</v>
      </c>
      <c r="I137">
        <v>0.5</v>
      </c>
      <c r="K137">
        <f t="shared" si="6"/>
        <v>-2.7777777777777776E-2</v>
      </c>
    </row>
    <row r="140" spans="2:15" x14ac:dyDescent="0.25">
      <c r="B140" t="s">
        <v>57</v>
      </c>
      <c r="H140" t="s">
        <v>55</v>
      </c>
    </row>
    <row r="141" spans="2:15" x14ac:dyDescent="0.25">
      <c r="C141">
        <v>1.5</v>
      </c>
      <c r="E141">
        <f>L128</f>
        <v>-0.25</v>
      </c>
      <c r="I141">
        <v>1</v>
      </c>
      <c r="K141">
        <f>N128</f>
        <v>0</v>
      </c>
    </row>
    <row r="142" spans="2:15" x14ac:dyDescent="0.25">
      <c r="B142" t="s">
        <v>11</v>
      </c>
      <c r="C142">
        <v>3.5</v>
      </c>
      <c r="D142" s="4" t="s">
        <v>12</v>
      </c>
      <c r="E142">
        <f t="shared" ref="E142:E143" si="7">L129</f>
        <v>0.5</v>
      </c>
      <c r="H142" t="s">
        <v>11</v>
      </c>
      <c r="I142">
        <v>4</v>
      </c>
      <c r="J142" t="s">
        <v>12</v>
      </c>
      <c r="K142">
        <f t="shared" ref="K142:K143" si="8">N129</f>
        <v>0.33541019662496846</v>
      </c>
    </row>
    <row r="143" spans="2:15" x14ac:dyDescent="0.25">
      <c r="C143">
        <v>0.5</v>
      </c>
      <c r="E143">
        <f t="shared" si="7"/>
        <v>-0.25</v>
      </c>
      <c r="I143">
        <v>0</v>
      </c>
      <c r="K143">
        <f t="shared" si="8"/>
        <v>0.33541019662496846</v>
      </c>
    </row>
    <row r="146" spans="2:16" x14ac:dyDescent="0.25">
      <c r="E146" t="s">
        <v>53</v>
      </c>
      <c r="F146">
        <f>0.25*-72</f>
        <v>-18</v>
      </c>
      <c r="K146" t="s">
        <v>53</v>
      </c>
      <c r="L146">
        <v>18</v>
      </c>
    </row>
    <row r="147" spans="2:16" x14ac:dyDescent="0.25">
      <c r="B147" t="s">
        <v>47</v>
      </c>
      <c r="E147" t="s">
        <v>54</v>
      </c>
      <c r="F147">
        <v>1</v>
      </c>
      <c r="K147" t="s">
        <v>54</v>
      </c>
      <c r="L147">
        <v>0</v>
      </c>
    </row>
    <row r="148" spans="2:16" x14ac:dyDescent="0.25">
      <c r="C148">
        <f>C135+($F$146*E135)</f>
        <v>1.25</v>
      </c>
      <c r="J148">
        <v>1</v>
      </c>
      <c r="K148" s="2"/>
      <c r="L148" s="2"/>
      <c r="M148" s="2"/>
      <c r="N148" s="2"/>
      <c r="O148" s="2"/>
      <c r="P148" s="2"/>
    </row>
    <row r="149" spans="2:16" x14ac:dyDescent="0.25">
      <c r="C149">
        <f t="shared" ref="C149:C150" si="9">C136+($F$146*E136)</f>
        <v>4</v>
      </c>
      <c r="J149">
        <v>4</v>
      </c>
    </row>
    <row r="150" spans="2:16" x14ac:dyDescent="0.25">
      <c r="C150">
        <f t="shared" si="9"/>
        <v>0.25</v>
      </c>
      <c r="J150">
        <v>0</v>
      </c>
    </row>
    <row r="152" spans="2:16" x14ac:dyDescent="0.25">
      <c r="C152">
        <f>C141+E141</f>
        <v>1.25</v>
      </c>
      <c r="J152">
        <v>1</v>
      </c>
    </row>
    <row r="153" spans="2:16" x14ac:dyDescent="0.25">
      <c r="C153">
        <f t="shared" ref="C153:C154" si="10">C142+E142</f>
        <v>4</v>
      </c>
      <c r="J153">
        <v>4</v>
      </c>
    </row>
    <row r="154" spans="2:16" x14ac:dyDescent="0.25">
      <c r="C154">
        <f t="shared" si="10"/>
        <v>0.25</v>
      </c>
      <c r="J154">
        <v>0</v>
      </c>
    </row>
    <row r="159" spans="2:16" x14ac:dyDescent="0.25">
      <c r="B159" t="s">
        <v>58</v>
      </c>
    </row>
    <row r="161" spans="2:7" x14ac:dyDescent="0.25">
      <c r="B161" s="4" t="s">
        <v>62</v>
      </c>
      <c r="D161" t="s">
        <v>53</v>
      </c>
      <c r="E161">
        <v>1</v>
      </c>
    </row>
    <row r="162" spans="2:7" x14ac:dyDescent="0.25">
      <c r="D162" t="s">
        <v>54</v>
      </c>
      <c r="E162">
        <v>-2</v>
      </c>
    </row>
    <row r="163" spans="2:7" x14ac:dyDescent="0.25">
      <c r="B163" s="4" t="s">
        <v>63</v>
      </c>
      <c r="D163" t="s">
        <v>59</v>
      </c>
      <c r="E163">
        <v>1</v>
      </c>
    </row>
    <row r="164" spans="2:7" x14ac:dyDescent="0.25">
      <c r="D164" t="s">
        <v>60</v>
      </c>
      <c r="E164">
        <v>0</v>
      </c>
    </row>
    <row r="166" spans="2:7" x14ac:dyDescent="0.25">
      <c r="D166" s="4" t="s">
        <v>61</v>
      </c>
      <c r="E166" s="4">
        <f>1/3</f>
        <v>0.33333333333333331</v>
      </c>
    </row>
    <row r="167" spans="2:7" x14ac:dyDescent="0.25">
      <c r="D167" t="s">
        <v>11</v>
      </c>
      <c r="E167">
        <f>(E166^3)-(2*(E166^2))+E166</f>
        <v>0.14814814814814814</v>
      </c>
    </row>
    <row r="170" spans="2:7" x14ac:dyDescent="0.25">
      <c r="B170" s="3" t="s">
        <v>64</v>
      </c>
    </row>
    <row r="172" spans="2:7" x14ac:dyDescent="0.25">
      <c r="B172" t="s">
        <v>67</v>
      </c>
    </row>
    <row r="174" spans="2:7" x14ac:dyDescent="0.25">
      <c r="C174">
        <f>((1-$E$166)*L128)+(N128*$E$166)</f>
        <v>-0.16666666666666669</v>
      </c>
      <c r="E174">
        <f>SQRT(C174^2+C175^2+C176^2)</f>
        <v>0.47847096703108666</v>
      </c>
      <c r="G174">
        <f>C174/$E$174</f>
        <v>-0.34833182815842245</v>
      </c>
    </row>
    <row r="175" spans="2:7" x14ac:dyDescent="0.25">
      <c r="C175">
        <f>((1-$E$166)*L129)+(N129*$E$166)</f>
        <v>0.44513673220832284</v>
      </c>
      <c r="G175">
        <f>C175/$E$174</f>
        <v>0.9303317502635472</v>
      </c>
    </row>
    <row r="176" spans="2:7" x14ac:dyDescent="0.25">
      <c r="C176">
        <f>((1-$E$166)*L130)+(N130*$E$166)</f>
        <v>-5.4863267791677203E-2</v>
      </c>
      <c r="G176">
        <f>C176/$E$174</f>
        <v>-0.11466373421172009</v>
      </c>
    </row>
    <row r="178" spans="2:7" x14ac:dyDescent="0.25">
      <c r="C178" s="4" t="s">
        <v>70</v>
      </c>
      <c r="E178" s="4" t="s">
        <v>71</v>
      </c>
    </row>
    <row r="179" spans="2:7" x14ac:dyDescent="0.25">
      <c r="B179" t="s">
        <v>65</v>
      </c>
      <c r="C179">
        <f>B3+($E$166*E120)+(G174*$E$167)</f>
        <v>1.1150619513839375</v>
      </c>
      <c r="E179">
        <f>B5+((1-$E$166)*(B3-B5))+($E$167*G174)</f>
        <v>1.1150619513839373</v>
      </c>
      <c r="G179" t="b">
        <f>IF(C179=E179,TRUE,FALSE)</f>
        <v>1</v>
      </c>
    </row>
    <row r="180" spans="2:7" x14ac:dyDescent="0.25">
      <c r="B180" t="s">
        <v>11</v>
      </c>
      <c r="C180">
        <f>C3+($E$166*E121)+(G175*$E$167)</f>
        <v>3.9711602592983035</v>
      </c>
      <c r="E180">
        <f>C5+((1-$E$166)*(C3-C5))+($E$167*G175)</f>
        <v>3.9711602592983035</v>
      </c>
      <c r="G180" t="b">
        <f t="shared" ref="G180:G181" si="11">IF(C180=E180,TRUE,FALSE)</f>
        <v>1</v>
      </c>
    </row>
    <row r="181" spans="2:7" x14ac:dyDescent="0.25">
      <c r="B181" t="s">
        <v>66</v>
      </c>
      <c r="C181">
        <f>D3+($E$166*E122)+(G176*$E$167)</f>
        <v>0.14967944678344886</v>
      </c>
      <c r="E181">
        <f>D5+((1-$E$166)*(D3-D5))+($E$167*G176)</f>
        <v>0.14967944678344886</v>
      </c>
      <c r="G181" t="b">
        <f t="shared" si="11"/>
        <v>1</v>
      </c>
    </row>
    <row r="182" spans="2:7" x14ac:dyDescent="0.25">
      <c r="C182" s="10"/>
      <c r="D182" s="10"/>
      <c r="E182" s="10"/>
    </row>
    <row r="183" spans="2:7" x14ac:dyDescent="0.25">
      <c r="C183">
        <f>C179</f>
        <v>1.1150619513839375</v>
      </c>
    </row>
    <row r="184" spans="2:7" x14ac:dyDescent="0.25">
      <c r="B184" t="s">
        <v>72</v>
      </c>
      <c r="C184">
        <f t="shared" ref="C184:C185" si="12">C180</f>
        <v>3.9711602592983035</v>
      </c>
    </row>
    <row r="185" spans="2:7" x14ac:dyDescent="0.25">
      <c r="C185">
        <f t="shared" si="12"/>
        <v>0.14967944678344886</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0"/>
  <sheetViews>
    <sheetView topLeftCell="A147" zoomScale="70" zoomScaleNormal="70" workbookViewId="0">
      <selection activeCell="K178" sqref="K178:K180"/>
    </sheetView>
  </sheetViews>
  <sheetFormatPr baseColWidth="10" defaultRowHeight="15" x14ac:dyDescent="0.25"/>
  <cols>
    <col min="2" max="2" width="20.42578125" customWidth="1"/>
    <col min="3" max="8" width="17.7109375" customWidth="1"/>
    <col min="12" max="15" width="18.5703125" customWidth="1"/>
  </cols>
  <sheetData>
    <row r="1" spans="1:13" s="12" customFormat="1" x14ac:dyDescent="0.25">
      <c r="B1" s="13" t="s">
        <v>74</v>
      </c>
      <c r="C1" s="13"/>
    </row>
    <row r="3" spans="1:13" s="14" customFormat="1" x14ac:dyDescent="0.25">
      <c r="B3" s="15" t="s">
        <v>115</v>
      </c>
    </row>
    <row r="4" spans="1:13" s="14" customFormat="1" x14ac:dyDescent="0.25">
      <c r="B4" s="15"/>
      <c r="C4" s="14" t="s">
        <v>116</v>
      </c>
      <c r="D4" s="14" t="s">
        <v>117</v>
      </c>
      <c r="E4" s="14" t="s">
        <v>118</v>
      </c>
      <c r="F4" s="14" t="s">
        <v>119</v>
      </c>
      <c r="G4" s="14" t="s">
        <v>120</v>
      </c>
      <c r="H4" s="14" t="s">
        <v>121</v>
      </c>
      <c r="I4" s="14" t="s">
        <v>122</v>
      </c>
      <c r="J4" s="14" t="s">
        <v>123</v>
      </c>
      <c r="K4" s="14" t="s">
        <v>124</v>
      </c>
      <c r="L4" s="14" t="s">
        <v>125</v>
      </c>
      <c r="M4" s="14" t="s">
        <v>126</v>
      </c>
    </row>
    <row r="5" spans="1:13" x14ac:dyDescent="0.25">
      <c r="B5" s="3" t="s">
        <v>73</v>
      </c>
      <c r="C5" s="3" t="s">
        <v>4</v>
      </c>
      <c r="D5" s="3" t="s">
        <v>5</v>
      </c>
      <c r="E5" s="3" t="s">
        <v>6</v>
      </c>
      <c r="F5" s="3" t="s">
        <v>7</v>
      </c>
      <c r="G5" s="3" t="s">
        <v>8</v>
      </c>
      <c r="H5" s="3" t="s">
        <v>9</v>
      </c>
      <c r="I5" s="3" t="s">
        <v>75</v>
      </c>
      <c r="J5" s="3" t="s">
        <v>127</v>
      </c>
      <c r="K5" s="3" t="s">
        <v>128</v>
      </c>
      <c r="L5" s="3" t="s">
        <v>129</v>
      </c>
      <c r="M5" s="3" t="s">
        <v>130</v>
      </c>
    </row>
    <row r="6" spans="1:13" x14ac:dyDescent="0.25">
      <c r="B6" s="16" t="s">
        <v>0</v>
      </c>
      <c r="C6" s="11">
        <v>1.23</v>
      </c>
      <c r="D6" s="11">
        <v>0.31</v>
      </c>
      <c r="E6">
        <v>2.87</v>
      </c>
      <c r="F6">
        <v>0</v>
      </c>
      <c r="G6">
        <v>5</v>
      </c>
      <c r="H6">
        <v>0</v>
      </c>
      <c r="I6">
        <v>1.95</v>
      </c>
      <c r="J6">
        <v>3.92</v>
      </c>
      <c r="K6">
        <v>2.5299999999999998</v>
      </c>
      <c r="L6">
        <v>4.4000000000000004</v>
      </c>
      <c r="M6">
        <v>0.45</v>
      </c>
    </row>
    <row r="7" spans="1:13" x14ac:dyDescent="0.25">
      <c r="B7" s="16" t="s">
        <v>1</v>
      </c>
      <c r="C7" s="11">
        <v>2.62</v>
      </c>
      <c r="D7" s="11">
        <v>3.69</v>
      </c>
      <c r="E7">
        <v>2.74</v>
      </c>
      <c r="F7">
        <v>5</v>
      </c>
      <c r="G7">
        <v>0</v>
      </c>
      <c r="H7">
        <v>0</v>
      </c>
      <c r="I7">
        <v>4.3</v>
      </c>
      <c r="J7">
        <v>2.94</v>
      </c>
      <c r="K7">
        <v>0.94</v>
      </c>
      <c r="L7">
        <v>1.54</v>
      </c>
      <c r="M7">
        <v>1.23</v>
      </c>
    </row>
    <row r="8" spans="1:13" x14ac:dyDescent="0.25">
      <c r="B8" s="16" t="s">
        <v>2</v>
      </c>
      <c r="C8" s="11">
        <v>4.08</v>
      </c>
      <c r="D8" s="11">
        <v>3.36</v>
      </c>
      <c r="E8">
        <v>3.04</v>
      </c>
      <c r="F8">
        <v>0</v>
      </c>
      <c r="G8">
        <v>0</v>
      </c>
      <c r="H8">
        <v>5</v>
      </c>
      <c r="I8">
        <v>1.65</v>
      </c>
      <c r="J8">
        <v>0.98</v>
      </c>
      <c r="K8">
        <v>4.21</v>
      </c>
      <c r="L8">
        <v>1.82</v>
      </c>
      <c r="M8">
        <v>4.83</v>
      </c>
    </row>
    <row r="9" spans="1:13" x14ac:dyDescent="0.25">
      <c r="B9" s="2"/>
      <c r="C9" s="2"/>
      <c r="D9" s="2"/>
      <c r="E9" s="2"/>
    </row>
    <row r="10" spans="1:13" x14ac:dyDescent="0.25">
      <c r="B10" s="2"/>
      <c r="C10" s="2"/>
      <c r="D10" s="2"/>
      <c r="E10" s="2"/>
    </row>
    <row r="11" spans="1:13" s="14" customFormat="1" x14ac:dyDescent="0.25">
      <c r="B11" s="15" t="s">
        <v>76</v>
      </c>
    </row>
    <row r="12" spans="1:13" x14ac:dyDescent="0.25">
      <c r="B12" s="2"/>
      <c r="C12" s="2"/>
      <c r="D12" s="2"/>
      <c r="E12" s="2"/>
    </row>
    <row r="13" spans="1:13" x14ac:dyDescent="0.25">
      <c r="B13" s="5" t="s">
        <v>77</v>
      </c>
      <c r="C13" s="2"/>
      <c r="D13" s="2"/>
      <c r="E13" s="2"/>
    </row>
    <row r="14" spans="1:13" x14ac:dyDescent="0.25">
      <c r="A14">
        <v>1</v>
      </c>
      <c r="B14" s="17" t="s">
        <v>139</v>
      </c>
      <c r="C14" s="2"/>
      <c r="D14" s="2"/>
      <c r="E14" s="2"/>
    </row>
    <row r="15" spans="1:13" x14ac:dyDescent="0.25">
      <c r="A15">
        <v>2</v>
      </c>
      <c r="B15" s="17" t="s">
        <v>79</v>
      </c>
      <c r="C15" s="2"/>
      <c r="D15" s="2"/>
      <c r="E15" s="2"/>
    </row>
    <row r="16" spans="1:13" x14ac:dyDescent="0.25">
      <c r="A16">
        <v>3</v>
      </c>
      <c r="B16" s="17" t="s">
        <v>140</v>
      </c>
      <c r="C16" s="2"/>
      <c r="D16" s="2"/>
      <c r="E16" s="2"/>
    </row>
    <row r="17" spans="1:8" x14ac:dyDescent="0.25">
      <c r="A17">
        <v>4</v>
      </c>
      <c r="B17" s="17" t="s">
        <v>141</v>
      </c>
      <c r="C17" s="2"/>
      <c r="D17" s="2"/>
      <c r="E17" s="2"/>
    </row>
    <row r="18" spans="1:8" x14ac:dyDescent="0.25">
      <c r="A18">
        <v>5</v>
      </c>
      <c r="B18" s="17" t="s">
        <v>142</v>
      </c>
    </row>
    <row r="19" spans="1:8" x14ac:dyDescent="0.25">
      <c r="A19">
        <v>6</v>
      </c>
      <c r="B19" s="17" t="s">
        <v>143</v>
      </c>
    </row>
    <row r="20" spans="1:8" x14ac:dyDescent="0.25">
      <c r="A20">
        <v>7</v>
      </c>
      <c r="B20" s="17" t="s">
        <v>135</v>
      </c>
    </row>
    <row r="21" spans="1:8" x14ac:dyDescent="0.25">
      <c r="A21">
        <v>8</v>
      </c>
      <c r="B21" s="17" t="s">
        <v>144</v>
      </c>
    </row>
    <row r="22" spans="1:8" x14ac:dyDescent="0.25">
      <c r="A22">
        <v>9</v>
      </c>
      <c r="B22" s="17" t="s">
        <v>137</v>
      </c>
    </row>
    <row r="23" spans="1:8" x14ac:dyDescent="0.25">
      <c r="A23">
        <v>10</v>
      </c>
      <c r="B23" s="17" t="s">
        <v>138</v>
      </c>
    </row>
    <row r="24" spans="1:8" x14ac:dyDescent="0.25">
      <c r="B24" s="17"/>
    </row>
    <row r="25" spans="1:8" s="14" customFormat="1" x14ac:dyDescent="0.25">
      <c r="B25" s="15" t="s">
        <v>80</v>
      </c>
    </row>
    <row r="27" spans="1:8" x14ac:dyDescent="0.25">
      <c r="B27" s="63" t="s">
        <v>81</v>
      </c>
      <c r="C27" s="64"/>
      <c r="D27" s="34" t="s">
        <v>82</v>
      </c>
      <c r="E27" s="34"/>
      <c r="F27" s="34" t="s">
        <v>83</v>
      </c>
      <c r="G27" s="34"/>
      <c r="H27" s="35" t="s">
        <v>84</v>
      </c>
    </row>
    <row r="28" spans="1:8" x14ac:dyDescent="0.25">
      <c r="B28" s="54" t="s">
        <v>139</v>
      </c>
      <c r="C28" s="57" t="s">
        <v>11</v>
      </c>
      <c r="D28" s="18">
        <f>C6</f>
        <v>1.23</v>
      </c>
      <c r="E28" s="60" t="s">
        <v>13</v>
      </c>
      <c r="F28" s="40">
        <f>E6-C6</f>
        <v>1.6400000000000001</v>
      </c>
      <c r="G28" s="60" t="s">
        <v>12</v>
      </c>
      <c r="H28" s="40">
        <f>D6-C6</f>
        <v>-0.91999999999999993</v>
      </c>
    </row>
    <row r="29" spans="1:8" x14ac:dyDescent="0.25">
      <c r="A29">
        <v>1</v>
      </c>
      <c r="B29" s="55"/>
      <c r="C29" s="58"/>
      <c r="D29" s="19">
        <f>C7</f>
        <v>2.62</v>
      </c>
      <c r="E29" s="61"/>
      <c r="F29" s="41">
        <f t="shared" ref="F29:F30" si="0">E7-C7</f>
        <v>0.12000000000000011</v>
      </c>
      <c r="G29" s="61"/>
      <c r="H29" s="41">
        <f t="shared" ref="H29:H30" si="1">D7-C7</f>
        <v>1.0699999999999998</v>
      </c>
    </row>
    <row r="30" spans="1:8" x14ac:dyDescent="0.25">
      <c r="B30" s="56"/>
      <c r="C30" s="59"/>
      <c r="D30" s="20">
        <f>C8</f>
        <v>4.08</v>
      </c>
      <c r="E30" s="62"/>
      <c r="F30" s="42">
        <f t="shared" si="0"/>
        <v>-1.04</v>
      </c>
      <c r="G30" s="62"/>
      <c r="H30" s="42">
        <f t="shared" si="1"/>
        <v>-0.7200000000000002</v>
      </c>
    </row>
    <row r="31" spans="1:8" x14ac:dyDescent="0.25">
      <c r="B31" s="54" t="s">
        <v>79</v>
      </c>
      <c r="C31" s="57" t="s">
        <v>11</v>
      </c>
      <c r="D31" s="40">
        <f>D6</f>
        <v>0.31</v>
      </c>
      <c r="E31" s="60" t="s">
        <v>13</v>
      </c>
      <c r="F31" s="40">
        <f>E6-D6</f>
        <v>2.56</v>
      </c>
      <c r="G31" s="60" t="s">
        <v>12</v>
      </c>
      <c r="H31" s="40">
        <f>I6-D6</f>
        <v>1.64</v>
      </c>
    </row>
    <row r="32" spans="1:8" x14ac:dyDescent="0.25">
      <c r="A32">
        <v>2</v>
      </c>
      <c r="B32" s="55"/>
      <c r="C32" s="58"/>
      <c r="D32" s="41">
        <f t="shared" ref="D32:D33" si="2">D7</f>
        <v>3.69</v>
      </c>
      <c r="E32" s="61"/>
      <c r="F32" s="41">
        <f t="shared" ref="F32:F33" si="3">E7-D7</f>
        <v>-0.94999999999999973</v>
      </c>
      <c r="G32" s="61"/>
      <c r="H32" s="41">
        <f t="shared" ref="H32:H33" si="4">I7-D7</f>
        <v>0.60999999999999988</v>
      </c>
    </row>
    <row r="33" spans="1:8" x14ac:dyDescent="0.25">
      <c r="B33" s="56"/>
      <c r="C33" s="59"/>
      <c r="D33" s="42">
        <f t="shared" si="2"/>
        <v>3.36</v>
      </c>
      <c r="E33" s="62"/>
      <c r="F33" s="42">
        <f t="shared" si="3"/>
        <v>-0.31999999999999984</v>
      </c>
      <c r="G33" s="62"/>
      <c r="H33" s="42">
        <f t="shared" si="4"/>
        <v>-1.71</v>
      </c>
    </row>
    <row r="34" spans="1:8" x14ac:dyDescent="0.25">
      <c r="B34" s="54" t="s">
        <v>140</v>
      </c>
      <c r="C34" s="57" t="s">
        <v>11</v>
      </c>
      <c r="D34" s="40">
        <f>D6</f>
        <v>0.31</v>
      </c>
      <c r="E34" s="60" t="s">
        <v>13</v>
      </c>
      <c r="F34" s="40">
        <f>I6-D6</f>
        <v>1.64</v>
      </c>
      <c r="G34" s="60" t="s">
        <v>12</v>
      </c>
      <c r="H34" s="40">
        <f>F6-D6</f>
        <v>-0.31</v>
      </c>
    </row>
    <row r="35" spans="1:8" x14ac:dyDescent="0.25">
      <c r="A35">
        <v>3</v>
      </c>
      <c r="B35" s="55"/>
      <c r="C35" s="58"/>
      <c r="D35" s="41">
        <f t="shared" ref="D35:D36" si="5">D7</f>
        <v>3.69</v>
      </c>
      <c r="E35" s="61"/>
      <c r="F35" s="41">
        <f t="shared" ref="F35:F36" si="6">I7-D7</f>
        <v>0.60999999999999988</v>
      </c>
      <c r="G35" s="61"/>
      <c r="H35" s="41">
        <f t="shared" ref="H35:H36" si="7">F7-D7</f>
        <v>1.31</v>
      </c>
    </row>
    <row r="36" spans="1:8" x14ac:dyDescent="0.25">
      <c r="B36" s="56"/>
      <c r="C36" s="59"/>
      <c r="D36" s="42">
        <f t="shared" si="5"/>
        <v>3.36</v>
      </c>
      <c r="E36" s="62"/>
      <c r="F36" s="42">
        <f t="shared" si="6"/>
        <v>-1.71</v>
      </c>
      <c r="G36" s="62"/>
      <c r="H36" s="42">
        <f t="shared" si="7"/>
        <v>-3.36</v>
      </c>
    </row>
    <row r="37" spans="1:8" x14ac:dyDescent="0.25">
      <c r="B37" s="54" t="s">
        <v>141</v>
      </c>
      <c r="C37" s="57" t="s">
        <v>11</v>
      </c>
      <c r="D37" s="40">
        <f>E6</f>
        <v>2.87</v>
      </c>
      <c r="E37" s="60" t="s">
        <v>13</v>
      </c>
      <c r="F37" s="40">
        <f>J6-E6</f>
        <v>1.0499999999999998</v>
      </c>
      <c r="G37" s="60" t="s">
        <v>12</v>
      </c>
      <c r="H37" s="40">
        <f>I6-E6</f>
        <v>-0.92000000000000015</v>
      </c>
    </row>
    <row r="38" spans="1:8" x14ac:dyDescent="0.25">
      <c r="A38">
        <v>4</v>
      </c>
      <c r="B38" s="55"/>
      <c r="C38" s="58"/>
      <c r="D38" s="41">
        <f t="shared" ref="D38:D39" si="8">E7</f>
        <v>2.74</v>
      </c>
      <c r="E38" s="61"/>
      <c r="F38" s="41">
        <f t="shared" ref="F38:F39" si="9">J7-E7</f>
        <v>0.19999999999999973</v>
      </c>
      <c r="G38" s="61"/>
      <c r="H38" s="41">
        <f t="shared" ref="H38:H39" si="10">I7-E7</f>
        <v>1.5599999999999996</v>
      </c>
    </row>
    <row r="39" spans="1:8" x14ac:dyDescent="0.25">
      <c r="B39" s="56"/>
      <c r="C39" s="59"/>
      <c r="D39" s="42">
        <f t="shared" si="8"/>
        <v>3.04</v>
      </c>
      <c r="E39" s="62"/>
      <c r="F39" s="42">
        <f t="shared" si="9"/>
        <v>-2.06</v>
      </c>
      <c r="G39" s="62"/>
      <c r="H39" s="42">
        <f t="shared" si="10"/>
        <v>-1.3900000000000001</v>
      </c>
    </row>
    <row r="40" spans="1:8" x14ac:dyDescent="0.25">
      <c r="B40" s="54" t="s">
        <v>142</v>
      </c>
      <c r="C40" s="57" t="s">
        <v>11</v>
      </c>
      <c r="D40" s="40">
        <f>E6</f>
        <v>2.87</v>
      </c>
      <c r="E40" s="60" t="s">
        <v>13</v>
      </c>
      <c r="F40" s="40">
        <f>L6-E6</f>
        <v>1.5300000000000002</v>
      </c>
      <c r="G40" s="60" t="s">
        <v>12</v>
      </c>
      <c r="H40" s="40">
        <f>J6-E6</f>
        <v>1.0499999999999998</v>
      </c>
    </row>
    <row r="41" spans="1:8" x14ac:dyDescent="0.25">
      <c r="A41">
        <v>5</v>
      </c>
      <c r="B41" s="55"/>
      <c r="C41" s="58"/>
      <c r="D41" s="41">
        <f t="shared" ref="D41:D42" si="11">E7</f>
        <v>2.74</v>
      </c>
      <c r="E41" s="61"/>
      <c r="F41" s="41">
        <f>L7-E7</f>
        <v>-1.2000000000000002</v>
      </c>
      <c r="G41" s="61"/>
      <c r="H41" s="41">
        <f t="shared" ref="H41:H42" si="12">J7-E7</f>
        <v>0.19999999999999973</v>
      </c>
    </row>
    <row r="42" spans="1:8" x14ac:dyDescent="0.25">
      <c r="B42" s="56"/>
      <c r="C42" s="59"/>
      <c r="D42" s="42">
        <f t="shared" si="11"/>
        <v>3.04</v>
      </c>
      <c r="E42" s="62"/>
      <c r="F42" s="42">
        <f>L8-E8</f>
        <v>-1.22</v>
      </c>
      <c r="G42" s="62"/>
      <c r="H42" s="42">
        <f t="shared" si="12"/>
        <v>-2.06</v>
      </c>
    </row>
    <row r="43" spans="1:8" x14ac:dyDescent="0.25">
      <c r="B43" s="54" t="s">
        <v>143</v>
      </c>
      <c r="C43" s="57" t="s">
        <v>11</v>
      </c>
      <c r="D43" s="40">
        <f>C6</f>
        <v>1.23</v>
      </c>
      <c r="E43" s="60" t="s">
        <v>13</v>
      </c>
      <c r="F43" s="40">
        <f>K6-C6</f>
        <v>1.2999999999999998</v>
      </c>
      <c r="G43" s="60" t="s">
        <v>12</v>
      </c>
      <c r="H43" s="40">
        <f>E6-C6</f>
        <v>1.6400000000000001</v>
      </c>
    </row>
    <row r="44" spans="1:8" x14ac:dyDescent="0.25">
      <c r="A44">
        <v>6</v>
      </c>
      <c r="B44" s="55"/>
      <c r="C44" s="58"/>
      <c r="D44" s="41">
        <f t="shared" ref="D44:D45" si="13">C7</f>
        <v>2.62</v>
      </c>
      <c r="E44" s="61"/>
      <c r="F44" s="41">
        <f t="shared" ref="F44:F45" si="14">K7-C7</f>
        <v>-1.6800000000000002</v>
      </c>
      <c r="G44" s="61"/>
      <c r="H44" s="41">
        <f t="shared" ref="H44:H45" si="15">E7-C7</f>
        <v>0.12000000000000011</v>
      </c>
    </row>
    <row r="45" spans="1:8" x14ac:dyDescent="0.25">
      <c r="B45" s="56"/>
      <c r="C45" s="59"/>
      <c r="D45" s="42">
        <f t="shared" si="13"/>
        <v>4.08</v>
      </c>
      <c r="E45" s="62"/>
      <c r="F45" s="42">
        <f t="shared" si="14"/>
        <v>0.12999999999999989</v>
      </c>
      <c r="G45" s="62"/>
      <c r="H45" s="42">
        <f t="shared" si="15"/>
        <v>-1.04</v>
      </c>
    </row>
    <row r="46" spans="1:8" x14ac:dyDescent="0.25">
      <c r="B46" s="54" t="s">
        <v>135</v>
      </c>
      <c r="C46" s="57" t="s">
        <v>11</v>
      </c>
      <c r="D46" s="40">
        <f>E6</f>
        <v>2.87</v>
      </c>
      <c r="E46" s="60" t="s">
        <v>13</v>
      </c>
      <c r="F46" s="40">
        <f>K6-E6</f>
        <v>-0.3400000000000003</v>
      </c>
      <c r="G46" s="60" t="s">
        <v>12</v>
      </c>
      <c r="H46" s="40">
        <f>L6-E6</f>
        <v>1.5300000000000002</v>
      </c>
    </row>
    <row r="47" spans="1:8" x14ac:dyDescent="0.25">
      <c r="A47">
        <v>7</v>
      </c>
      <c r="B47" s="55"/>
      <c r="C47" s="58"/>
      <c r="D47" s="41">
        <f t="shared" ref="D47:D48" si="16">E7</f>
        <v>2.74</v>
      </c>
      <c r="E47" s="61"/>
      <c r="F47" s="41">
        <f t="shared" ref="F47:F48" si="17">K7-E7</f>
        <v>-1.8000000000000003</v>
      </c>
      <c r="G47" s="61"/>
      <c r="H47" s="41">
        <f t="shared" ref="H47:H48" si="18">L7-E7</f>
        <v>-1.2000000000000002</v>
      </c>
    </row>
    <row r="48" spans="1:8" x14ac:dyDescent="0.25">
      <c r="B48" s="56"/>
      <c r="C48" s="59"/>
      <c r="D48" s="42">
        <f t="shared" si="16"/>
        <v>3.04</v>
      </c>
      <c r="E48" s="62"/>
      <c r="F48" s="42">
        <f t="shared" si="17"/>
        <v>1.17</v>
      </c>
      <c r="G48" s="62"/>
      <c r="H48" s="42">
        <f t="shared" si="18"/>
        <v>-1.22</v>
      </c>
    </row>
    <row r="49" spans="1:8" x14ac:dyDescent="0.25">
      <c r="B49" s="54" t="s">
        <v>144</v>
      </c>
      <c r="C49" s="57" t="s">
        <v>11</v>
      </c>
      <c r="D49" s="40">
        <f>C6</f>
        <v>1.23</v>
      </c>
      <c r="E49" s="60" t="s">
        <v>13</v>
      </c>
      <c r="F49" s="40">
        <f>M6-C6</f>
        <v>-0.78</v>
      </c>
      <c r="G49" s="60" t="s">
        <v>12</v>
      </c>
      <c r="H49" s="40">
        <f>K6-C6</f>
        <v>1.2999999999999998</v>
      </c>
    </row>
    <row r="50" spans="1:8" x14ac:dyDescent="0.25">
      <c r="A50">
        <v>8</v>
      </c>
      <c r="B50" s="55"/>
      <c r="C50" s="58"/>
      <c r="D50" s="41">
        <f t="shared" ref="D50:D51" si="19">C7</f>
        <v>2.62</v>
      </c>
      <c r="E50" s="61"/>
      <c r="F50" s="41">
        <f t="shared" ref="F50:F51" si="20">M7-C7</f>
        <v>-1.3900000000000001</v>
      </c>
      <c r="G50" s="61"/>
      <c r="H50" s="41">
        <f t="shared" ref="H50:H51" si="21">K7-C7</f>
        <v>-1.6800000000000002</v>
      </c>
    </row>
    <row r="51" spans="1:8" x14ac:dyDescent="0.25">
      <c r="B51" s="56"/>
      <c r="C51" s="59"/>
      <c r="D51" s="42">
        <f t="shared" si="19"/>
        <v>4.08</v>
      </c>
      <c r="E51" s="62"/>
      <c r="F51" s="42">
        <f t="shared" si="20"/>
        <v>0.75</v>
      </c>
      <c r="G51" s="62"/>
      <c r="H51" s="42">
        <f t="shared" si="21"/>
        <v>0.12999999999999989</v>
      </c>
    </row>
    <row r="52" spans="1:8" x14ac:dyDescent="0.25">
      <c r="B52" s="54" t="s">
        <v>137</v>
      </c>
      <c r="C52" s="57" t="s">
        <v>11</v>
      </c>
      <c r="D52" s="40">
        <f>C6</f>
        <v>1.23</v>
      </c>
      <c r="E52" s="60" t="s">
        <v>13</v>
      </c>
      <c r="F52" s="40">
        <f>D6-C6</f>
        <v>-0.91999999999999993</v>
      </c>
      <c r="G52" s="60" t="s">
        <v>12</v>
      </c>
      <c r="H52" s="40">
        <f>M6-C6</f>
        <v>-0.78</v>
      </c>
    </row>
    <row r="53" spans="1:8" x14ac:dyDescent="0.25">
      <c r="A53">
        <v>9</v>
      </c>
      <c r="B53" s="55"/>
      <c r="C53" s="58"/>
      <c r="D53" s="41">
        <f t="shared" ref="D53:D54" si="22">C7</f>
        <v>2.62</v>
      </c>
      <c r="E53" s="61"/>
      <c r="F53" s="41">
        <f t="shared" ref="F53:F54" si="23">D7-C7</f>
        <v>1.0699999999999998</v>
      </c>
      <c r="G53" s="61"/>
      <c r="H53" s="41">
        <f t="shared" ref="H53:H54" si="24">M7-C7</f>
        <v>-1.3900000000000001</v>
      </c>
    </row>
    <row r="54" spans="1:8" x14ac:dyDescent="0.25">
      <c r="B54" s="56"/>
      <c r="C54" s="59"/>
      <c r="D54" s="42">
        <f t="shared" si="22"/>
        <v>4.08</v>
      </c>
      <c r="E54" s="62"/>
      <c r="F54" s="42">
        <f t="shared" si="23"/>
        <v>-0.7200000000000002</v>
      </c>
      <c r="G54" s="62"/>
      <c r="H54" s="42">
        <f t="shared" si="24"/>
        <v>0.75</v>
      </c>
    </row>
    <row r="55" spans="1:8" x14ac:dyDescent="0.25">
      <c r="B55" s="54" t="s">
        <v>138</v>
      </c>
      <c r="C55" s="57" t="s">
        <v>11</v>
      </c>
      <c r="D55" s="40">
        <f>D6</f>
        <v>0.31</v>
      </c>
      <c r="E55" s="60" t="s">
        <v>13</v>
      </c>
      <c r="F55" s="40">
        <f>H6-D6</f>
        <v>-0.31</v>
      </c>
      <c r="G55" s="60" t="s">
        <v>12</v>
      </c>
      <c r="H55" s="40">
        <f>M6-D6</f>
        <v>0.14000000000000001</v>
      </c>
    </row>
    <row r="56" spans="1:8" x14ac:dyDescent="0.25">
      <c r="A56">
        <v>10</v>
      </c>
      <c r="B56" s="55"/>
      <c r="C56" s="58"/>
      <c r="D56" s="41">
        <f t="shared" ref="D56:D57" si="25">D7</f>
        <v>3.69</v>
      </c>
      <c r="E56" s="61"/>
      <c r="F56" s="41">
        <f t="shared" ref="F56:F57" si="26">H7-D7</f>
        <v>-3.69</v>
      </c>
      <c r="G56" s="61"/>
      <c r="H56" s="41">
        <f t="shared" ref="H56:H57" si="27">M7-D7</f>
        <v>-2.46</v>
      </c>
    </row>
    <row r="57" spans="1:8" x14ac:dyDescent="0.25">
      <c r="B57" s="56"/>
      <c r="C57" s="59"/>
      <c r="D57" s="42">
        <f t="shared" si="25"/>
        <v>3.36</v>
      </c>
      <c r="E57" s="62"/>
      <c r="F57" s="42">
        <f t="shared" si="26"/>
        <v>1.6400000000000001</v>
      </c>
      <c r="G57" s="62"/>
      <c r="H57" s="42">
        <f t="shared" si="27"/>
        <v>1.4700000000000002</v>
      </c>
    </row>
    <row r="58" spans="1:8" x14ac:dyDescent="0.25">
      <c r="B58" s="44"/>
      <c r="C58" s="45"/>
      <c r="D58" s="45"/>
      <c r="E58" s="46"/>
      <c r="F58" s="45"/>
      <c r="G58" s="46"/>
      <c r="H58" s="45"/>
    </row>
    <row r="59" spans="1:8" x14ac:dyDescent="0.25">
      <c r="B59" s="44"/>
      <c r="C59" s="45"/>
      <c r="D59" s="45"/>
      <c r="E59" s="46"/>
      <c r="F59" s="45"/>
      <c r="G59" s="46"/>
      <c r="H59" s="45"/>
    </row>
    <row r="60" spans="1:8" x14ac:dyDescent="0.25">
      <c r="B60" s="44"/>
      <c r="C60" s="45"/>
      <c r="D60" s="45"/>
      <c r="E60" s="46"/>
      <c r="F60" s="45"/>
      <c r="G60" s="46"/>
      <c r="H60" s="45"/>
    </row>
    <row r="61" spans="1:8" x14ac:dyDescent="0.25">
      <c r="B61" s="44"/>
      <c r="C61" s="45"/>
      <c r="D61" s="45"/>
      <c r="E61" s="46"/>
      <c r="F61" s="45"/>
      <c r="G61" s="46"/>
      <c r="H61" s="45"/>
    </row>
    <row r="62" spans="1:8" x14ac:dyDescent="0.25">
      <c r="B62" s="44"/>
      <c r="C62" s="45"/>
      <c r="D62" s="45"/>
      <c r="E62" s="46"/>
      <c r="F62" s="45"/>
      <c r="G62" s="46"/>
      <c r="H62" s="45"/>
    </row>
    <row r="63" spans="1:8" x14ac:dyDescent="0.25">
      <c r="B63" s="44"/>
      <c r="C63" s="45"/>
      <c r="D63" s="45"/>
      <c r="E63" s="46"/>
      <c r="F63" s="45"/>
      <c r="G63" s="46"/>
      <c r="H63" s="45"/>
    </row>
    <row r="64" spans="1:8" x14ac:dyDescent="0.25">
      <c r="B64" s="44"/>
      <c r="C64" s="45"/>
      <c r="D64" s="45"/>
      <c r="E64" s="46"/>
      <c r="F64" s="45"/>
      <c r="G64" s="46"/>
      <c r="H64" s="45"/>
    </row>
    <row r="65" spans="2:7" x14ac:dyDescent="0.25">
      <c r="D65" s="4"/>
      <c r="F65" s="4"/>
    </row>
    <row r="67" spans="2:7" s="14" customFormat="1" x14ac:dyDescent="0.25">
      <c r="B67" s="15" t="s">
        <v>18</v>
      </c>
    </row>
    <row r="69" spans="2:7" x14ac:dyDescent="0.25">
      <c r="B69" s="5" t="s">
        <v>77</v>
      </c>
    </row>
    <row r="70" spans="2:7" x14ac:dyDescent="0.25">
      <c r="B70" s="54" t="s">
        <v>78</v>
      </c>
      <c r="C70" s="22">
        <f>(F29*H30)-(F30*H29)</f>
        <v>1.0263999999999998</v>
      </c>
      <c r="D70" s="21"/>
      <c r="E70" s="21"/>
      <c r="F70" s="21"/>
      <c r="G70" s="21"/>
    </row>
    <row r="71" spans="2:7" x14ac:dyDescent="0.25">
      <c r="B71" s="55"/>
      <c r="C71" s="23">
        <f>(F30*H28)-(F28*H30)</f>
        <v>2.1376000000000004</v>
      </c>
      <c r="D71" s="21"/>
      <c r="E71" s="21"/>
      <c r="G71" s="21"/>
    </row>
    <row r="72" spans="2:7" x14ac:dyDescent="0.25">
      <c r="B72" s="56"/>
      <c r="C72" s="24">
        <f>(F28*H29)-(F29*H28)</f>
        <v>1.8652</v>
      </c>
      <c r="D72" s="21"/>
      <c r="E72" s="21"/>
      <c r="G72" s="21"/>
    </row>
    <row r="73" spans="2:7" x14ac:dyDescent="0.25">
      <c r="B73" s="54" t="s">
        <v>79</v>
      </c>
      <c r="C73" s="22">
        <f>(F32*H33)-(F33*H32)</f>
        <v>1.8196999999999994</v>
      </c>
      <c r="D73" s="21"/>
      <c r="E73" s="21"/>
      <c r="G73" s="21"/>
    </row>
    <row r="74" spans="2:7" x14ac:dyDescent="0.25">
      <c r="B74" s="55"/>
      <c r="C74" s="23">
        <f>(F33*H31)-(F31*H33)</f>
        <v>3.8528000000000002</v>
      </c>
      <c r="D74" s="21"/>
      <c r="E74" s="21"/>
      <c r="G74" s="21"/>
    </row>
    <row r="75" spans="2:7" x14ac:dyDescent="0.25">
      <c r="B75" s="56"/>
      <c r="C75" s="24">
        <f>(F31*H32)-(F32*H31)</f>
        <v>3.1195999999999993</v>
      </c>
      <c r="D75" s="21"/>
      <c r="E75" s="21"/>
      <c r="G75" s="21"/>
    </row>
    <row r="76" spans="2:7" x14ac:dyDescent="0.25">
      <c r="B76" s="54" t="s">
        <v>131</v>
      </c>
      <c r="C76" s="22">
        <f>(F35*H36)-(F36*H35)</f>
        <v>0.19050000000000056</v>
      </c>
      <c r="D76" s="21"/>
      <c r="E76" s="21"/>
      <c r="G76" s="21"/>
    </row>
    <row r="77" spans="2:7" x14ac:dyDescent="0.25">
      <c r="B77" s="55"/>
      <c r="C77" s="23">
        <f>(F36*H34)-(F34*H36)</f>
        <v>6.0404999999999998</v>
      </c>
      <c r="D77" s="21"/>
      <c r="E77" s="21"/>
      <c r="G77" s="21"/>
    </row>
    <row r="78" spans="2:7" x14ac:dyDescent="0.25">
      <c r="B78" s="56"/>
      <c r="C78" s="24">
        <f>(F34*H35)-(F35*H34)</f>
        <v>2.3374999999999999</v>
      </c>
      <c r="D78" s="21"/>
      <c r="E78" s="21"/>
      <c r="F78" s="21"/>
      <c r="G78" s="21"/>
    </row>
    <row r="79" spans="2:7" x14ac:dyDescent="0.25">
      <c r="B79" s="54" t="s">
        <v>132</v>
      </c>
      <c r="C79" s="22">
        <f>(F38*H39)-(F39*H38)</f>
        <v>2.9355999999999995</v>
      </c>
      <c r="D79" s="21"/>
      <c r="E79" s="21"/>
      <c r="F79" s="21"/>
      <c r="G79" s="21"/>
    </row>
    <row r="80" spans="2:7" x14ac:dyDescent="0.25">
      <c r="B80" s="55"/>
      <c r="C80" s="23">
        <f>(F39*H37)-(F37*H39)</f>
        <v>3.3547000000000002</v>
      </c>
      <c r="D80" s="21"/>
      <c r="E80" s="21"/>
      <c r="F80" s="21"/>
      <c r="G80" s="21"/>
    </row>
    <row r="81" spans="2:7" x14ac:dyDescent="0.25">
      <c r="B81" s="56"/>
      <c r="C81" s="24">
        <f>(F37*H38)-(F38*H37)</f>
        <v>1.821999999999999</v>
      </c>
      <c r="D81" s="21"/>
      <c r="E81" s="21"/>
      <c r="F81" s="21"/>
      <c r="G81" s="21"/>
    </row>
    <row r="82" spans="2:7" x14ac:dyDescent="0.25">
      <c r="B82" s="54" t="s">
        <v>133</v>
      </c>
      <c r="C82" s="22">
        <f>(F41*H42)-(F42*H41)</f>
        <v>2.7160000000000002</v>
      </c>
      <c r="D82" s="21"/>
      <c r="E82" s="21"/>
      <c r="F82" s="21"/>
      <c r="G82" s="21"/>
    </row>
    <row r="83" spans="2:7" x14ac:dyDescent="0.25">
      <c r="B83" s="55"/>
      <c r="C83" s="23">
        <f>(F42*H40)-(F40*H42)</f>
        <v>1.8708000000000009</v>
      </c>
      <c r="D83" s="21"/>
      <c r="E83" s="21"/>
      <c r="F83" s="21"/>
      <c r="G83" s="21"/>
    </row>
    <row r="84" spans="2:7" x14ac:dyDescent="0.25">
      <c r="B84" s="56"/>
      <c r="C84" s="24">
        <f>(F40*H41)-(F41*H40)</f>
        <v>1.5659999999999996</v>
      </c>
    </row>
    <row r="85" spans="2:7" x14ac:dyDescent="0.25">
      <c r="B85" s="54" t="s">
        <v>134</v>
      </c>
      <c r="C85" s="22">
        <f>(F44*H45)-(F45*H44)</f>
        <v>1.7316000000000003</v>
      </c>
    </row>
    <row r="86" spans="2:7" x14ac:dyDescent="0.25">
      <c r="B86" s="55"/>
      <c r="C86" s="23">
        <f>(F45*H43)-(F43*H45)</f>
        <v>1.5651999999999997</v>
      </c>
    </row>
    <row r="87" spans="2:7" x14ac:dyDescent="0.25">
      <c r="B87" s="56"/>
      <c r="C87" s="24">
        <f>(F43*H44)-(F44*H43)</f>
        <v>2.9112000000000005</v>
      </c>
    </row>
    <row r="88" spans="2:7" x14ac:dyDescent="0.25">
      <c r="B88" s="54" t="s">
        <v>135</v>
      </c>
      <c r="C88" s="22">
        <f>(F47*H48)-(F48*H47)</f>
        <v>3.6000000000000005</v>
      </c>
    </row>
    <row r="89" spans="2:7" x14ac:dyDescent="0.25">
      <c r="B89" s="55"/>
      <c r="C89" s="23">
        <f>(F48*H46)-(F46*H48)</f>
        <v>1.3753</v>
      </c>
    </row>
    <row r="90" spans="2:7" x14ac:dyDescent="0.25">
      <c r="B90" s="56"/>
      <c r="C90" s="24">
        <f>(F46*H47)-(F47*H46)</f>
        <v>3.1620000000000013</v>
      </c>
    </row>
    <row r="91" spans="2:7" x14ac:dyDescent="0.25">
      <c r="B91" s="54" t="s">
        <v>136</v>
      </c>
      <c r="C91" s="22">
        <f>(F50*H51)-(F51*H50)</f>
        <v>1.0793000000000004</v>
      </c>
    </row>
    <row r="92" spans="2:7" x14ac:dyDescent="0.25">
      <c r="B92" s="55"/>
      <c r="C92" s="23">
        <f>(F51*H49)-(F49*H51)</f>
        <v>1.0763999999999998</v>
      </c>
    </row>
    <row r="93" spans="2:7" x14ac:dyDescent="0.25">
      <c r="B93" s="56"/>
      <c r="C93" s="24">
        <f>(F49*H50)-(F50*H49)</f>
        <v>3.1173999999999999</v>
      </c>
    </row>
    <row r="94" spans="2:7" x14ac:dyDescent="0.25">
      <c r="B94" s="54" t="s">
        <v>137</v>
      </c>
      <c r="C94" s="22">
        <f>(F53*H54)-(F54*H53)</f>
        <v>-0.19830000000000048</v>
      </c>
    </row>
    <row r="95" spans="2:7" x14ac:dyDescent="0.25">
      <c r="B95" s="55"/>
      <c r="C95" s="23">
        <f>(F54*H52)-(F52*H54)</f>
        <v>1.2516000000000003</v>
      </c>
    </row>
    <row r="96" spans="2:7" x14ac:dyDescent="0.25">
      <c r="B96" s="56"/>
      <c r="C96" s="24">
        <f>(F52*H53)-(F53*H52)</f>
        <v>2.1133999999999999</v>
      </c>
    </row>
    <row r="97" spans="2:14" x14ac:dyDescent="0.25">
      <c r="B97" s="54" t="s">
        <v>138</v>
      </c>
      <c r="C97" s="22">
        <f>(F56*H57)-(F57*H56)</f>
        <v>-1.3898999999999999</v>
      </c>
    </row>
    <row r="98" spans="2:14" x14ac:dyDescent="0.25">
      <c r="B98" s="55"/>
      <c r="C98" s="23">
        <f>(F57*H55)-(F55*H57)</f>
        <v>0.68530000000000002</v>
      </c>
    </row>
    <row r="99" spans="2:14" x14ac:dyDescent="0.25">
      <c r="B99" s="56"/>
      <c r="C99" s="24">
        <f>(F55*H56)-(F56*H55)</f>
        <v>1.2791999999999999</v>
      </c>
    </row>
    <row r="100" spans="2:14" x14ac:dyDescent="0.25">
      <c r="B100" s="17"/>
    </row>
    <row r="101" spans="2:14" s="15" customFormat="1" x14ac:dyDescent="0.25">
      <c r="B101" s="15" t="s">
        <v>85</v>
      </c>
    </row>
    <row r="102" spans="2:14" x14ac:dyDescent="0.25">
      <c r="B102" s="17"/>
    </row>
    <row r="103" spans="2:14" x14ac:dyDescent="0.25">
      <c r="B103" t="s">
        <v>20</v>
      </c>
    </row>
    <row r="104" spans="2:14" x14ac:dyDescent="0.25">
      <c r="B104" t="s">
        <v>21</v>
      </c>
    </row>
    <row r="106" spans="2:14" x14ac:dyDescent="0.25">
      <c r="B106" t="s">
        <v>86</v>
      </c>
      <c r="H106" t="s">
        <v>87</v>
      </c>
      <c r="N106" t="s">
        <v>88</v>
      </c>
    </row>
    <row r="109" spans="2:14" x14ac:dyDescent="0.25">
      <c r="B109" s="3" t="s">
        <v>26</v>
      </c>
      <c r="C109" s="3" t="s">
        <v>27</v>
      </c>
      <c r="D109" s="3" t="s">
        <v>28</v>
      </c>
      <c r="F109" s="6">
        <f>B110+C118</f>
        <v>2.1397499999999998</v>
      </c>
      <c r="G109" s="6">
        <f>C110+D6</f>
        <v>0.59967999999999977</v>
      </c>
    </row>
    <row r="110" spans="2:14" x14ac:dyDescent="0.25">
      <c r="B110" s="6">
        <f>SUM(C70,C85,C91,C94)/COUNT(C70,C85,C91,C94)</f>
        <v>0.90974999999999995</v>
      </c>
      <c r="C110" s="6">
        <f>SUM(C70,C73,C76,C94,C97)/COUNT(C70,C73,C76,C94,C97)</f>
        <v>0.28967999999999983</v>
      </c>
      <c r="D110" s="6">
        <f>SUM(C70,C73,C79,C82,C85,C88)/COUNT(C70,C73,C79,C82,C85,C88)</f>
        <v>2.3048833333333332</v>
      </c>
      <c r="F110" s="6">
        <f t="shared" ref="F110:F111" si="28">B111+C119</f>
        <v>4.1276999999999999</v>
      </c>
      <c r="G110" s="6">
        <f t="shared" ref="G110:G111" si="29">C111+D7</f>
        <v>6.4835600000000007</v>
      </c>
    </row>
    <row r="111" spans="2:14" x14ac:dyDescent="0.25">
      <c r="B111" s="6">
        <f t="shared" ref="B111:B112" si="30">SUM(C71,C86,C92,C95)/COUNT(C71,C86,C92,C95)</f>
        <v>1.5076999999999998</v>
      </c>
      <c r="C111" s="6">
        <f t="shared" ref="C111:C112" si="31">SUM(C71,C74,C77,C95,C98)/COUNT(C71,C74,C77,C95,C98)</f>
        <v>2.7935600000000003</v>
      </c>
      <c r="D111" s="6">
        <f t="shared" ref="D111:D112" si="32">SUM(C71,C74,C80,C83,C86,C89)/COUNT(C71,C74,C80,C83,C86,C89)</f>
        <v>2.3594000000000004</v>
      </c>
      <c r="F111" s="6">
        <f t="shared" si="28"/>
        <v>6.5818000000000003</v>
      </c>
      <c r="G111" s="6">
        <f t="shared" si="29"/>
        <v>5.5029799999999991</v>
      </c>
    </row>
    <row r="112" spans="2:14" x14ac:dyDescent="0.25">
      <c r="B112" s="6">
        <f t="shared" si="30"/>
        <v>2.5018000000000002</v>
      </c>
      <c r="C112" s="6">
        <f t="shared" si="31"/>
        <v>2.1429799999999997</v>
      </c>
      <c r="D112" s="6">
        <f t="shared" si="32"/>
        <v>2.4076666666666666</v>
      </c>
    </row>
    <row r="115" spans="2:21" s="14" customFormat="1" x14ac:dyDescent="0.25">
      <c r="B115" s="15" t="s">
        <v>48</v>
      </c>
    </row>
    <row r="117" spans="2:21" x14ac:dyDescent="0.25">
      <c r="B117" s="26" t="s">
        <v>29</v>
      </c>
      <c r="C117" s="27"/>
      <c r="D117" s="27"/>
      <c r="E117" s="27"/>
      <c r="F117" s="27"/>
      <c r="G117" s="25" t="s">
        <v>89</v>
      </c>
      <c r="H117" s="1"/>
      <c r="I117" s="1"/>
      <c r="J117" s="1"/>
      <c r="K117" s="1"/>
      <c r="L117" s="1"/>
      <c r="M117" s="15" t="s">
        <v>90</v>
      </c>
      <c r="N117" s="14"/>
      <c r="O117" s="14"/>
      <c r="P117" s="14"/>
      <c r="Q117" s="29" t="s">
        <v>91</v>
      </c>
      <c r="R117" s="30"/>
      <c r="S117" s="30"/>
      <c r="T117" s="30"/>
      <c r="U117" s="30"/>
    </row>
    <row r="118" spans="2:21" x14ac:dyDescent="0.25">
      <c r="B118" s="27"/>
      <c r="C118" s="27">
        <f>C6</f>
        <v>1.23</v>
      </c>
      <c r="D118" s="27"/>
      <c r="E118" s="27">
        <f>D6-C6</f>
        <v>-0.91999999999999993</v>
      </c>
      <c r="F118" s="27"/>
      <c r="G118" s="25" t="s">
        <v>31</v>
      </c>
      <c r="H118" s="1">
        <f>(E119*B112)-(B111*E120)</f>
        <v>3.76247</v>
      </c>
      <c r="I118" s="25" t="s">
        <v>32</v>
      </c>
      <c r="J118" s="1">
        <f>(E119*C112)-(C111*E120)</f>
        <v>4.3043518000000001</v>
      </c>
      <c r="K118" s="1"/>
      <c r="L118" s="1"/>
      <c r="M118" s="15" t="s">
        <v>34</v>
      </c>
      <c r="N118" s="14">
        <f>(H119*B112)-(B111*H120)</f>
        <v>7.678504671849999</v>
      </c>
      <c r="O118" s="15" t="s">
        <v>35</v>
      </c>
      <c r="P118" s="14">
        <f>(J119*C112)-(C111*J120)</f>
        <v>11.823558165327999</v>
      </c>
      <c r="Q118" s="29" t="s">
        <v>4</v>
      </c>
      <c r="R118" s="30">
        <f>(H119*E120)-(E119*H120)</f>
        <v>1.3401747349999993</v>
      </c>
      <c r="S118" s="30"/>
      <c r="T118" s="29" t="s">
        <v>5</v>
      </c>
      <c r="U118" s="30">
        <f>(J119*E120)-(E119*J120)</f>
        <v>1.8122952559999994</v>
      </c>
    </row>
    <row r="119" spans="2:21" x14ac:dyDescent="0.25">
      <c r="B119" s="27" t="s">
        <v>11</v>
      </c>
      <c r="C119" s="27">
        <f>C7</f>
        <v>2.62</v>
      </c>
      <c r="D119" s="28" t="s">
        <v>13</v>
      </c>
      <c r="E119" s="27">
        <f>D7-C7</f>
        <v>1.0699999999999998</v>
      </c>
      <c r="F119" s="27"/>
      <c r="G119" s="1"/>
      <c r="H119" s="1">
        <f>(E120*B110)-(B112*E118)</f>
        <v>1.6466359999999998</v>
      </c>
      <c r="I119" s="1"/>
      <c r="J119" s="1">
        <f>(E120*C110)-(C112*E118)</f>
        <v>1.7629719999999995</v>
      </c>
      <c r="K119" s="1"/>
      <c r="L119" s="1"/>
      <c r="M119" s="14"/>
      <c r="N119" s="14">
        <f>(H120*B110)-(B112*H118)</f>
        <v>-11.560427331875001</v>
      </c>
      <c r="O119" s="14"/>
      <c r="P119" s="14">
        <f>(J120*C110)-(C112*J118)</f>
        <v>-10.058427721867998</v>
      </c>
      <c r="Q119" s="30"/>
      <c r="R119" s="30">
        <f>(H120*E118)-(E120*H118)</f>
        <v>4.8806535800000006</v>
      </c>
      <c r="S119" s="30"/>
      <c r="T119" s="30"/>
      <c r="U119" s="30">
        <f>(J120*E118)-(E120*J118)</f>
        <v>5.7487634720000003</v>
      </c>
    </row>
    <row r="120" spans="2:21" x14ac:dyDescent="0.25">
      <c r="B120" s="27"/>
      <c r="C120" s="27">
        <f>C8</f>
        <v>4.08</v>
      </c>
      <c r="D120" s="27"/>
      <c r="E120" s="27">
        <f>D8-C8</f>
        <v>-0.7200000000000002</v>
      </c>
      <c r="F120" s="27"/>
      <c r="G120" s="1"/>
      <c r="H120" s="1">
        <f>(E118*B111)-(E119*B110)</f>
        <v>-2.3605164999999997</v>
      </c>
      <c r="I120" s="1"/>
      <c r="J120" s="1">
        <f>(E118*C111)-(E119*C110)</f>
        <v>-2.8800327999999999</v>
      </c>
      <c r="K120" s="1"/>
      <c r="L120" s="1"/>
      <c r="M120" s="14"/>
      <c r="N120" s="14">
        <f>(H118*B111)-(H119*B110)</f>
        <v>4.174648917999999</v>
      </c>
      <c r="O120" s="14"/>
      <c r="P120" s="14">
        <f>(J118*C111)-(J119*C110)</f>
        <v>11.513767285448001</v>
      </c>
      <c r="Q120" s="30"/>
      <c r="R120" s="30">
        <f>(H118*E119)-(H119*E118)</f>
        <v>5.5407480199999997</v>
      </c>
      <c r="S120" s="30"/>
      <c r="T120" s="30"/>
      <c r="U120" s="30">
        <f>(J118*E119)-(J119*E118)</f>
        <v>6.2275906659999993</v>
      </c>
    </row>
    <row r="122" spans="2:21" x14ac:dyDescent="0.25">
      <c r="B122" s="26" t="s">
        <v>92</v>
      </c>
      <c r="C122" s="27"/>
      <c r="D122" s="27"/>
      <c r="E122" s="27"/>
      <c r="F122" s="27"/>
      <c r="G122" s="25" t="s">
        <v>42</v>
      </c>
      <c r="H122" s="1"/>
      <c r="I122" s="1"/>
      <c r="J122" s="1"/>
      <c r="N122" s="6">
        <f>N118+C118</f>
        <v>8.9085046718499985</v>
      </c>
      <c r="O122" s="6">
        <f>P118+D6</f>
        <v>12.133558165327999</v>
      </c>
    </row>
    <row r="123" spans="2:21" x14ac:dyDescent="0.25">
      <c r="B123" s="26" t="s">
        <v>4</v>
      </c>
      <c r="C123" s="27">
        <f>SQRT((R118^2)+(R119^2)+(R120^2))</f>
        <v>7.5044477684525894</v>
      </c>
      <c r="D123" s="26" t="s">
        <v>5</v>
      </c>
      <c r="E123" s="27">
        <f>SQRT((U118^2)+(U119^2)+(U120^2))</f>
        <v>8.6669245442182028</v>
      </c>
      <c r="F123" s="27"/>
      <c r="G123" s="25" t="s">
        <v>4</v>
      </c>
      <c r="H123" s="1">
        <f>R118/$C$123</f>
        <v>0.17858405792813481</v>
      </c>
      <c r="I123" s="25" t="s">
        <v>5</v>
      </c>
      <c r="J123" s="1">
        <f>U118/$E$123</f>
        <v>0.2091047691431675</v>
      </c>
      <c r="N123" s="6">
        <f t="shared" ref="N123:N124" si="33">N119+C119</f>
        <v>-8.940427331875</v>
      </c>
      <c r="O123" s="6">
        <f t="shared" ref="O123:O124" si="34">P119+D7</f>
        <v>-6.3684277218679988</v>
      </c>
      <c r="P123" s="2"/>
    </row>
    <row r="124" spans="2:21" x14ac:dyDescent="0.25">
      <c r="G124" s="1"/>
      <c r="H124" s="1">
        <f>R119/$C$123</f>
        <v>0.6503681190929772</v>
      </c>
      <c r="I124" s="1"/>
      <c r="J124" s="1">
        <f>U119/$E$123</f>
        <v>0.66329912562064031</v>
      </c>
      <c r="N124" s="6">
        <f t="shared" si="33"/>
        <v>8.2546489179999991</v>
      </c>
      <c r="O124" s="6">
        <f t="shared" si="34"/>
        <v>14.873767285448</v>
      </c>
      <c r="P124" s="2"/>
    </row>
    <row r="125" spans="2:21" x14ac:dyDescent="0.25">
      <c r="G125" s="1"/>
      <c r="H125" s="1">
        <f>R120/$C$123</f>
        <v>0.73832854741055742</v>
      </c>
      <c r="I125" s="1"/>
      <c r="J125" s="1">
        <f>U120/$E$123</f>
        <v>0.7185467733366262</v>
      </c>
      <c r="P125" s="2"/>
    </row>
    <row r="126" spans="2:21" x14ac:dyDescent="0.25">
      <c r="O126" s="2"/>
    </row>
    <row r="127" spans="2:21" x14ac:dyDescent="0.25">
      <c r="B127" s="26" t="s">
        <v>43</v>
      </c>
      <c r="C127" s="27"/>
      <c r="D127" s="27"/>
      <c r="E127" s="27"/>
      <c r="F127" s="27"/>
      <c r="G127" s="25" t="s">
        <v>44</v>
      </c>
      <c r="H127" s="1"/>
      <c r="I127" s="1"/>
      <c r="J127" s="1"/>
      <c r="K127" s="2"/>
      <c r="O127" s="2"/>
    </row>
    <row r="128" spans="2:21" x14ac:dyDescent="0.25">
      <c r="B128" s="27"/>
      <c r="C128" s="27">
        <f>C6</f>
        <v>1.23</v>
      </c>
      <c r="D128" s="27"/>
      <c r="E128" s="27">
        <f>N118</f>
        <v>7.678504671849999</v>
      </c>
      <c r="F128" s="27"/>
      <c r="G128" s="1"/>
      <c r="H128" s="1">
        <f>D6</f>
        <v>0.31</v>
      </c>
      <c r="I128" s="1"/>
      <c r="J128" s="1">
        <f>H123</f>
        <v>0.17858405792813481</v>
      </c>
      <c r="K128" s="2"/>
      <c r="O128" s="2"/>
    </row>
    <row r="129" spans="2:15" x14ac:dyDescent="0.25">
      <c r="B129" s="27" t="s">
        <v>11</v>
      </c>
      <c r="C129" s="27">
        <f>C7</f>
        <v>2.62</v>
      </c>
      <c r="D129" s="28" t="s">
        <v>13</v>
      </c>
      <c r="E129" s="27">
        <f>N119</f>
        <v>-11.560427331875001</v>
      </c>
      <c r="F129" s="27"/>
      <c r="G129" s="1" t="s">
        <v>11</v>
      </c>
      <c r="H129" s="1">
        <f>D7</f>
        <v>3.69</v>
      </c>
      <c r="I129" s="31" t="s">
        <v>12</v>
      </c>
      <c r="J129" s="1">
        <f>H124</f>
        <v>0.6503681190929772</v>
      </c>
      <c r="K129" s="2"/>
      <c r="O129" s="2"/>
    </row>
    <row r="130" spans="2:15" x14ac:dyDescent="0.25">
      <c r="B130" s="27"/>
      <c r="C130" s="27">
        <f>C8</f>
        <v>4.08</v>
      </c>
      <c r="D130" s="27"/>
      <c r="E130" s="27">
        <f>N120</f>
        <v>4.174648917999999</v>
      </c>
      <c r="F130" s="27"/>
      <c r="G130" s="1"/>
      <c r="H130" s="1">
        <f>D8</f>
        <v>3.36</v>
      </c>
      <c r="I130" s="1"/>
      <c r="J130" s="1">
        <f>H125</f>
        <v>0.73832854741055742</v>
      </c>
      <c r="K130" s="2"/>
    </row>
    <row r="131" spans="2:15" x14ac:dyDescent="0.25">
      <c r="K131" s="2"/>
    </row>
    <row r="132" spans="2:15" x14ac:dyDescent="0.25">
      <c r="K132" s="2"/>
    </row>
    <row r="133" spans="2:15" x14ac:dyDescent="0.25">
      <c r="B133" s="26" t="s">
        <v>45</v>
      </c>
      <c r="C133" s="27"/>
      <c r="D133" s="27"/>
      <c r="E133" s="27"/>
      <c r="F133" s="27"/>
      <c r="G133" s="25" t="s">
        <v>46</v>
      </c>
      <c r="H133" s="1"/>
      <c r="I133" s="1"/>
      <c r="J133" s="1"/>
      <c r="K133" s="2"/>
    </row>
    <row r="134" spans="2:15" x14ac:dyDescent="0.25">
      <c r="B134" s="27"/>
      <c r="C134" s="27">
        <f>D6</f>
        <v>0.31</v>
      </c>
      <c r="D134" s="27"/>
      <c r="E134" s="27">
        <f>P118</f>
        <v>11.823558165327999</v>
      </c>
      <c r="F134" s="27"/>
      <c r="G134" s="1"/>
      <c r="H134" s="1">
        <f>C6</f>
        <v>1.23</v>
      </c>
      <c r="I134" s="1"/>
      <c r="J134" s="1">
        <f>J123</f>
        <v>0.2091047691431675</v>
      </c>
      <c r="K134" s="2"/>
    </row>
    <row r="135" spans="2:15" x14ac:dyDescent="0.25">
      <c r="B135" s="27" t="s">
        <v>11</v>
      </c>
      <c r="C135" s="27">
        <f>D7</f>
        <v>3.69</v>
      </c>
      <c r="D135" s="27" t="s">
        <v>13</v>
      </c>
      <c r="E135" s="27">
        <f>P119</f>
        <v>-10.058427721867998</v>
      </c>
      <c r="F135" s="27"/>
      <c r="G135" s="1" t="s">
        <v>11</v>
      </c>
      <c r="H135" s="1">
        <f>C7</f>
        <v>2.62</v>
      </c>
      <c r="I135" s="1" t="s">
        <v>12</v>
      </c>
      <c r="J135" s="1">
        <f>J124</f>
        <v>0.66329912562064031</v>
      </c>
      <c r="K135" s="2"/>
    </row>
    <row r="136" spans="2:15" x14ac:dyDescent="0.25">
      <c r="B136" s="27"/>
      <c r="C136" s="27">
        <f>D8</f>
        <v>3.36</v>
      </c>
      <c r="D136" s="27"/>
      <c r="E136" s="27">
        <f>P120</f>
        <v>11.513767285448001</v>
      </c>
      <c r="F136" s="27"/>
      <c r="G136" s="1"/>
      <c r="H136" s="1">
        <f>C8</f>
        <v>4.08</v>
      </c>
      <c r="I136" s="1"/>
      <c r="J136" s="1">
        <f>J125</f>
        <v>0.7185467733366262</v>
      </c>
      <c r="K136" s="2"/>
    </row>
    <row r="138" spans="2:15" x14ac:dyDescent="0.25">
      <c r="B138" s="26" t="s">
        <v>47</v>
      </c>
      <c r="C138" s="27"/>
      <c r="D138" s="27"/>
      <c r="E138" s="27"/>
      <c r="F138" s="27"/>
    </row>
    <row r="139" spans="2:15" x14ac:dyDescent="0.25">
      <c r="B139" s="26" t="s">
        <v>93</v>
      </c>
      <c r="C139" s="27"/>
      <c r="D139" s="26" t="s">
        <v>94</v>
      </c>
      <c r="E139" s="27"/>
      <c r="F139" s="27"/>
      <c r="G139" s="32" t="s">
        <v>49</v>
      </c>
      <c r="H139" s="8"/>
      <c r="I139" s="8"/>
      <c r="J139" s="8"/>
      <c r="K139" s="8"/>
      <c r="L139" s="8"/>
      <c r="M139" s="8"/>
      <c r="N139" s="33"/>
    </row>
    <row r="140" spans="2:15" x14ac:dyDescent="0.25">
      <c r="B140" s="26" t="s">
        <v>95</v>
      </c>
      <c r="C140" s="48">
        <f>((H129*E128)-(C129*E128)-(H128*E129)+(C128*E129))/((J128*E129)-(J129*E128))</f>
        <v>0.34279807672383267</v>
      </c>
      <c r="D140" s="26" t="s">
        <v>95</v>
      </c>
      <c r="E140" s="48">
        <f>-((H135*E134)-(C135*E134)-(H134*E135)+(C134*E135))/((J134*E135)-(J135*E134))</f>
        <v>-0.34159610684219427</v>
      </c>
      <c r="F140" s="27"/>
    </row>
    <row r="141" spans="2:15" x14ac:dyDescent="0.25">
      <c r="B141" s="27"/>
      <c r="C141" s="27"/>
      <c r="D141" s="27"/>
      <c r="E141" s="27"/>
      <c r="F141" s="27"/>
    </row>
    <row r="142" spans="2:15" x14ac:dyDescent="0.25">
      <c r="B142" s="26" t="s">
        <v>73</v>
      </c>
      <c r="C142" s="27">
        <f>H128+($C$140*J128)</f>
        <v>0.37121827159130216</v>
      </c>
      <c r="D142" s="26" t="s">
        <v>73</v>
      </c>
      <c r="E142" s="27">
        <f>H134+($E$140*J134)</f>
        <v>1.1585706249385581</v>
      </c>
      <c r="F142" s="27"/>
    </row>
    <row r="143" spans="2:15" x14ac:dyDescent="0.25">
      <c r="B143" s="27"/>
      <c r="C143" s="27">
        <f>H129+($C$140*J129)</f>
        <v>3.9129449403875691</v>
      </c>
      <c r="D143" s="27"/>
      <c r="E143" s="27">
        <f>H135+($E$140*J135)</f>
        <v>2.3934196010161579</v>
      </c>
      <c r="F143" s="27"/>
    </row>
    <row r="144" spans="2:15" x14ac:dyDescent="0.25">
      <c r="B144" s="27"/>
      <c r="C144" s="27">
        <f t="shared" ref="C144" si="35">H130+($C$140*J130)</f>
        <v>3.6130976060426399</v>
      </c>
      <c r="D144" s="27"/>
      <c r="E144" s="27">
        <f t="shared" ref="E144" si="36">H136+($E$140*J136)</f>
        <v>3.8345472196441879</v>
      </c>
      <c r="F144" s="27"/>
    </row>
    <row r="145" spans="2:6" x14ac:dyDescent="0.25">
      <c r="B145" s="2"/>
      <c r="C145" s="2"/>
      <c r="D145" s="2"/>
      <c r="E145" s="2"/>
      <c r="F145" s="2"/>
    </row>
    <row r="148" spans="2:6" s="15" customFormat="1" x14ac:dyDescent="0.25">
      <c r="B148" s="15" t="s">
        <v>96</v>
      </c>
    </row>
    <row r="150" spans="2:6" x14ac:dyDescent="0.25">
      <c r="B150" s="36" t="s">
        <v>97</v>
      </c>
      <c r="C150" s="37" t="s">
        <v>53</v>
      </c>
      <c r="D150" s="38">
        <f>C140+E140</f>
        <v>1.2019698816383984E-3</v>
      </c>
      <c r="E150" s="38"/>
    </row>
    <row r="151" spans="2:6" x14ac:dyDescent="0.25">
      <c r="B151" s="38"/>
      <c r="C151" s="37" t="s">
        <v>54</v>
      </c>
      <c r="D151" s="38">
        <f>-E140-(2*C140)</f>
        <v>-0.34400004660547107</v>
      </c>
      <c r="E151" s="38"/>
    </row>
    <row r="152" spans="2:6" x14ac:dyDescent="0.25">
      <c r="B152" s="38"/>
      <c r="C152" s="37" t="s">
        <v>59</v>
      </c>
      <c r="D152" s="38">
        <f>C140</f>
        <v>0.34279807672383267</v>
      </c>
      <c r="E152" s="38"/>
    </row>
    <row r="153" spans="2:6" x14ac:dyDescent="0.25">
      <c r="B153" s="38"/>
      <c r="C153" s="37" t="s">
        <v>60</v>
      </c>
      <c r="D153" s="38">
        <v>0</v>
      </c>
      <c r="E153" s="38"/>
    </row>
    <row r="155" spans="2:6" x14ac:dyDescent="0.25">
      <c r="B155" s="37" t="s">
        <v>100</v>
      </c>
      <c r="C155" s="37"/>
      <c r="D155" s="38"/>
      <c r="E155" s="38"/>
    </row>
    <row r="156" spans="2:6" x14ac:dyDescent="0.25">
      <c r="B156" s="37" t="s">
        <v>98</v>
      </c>
      <c r="C156" s="39">
        <f>(2*D151)/(3*D150)</f>
        <v>-190.79792922185734</v>
      </c>
      <c r="D156" s="38"/>
      <c r="E156" s="38"/>
    </row>
    <row r="157" spans="2:6" x14ac:dyDescent="0.25">
      <c r="B157" s="37" t="s">
        <v>61</v>
      </c>
      <c r="C157" s="39">
        <f>(-$C$156/2)+(SQRT(((C156/2)^2)-(D152/(3*D150))))</f>
        <v>190.29836828429021</v>
      </c>
      <c r="D157" s="37" t="s">
        <v>99</v>
      </c>
      <c r="E157" s="39">
        <f>(-$C$156/2)-(SQRT(((C156/2)^2)-(D152/(3*D150))))</f>
        <v>0.49956093756713926</v>
      </c>
    </row>
    <row r="158" spans="2:6" x14ac:dyDescent="0.25">
      <c r="B158" s="37" t="s">
        <v>101</v>
      </c>
      <c r="C158" s="38">
        <f>($D$150*(C157^3))+($D$151*(C157^2))+($D$152*C157)</f>
        <v>-4108.9890615649638</v>
      </c>
      <c r="D158" s="37" t="s">
        <v>102</v>
      </c>
      <c r="E158" s="38">
        <f>($D$150*(E157^3))+($D$151*(E157^2))+($D$152*E157)</f>
        <v>8.5549338913281786E-2</v>
      </c>
    </row>
    <row r="159" spans="2:6" x14ac:dyDescent="0.25">
      <c r="B159" s="37" t="s">
        <v>103</v>
      </c>
      <c r="C159" s="38">
        <f>(3*$D$150*C157^2)+(2*$D$151*C157)+D152</f>
        <v>8.7707618945387367E-15</v>
      </c>
      <c r="D159" s="37" t="s">
        <v>104</v>
      </c>
      <c r="E159" s="38">
        <f>(3*$D$150*E157^2)+(2*$D$151*E157)+D152</f>
        <v>-5.1625370645069779E-15</v>
      </c>
    </row>
    <row r="160" spans="2:6" x14ac:dyDescent="0.25">
      <c r="B160" s="37" t="s">
        <v>105</v>
      </c>
      <c r="C160" s="38">
        <f>(6*$D$150*C157)+(2*$D$151)</f>
        <v>0.68439735000494972</v>
      </c>
      <c r="D160" s="36" t="s">
        <v>106</v>
      </c>
      <c r="E160" s="38">
        <f>(6*$D$150*E157)+(2*$D$151)</f>
        <v>-0.68439735000494972</v>
      </c>
    </row>
    <row r="164" spans="2:16" s="14" customFormat="1" x14ac:dyDescent="0.25">
      <c r="B164" s="15" t="s">
        <v>107</v>
      </c>
    </row>
    <row r="166" spans="2:16" x14ac:dyDescent="0.25">
      <c r="B166" s="37" t="s">
        <v>113</v>
      </c>
      <c r="C166" s="38"/>
      <c r="D166" s="38"/>
      <c r="E166" s="38"/>
      <c r="F166" s="38"/>
      <c r="G166" s="38"/>
      <c r="J166" s="37" t="s">
        <v>114</v>
      </c>
      <c r="K166" s="38"/>
      <c r="L166" s="38"/>
      <c r="M166" s="38"/>
      <c r="N166" s="38"/>
      <c r="O166" s="38"/>
    </row>
    <row r="167" spans="2:16" x14ac:dyDescent="0.25">
      <c r="B167" s="38"/>
      <c r="C167" s="38">
        <f>(H123*(1-$C$157))+(J123*$C$157)</f>
        <v>5.9866256010248975</v>
      </c>
      <c r="D167" s="37" t="s">
        <v>108</v>
      </c>
      <c r="E167" s="38">
        <f>SQRT(C167^2+C168^2+C169^2)</f>
        <v>7.3943278954513616</v>
      </c>
      <c r="F167" s="37" t="s">
        <v>109</v>
      </c>
      <c r="G167" s="38">
        <f>C167/$E$167</f>
        <v>0.80962403691991869</v>
      </c>
      <c r="J167" s="38"/>
      <c r="K167" s="38">
        <f>(H123*(1-$E$157))+(J123*$E$157)</f>
        <v>0.19383101303793243</v>
      </c>
      <c r="L167" s="37" t="s">
        <v>108</v>
      </c>
      <c r="M167" s="38">
        <f>SQRT(K167^2+K168^2+K169^2)</f>
        <v>0.99981372737882734</v>
      </c>
      <c r="N167" s="37" t="s">
        <v>109</v>
      </c>
      <c r="O167" s="38">
        <f>K167/$E$167</f>
        <v>2.6213472783262429E-2</v>
      </c>
    </row>
    <row r="168" spans="2:16" x14ac:dyDescent="0.25">
      <c r="B168" s="38"/>
      <c r="C168" s="38">
        <f t="shared" ref="C168:C169" si="37">(H124*(1-$C$157))+(J124*$C$157)</f>
        <v>3.1111175615807838</v>
      </c>
      <c r="D168" s="38"/>
      <c r="E168" s="38"/>
      <c r="F168" s="38"/>
      <c r="G168" s="38">
        <f>C168/$E$167</f>
        <v>0.42074379248107124</v>
      </c>
      <c r="J168" s="38"/>
      <c r="K168" s="38">
        <f t="shared" ref="K168:K169" si="38">(H124*(1-$E$157))+(J124*$E$157)</f>
        <v>0.65682794483762341</v>
      </c>
      <c r="L168" s="38"/>
      <c r="M168" s="38"/>
      <c r="N168" s="38"/>
      <c r="O168" s="38">
        <f>K168/$E$167</f>
        <v>8.8828620278209827E-2</v>
      </c>
    </row>
    <row r="169" spans="2:16" x14ac:dyDescent="0.25">
      <c r="B169" s="38"/>
      <c r="C169" s="38">
        <f t="shared" si="37"/>
        <v>-3.0261107806270218</v>
      </c>
      <c r="D169" s="38"/>
      <c r="E169" s="38"/>
      <c r="F169" s="38"/>
      <c r="G169" s="38">
        <f>C169/$E$167</f>
        <v>-0.40924757779385751</v>
      </c>
      <c r="J169" s="38"/>
      <c r="K169" s="38">
        <f t="shared" si="38"/>
        <v>0.72844634580744305</v>
      </c>
      <c r="L169" s="38"/>
      <c r="M169" s="38"/>
      <c r="N169" s="38"/>
      <c r="O169" s="38">
        <f>K169/$E$167</f>
        <v>9.8514206579282018E-2</v>
      </c>
    </row>
    <row r="172" spans="2:16" x14ac:dyDescent="0.25">
      <c r="B172" s="36" t="s">
        <v>111</v>
      </c>
      <c r="C172" s="38"/>
      <c r="D172" s="38"/>
      <c r="E172" s="36" t="s">
        <v>112</v>
      </c>
      <c r="F172" s="38"/>
      <c r="G172" s="38"/>
      <c r="H172" s="38"/>
      <c r="J172" s="36" t="s">
        <v>111</v>
      </c>
      <c r="K172" s="38"/>
      <c r="L172" s="38"/>
      <c r="M172" s="36" t="s">
        <v>112</v>
      </c>
      <c r="N172" s="38"/>
      <c r="O172" s="38"/>
      <c r="P172" s="38"/>
    </row>
    <row r="173" spans="2:16" x14ac:dyDescent="0.25">
      <c r="B173" s="37" t="s">
        <v>65</v>
      </c>
      <c r="C173" s="38">
        <f>C118+($C$157*E118)+(G167*$C$158)</f>
        <v>-3500.5808105055612</v>
      </c>
      <c r="D173" s="38"/>
      <c r="E173" s="37" t="s">
        <v>65</v>
      </c>
      <c r="F173" s="38">
        <f>D6+((1-$C$157)*(C6-D6))+($C$158*G167)</f>
        <v>-3500.5808105055612</v>
      </c>
      <c r="G173" s="38"/>
      <c r="H173" s="38" t="b">
        <f>IF(C173=F173,TRUE,FALSE)</f>
        <v>1</v>
      </c>
      <c r="J173" s="37" t="s">
        <v>65</v>
      </c>
      <c r="K173" s="38">
        <f>C118+($E$157*E118)+(O167*$E$158)</f>
        <v>0.77264648270546132</v>
      </c>
      <c r="L173" s="38"/>
      <c r="M173" s="37" t="s">
        <v>65</v>
      </c>
      <c r="N173" s="43">
        <f>D6+((1-$E$157)*(C6-D6))+($E$158*O167)</f>
        <v>0.77264648270546132</v>
      </c>
      <c r="O173" s="38"/>
      <c r="P173" s="38" t="b">
        <f>IF(K173=N173,TRUE,FALSE)</f>
        <v>1</v>
      </c>
    </row>
    <row r="174" spans="2:16" x14ac:dyDescent="0.25">
      <c r="B174" s="37" t="s">
        <v>11</v>
      </c>
      <c r="C174" s="38">
        <f t="shared" ref="C174:C175" si="39">C119+($C$157*E119)+(G168*$C$158)</f>
        <v>-1522.5923869618905</v>
      </c>
      <c r="D174" s="38"/>
      <c r="E174" s="37" t="s">
        <v>11</v>
      </c>
      <c r="F174" s="38">
        <f>D7+((1-$C$157)*(C7-D7))+($C$158*G168)</f>
        <v>-1522.5923869618905</v>
      </c>
      <c r="G174" s="38"/>
      <c r="H174" s="38" t="b">
        <f>IF(C174=F174,TRUE,FALSE)</f>
        <v>1</v>
      </c>
      <c r="J174" s="37" t="s">
        <v>11</v>
      </c>
      <c r="K174" s="38">
        <f t="shared" ref="K174:K175" si="40">C119+($E$157*E119)+(O168*$E$158)</f>
        <v>3.1621294329382188</v>
      </c>
      <c r="L174" s="38"/>
      <c r="M174" s="37" t="s">
        <v>11</v>
      </c>
      <c r="N174" s="43">
        <f>D7+((1-$E$157)*(C7-D7))+($E$158*O168)</f>
        <v>3.1621294329382188</v>
      </c>
      <c r="O174" s="38"/>
      <c r="P174" s="38" t="b">
        <f>IF(K174=N174,TRUE,FALSE)</f>
        <v>1</v>
      </c>
    </row>
    <row r="175" spans="2:16" x14ac:dyDescent="0.25">
      <c r="B175" s="37" t="s">
        <v>66</v>
      </c>
      <c r="C175" s="38">
        <f t="shared" si="39"/>
        <v>1548.6589954622282</v>
      </c>
      <c r="D175" s="38"/>
      <c r="E175" s="37" t="s">
        <v>66</v>
      </c>
      <c r="F175" s="38">
        <f>D8+((1-$C$157)*(C8-D8))+($C$158*G169)</f>
        <v>1548.6589954622282</v>
      </c>
      <c r="G175" s="38"/>
      <c r="H175" s="38" t="b">
        <f>IF(C175=F175,TRUE,FALSE)</f>
        <v>1</v>
      </c>
      <c r="J175" s="37" t="s">
        <v>66</v>
      </c>
      <c r="K175" s="38">
        <f t="shared" si="40"/>
        <v>3.7287439501980839</v>
      </c>
      <c r="L175" s="38"/>
      <c r="M175" s="37" t="s">
        <v>66</v>
      </c>
      <c r="N175" s="43">
        <f>D8+((1-$E$157)*(C8-D8))+($E$158*O169)</f>
        <v>3.7287439501980839</v>
      </c>
      <c r="O175" s="38"/>
      <c r="P175" s="38" t="b">
        <f>IF(K175=N175,TRUE,FALSE)</f>
        <v>1</v>
      </c>
    </row>
    <row r="176" spans="2:16" x14ac:dyDescent="0.25">
      <c r="C176" s="10"/>
      <c r="D176" s="10"/>
      <c r="E176" s="10"/>
      <c r="K176" s="10"/>
      <c r="L176" s="10"/>
      <c r="M176" s="10"/>
    </row>
    <row r="177" spans="2:11" x14ac:dyDescent="0.25">
      <c r="B177" s="37" t="s">
        <v>110</v>
      </c>
      <c r="C177" s="38"/>
      <c r="J177" s="37" t="s">
        <v>110</v>
      </c>
      <c r="K177" s="38"/>
    </row>
    <row r="178" spans="2:11" x14ac:dyDescent="0.25">
      <c r="B178" s="37" t="s">
        <v>65</v>
      </c>
      <c r="C178" s="47">
        <f>C173</f>
        <v>-3500.5808105055612</v>
      </c>
      <c r="J178" s="37" t="s">
        <v>65</v>
      </c>
      <c r="K178" s="47">
        <f>K173</f>
        <v>0.77264648270546132</v>
      </c>
    </row>
    <row r="179" spans="2:11" x14ac:dyDescent="0.25">
      <c r="B179" s="37" t="s">
        <v>11</v>
      </c>
      <c r="C179" s="47">
        <f>C174</f>
        <v>-1522.5923869618905</v>
      </c>
      <c r="J179" s="37" t="s">
        <v>11</v>
      </c>
      <c r="K179" s="47">
        <f>K174</f>
        <v>3.1621294329382188</v>
      </c>
    </row>
    <row r="180" spans="2:11" x14ac:dyDescent="0.25">
      <c r="B180" s="37" t="s">
        <v>66</v>
      </c>
      <c r="C180" s="47">
        <f>C175</f>
        <v>1548.6589954622282</v>
      </c>
      <c r="J180" s="37" t="s">
        <v>66</v>
      </c>
      <c r="K180" s="47">
        <f>K175</f>
        <v>3.7287439501980839</v>
      </c>
    </row>
  </sheetData>
  <mergeCells count="51">
    <mergeCell ref="B27:C27"/>
    <mergeCell ref="E34:E36"/>
    <mergeCell ref="E37:E39"/>
    <mergeCell ref="E40:E42"/>
    <mergeCell ref="E43:E45"/>
    <mergeCell ref="B28:B30"/>
    <mergeCell ref="C28:C30"/>
    <mergeCell ref="E28:E30"/>
    <mergeCell ref="E46:E48"/>
    <mergeCell ref="G46:G48"/>
    <mergeCell ref="G43:G45"/>
    <mergeCell ref="G40:G42"/>
    <mergeCell ref="G37:G39"/>
    <mergeCell ref="G34:G36"/>
    <mergeCell ref="B34:B36"/>
    <mergeCell ref="B37:B39"/>
    <mergeCell ref="B40:B42"/>
    <mergeCell ref="B43:B45"/>
    <mergeCell ref="C34:C36"/>
    <mergeCell ref="B46:B48"/>
    <mergeCell ref="C46:C48"/>
    <mergeCell ref="C43:C45"/>
    <mergeCell ref="C40:C42"/>
    <mergeCell ref="C37:C39"/>
    <mergeCell ref="G28:G30"/>
    <mergeCell ref="G31:G33"/>
    <mergeCell ref="E31:E33"/>
    <mergeCell ref="C31:C33"/>
    <mergeCell ref="B31:B33"/>
    <mergeCell ref="G55:G57"/>
    <mergeCell ref="B91:B93"/>
    <mergeCell ref="B49:B51"/>
    <mergeCell ref="C49:C51"/>
    <mergeCell ref="E49:E51"/>
    <mergeCell ref="G49:G51"/>
    <mergeCell ref="B52:B54"/>
    <mergeCell ref="C52:C54"/>
    <mergeCell ref="E52:E54"/>
    <mergeCell ref="G52:G54"/>
    <mergeCell ref="B88:B90"/>
    <mergeCell ref="B70:B72"/>
    <mergeCell ref="B73:B75"/>
    <mergeCell ref="B76:B78"/>
    <mergeCell ref="B79:B81"/>
    <mergeCell ref="B82:B84"/>
    <mergeCell ref="B94:B96"/>
    <mergeCell ref="B97:B99"/>
    <mergeCell ref="B55:B57"/>
    <mergeCell ref="C55:C57"/>
    <mergeCell ref="E55:E57"/>
    <mergeCell ref="B85:B8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1"/>
  <sheetViews>
    <sheetView topLeftCell="A176" zoomScale="70" zoomScaleNormal="70" workbookViewId="0">
      <selection activeCell="F217" sqref="F217"/>
    </sheetView>
  </sheetViews>
  <sheetFormatPr baseColWidth="10" defaultRowHeight="15" x14ac:dyDescent="0.25"/>
  <cols>
    <col min="2" max="2" width="20.42578125" customWidth="1"/>
    <col min="3" max="8" width="17.7109375" customWidth="1"/>
    <col min="12" max="15" width="18.5703125" customWidth="1"/>
  </cols>
  <sheetData>
    <row r="1" spans="1:13" s="12" customFormat="1" x14ac:dyDescent="0.25">
      <c r="B1" s="13" t="s">
        <v>74</v>
      </c>
      <c r="C1" s="13"/>
    </row>
    <row r="3" spans="1:13" s="14" customFormat="1" x14ac:dyDescent="0.25">
      <c r="B3" s="15" t="s">
        <v>115</v>
      </c>
    </row>
    <row r="4" spans="1:13" s="14" customFormat="1" x14ac:dyDescent="0.25">
      <c r="B4" s="15"/>
      <c r="C4" s="14" t="s">
        <v>116</v>
      </c>
      <c r="D4" s="14" t="s">
        <v>117</v>
      </c>
      <c r="E4" s="14" t="s">
        <v>118</v>
      </c>
      <c r="F4" s="14" t="s">
        <v>119</v>
      </c>
      <c r="G4" s="14" t="s">
        <v>120</v>
      </c>
      <c r="H4" s="14" t="s">
        <v>121</v>
      </c>
      <c r="I4" s="14" t="s">
        <v>122</v>
      </c>
      <c r="J4" s="14" t="s">
        <v>123</v>
      </c>
      <c r="K4" s="14" t="s">
        <v>124</v>
      </c>
      <c r="L4" s="14" t="s">
        <v>125</v>
      </c>
      <c r="M4" s="14" t="s">
        <v>126</v>
      </c>
    </row>
    <row r="5" spans="1:13" x14ac:dyDescent="0.25">
      <c r="B5" s="3" t="s">
        <v>73</v>
      </c>
      <c r="C5" s="3" t="s">
        <v>4</v>
      </c>
      <c r="D5" s="3" t="s">
        <v>5</v>
      </c>
      <c r="E5" s="3" t="s">
        <v>6</v>
      </c>
      <c r="F5" s="3" t="s">
        <v>7</v>
      </c>
      <c r="G5" s="3" t="s">
        <v>8</v>
      </c>
      <c r="H5" s="3" t="s">
        <v>9</v>
      </c>
      <c r="I5" s="3" t="s">
        <v>75</v>
      </c>
      <c r="J5" s="3" t="s">
        <v>127</v>
      </c>
      <c r="K5" s="3" t="s">
        <v>128</v>
      </c>
      <c r="L5" s="3" t="s">
        <v>129</v>
      </c>
      <c r="M5" s="3" t="s">
        <v>130</v>
      </c>
    </row>
    <row r="6" spans="1:13" x14ac:dyDescent="0.25">
      <c r="B6" s="16" t="s">
        <v>0</v>
      </c>
      <c r="C6" s="11">
        <v>1.23</v>
      </c>
      <c r="D6" s="11">
        <v>0.31</v>
      </c>
      <c r="E6">
        <v>2.87</v>
      </c>
      <c r="F6">
        <v>0</v>
      </c>
      <c r="G6">
        <v>5</v>
      </c>
      <c r="H6">
        <v>0</v>
      </c>
      <c r="I6">
        <v>1.95</v>
      </c>
      <c r="J6">
        <v>3.92</v>
      </c>
      <c r="K6">
        <v>2.5299999999999998</v>
      </c>
      <c r="L6">
        <v>4.4000000000000004</v>
      </c>
      <c r="M6">
        <v>0.45</v>
      </c>
    </row>
    <row r="7" spans="1:13" x14ac:dyDescent="0.25">
      <c r="B7" s="16" t="s">
        <v>1</v>
      </c>
      <c r="C7" s="11">
        <v>2.62</v>
      </c>
      <c r="D7" s="11">
        <v>3.69</v>
      </c>
      <c r="E7">
        <v>2.74</v>
      </c>
      <c r="F7">
        <v>5</v>
      </c>
      <c r="G7">
        <v>0</v>
      </c>
      <c r="H7">
        <v>0</v>
      </c>
      <c r="I7">
        <v>4.3</v>
      </c>
      <c r="J7">
        <v>2.94</v>
      </c>
      <c r="K7">
        <v>0.94</v>
      </c>
      <c r="L7">
        <v>1.54</v>
      </c>
      <c r="M7">
        <v>1.23</v>
      </c>
    </row>
    <row r="8" spans="1:13" x14ac:dyDescent="0.25">
      <c r="B8" s="16" t="s">
        <v>2</v>
      </c>
      <c r="C8" s="11">
        <v>4.08</v>
      </c>
      <c r="D8" s="11">
        <v>3.36</v>
      </c>
      <c r="E8">
        <v>3.04</v>
      </c>
      <c r="F8">
        <v>0</v>
      </c>
      <c r="G8">
        <v>0</v>
      </c>
      <c r="H8">
        <v>5</v>
      </c>
      <c r="I8">
        <v>1.65</v>
      </c>
      <c r="J8">
        <v>0.98</v>
      </c>
      <c r="K8">
        <v>4.21</v>
      </c>
      <c r="L8">
        <v>1.82</v>
      </c>
      <c r="M8">
        <v>4.83</v>
      </c>
    </row>
    <row r="9" spans="1:13" x14ac:dyDescent="0.25">
      <c r="B9" s="2"/>
      <c r="C9" s="2"/>
      <c r="D9" s="2"/>
      <c r="E9" s="2"/>
    </row>
    <row r="10" spans="1:13" x14ac:dyDescent="0.25">
      <c r="B10" s="2"/>
      <c r="C10" s="2"/>
      <c r="D10" s="2"/>
      <c r="E10" s="2"/>
    </row>
    <row r="11" spans="1:13" s="14" customFormat="1" x14ac:dyDescent="0.25">
      <c r="B11" s="15" t="s">
        <v>76</v>
      </c>
    </row>
    <row r="12" spans="1:13" x14ac:dyDescent="0.25">
      <c r="B12" s="2"/>
      <c r="C12" s="2"/>
      <c r="D12" s="2"/>
      <c r="E12" s="2"/>
    </row>
    <row r="13" spans="1:13" x14ac:dyDescent="0.25">
      <c r="B13" s="5" t="s">
        <v>77</v>
      </c>
      <c r="C13" s="2"/>
      <c r="D13" s="2"/>
      <c r="E13" s="2"/>
    </row>
    <row r="14" spans="1:13" x14ac:dyDescent="0.25">
      <c r="A14">
        <v>1</v>
      </c>
      <c r="B14" s="17" t="s">
        <v>139</v>
      </c>
      <c r="C14" s="2"/>
      <c r="D14" s="2"/>
      <c r="E14" s="2"/>
    </row>
    <row r="15" spans="1:13" x14ac:dyDescent="0.25">
      <c r="A15">
        <v>2</v>
      </c>
      <c r="B15" s="17" t="s">
        <v>79</v>
      </c>
      <c r="C15" s="2"/>
      <c r="D15" s="2"/>
      <c r="E15" s="2"/>
    </row>
    <row r="16" spans="1:13" x14ac:dyDescent="0.25">
      <c r="A16">
        <v>3</v>
      </c>
      <c r="B16" s="17" t="s">
        <v>140</v>
      </c>
      <c r="C16" s="2"/>
      <c r="D16" s="2"/>
      <c r="E16" s="2"/>
    </row>
    <row r="17" spans="1:8" x14ac:dyDescent="0.25">
      <c r="A17">
        <v>4</v>
      </c>
      <c r="B17" s="17" t="s">
        <v>141</v>
      </c>
      <c r="C17" s="2"/>
      <c r="D17" s="2"/>
      <c r="E17" s="2"/>
    </row>
    <row r="18" spans="1:8" x14ac:dyDescent="0.25">
      <c r="A18">
        <v>5</v>
      </c>
      <c r="B18" s="17" t="s">
        <v>142</v>
      </c>
    </row>
    <row r="19" spans="1:8" x14ac:dyDescent="0.25">
      <c r="A19">
        <v>6</v>
      </c>
      <c r="B19" s="17" t="s">
        <v>143</v>
      </c>
    </row>
    <row r="20" spans="1:8" x14ac:dyDescent="0.25">
      <c r="A20">
        <v>7</v>
      </c>
      <c r="B20" s="17" t="s">
        <v>135</v>
      </c>
    </row>
    <row r="21" spans="1:8" x14ac:dyDescent="0.25">
      <c r="A21">
        <v>8</v>
      </c>
      <c r="B21" s="17" t="s">
        <v>144</v>
      </c>
    </row>
    <row r="22" spans="1:8" x14ac:dyDescent="0.25">
      <c r="A22">
        <v>9</v>
      </c>
      <c r="B22" s="17" t="s">
        <v>137</v>
      </c>
    </row>
    <row r="23" spans="1:8" x14ac:dyDescent="0.25">
      <c r="A23">
        <v>10</v>
      </c>
      <c r="B23" s="17" t="s">
        <v>138</v>
      </c>
    </row>
    <row r="24" spans="1:8" x14ac:dyDescent="0.25">
      <c r="B24" s="17"/>
    </row>
    <row r="25" spans="1:8" s="14" customFormat="1" x14ac:dyDescent="0.25">
      <c r="B25" s="15" t="s">
        <v>80</v>
      </c>
    </row>
    <row r="27" spans="1:8" x14ac:dyDescent="0.25">
      <c r="B27" s="63" t="s">
        <v>81</v>
      </c>
      <c r="C27" s="64"/>
      <c r="D27" s="34" t="s">
        <v>82</v>
      </c>
      <c r="E27" s="34"/>
      <c r="F27" s="34" t="s">
        <v>83</v>
      </c>
      <c r="G27" s="34"/>
      <c r="H27" s="35" t="s">
        <v>84</v>
      </c>
    </row>
    <row r="28" spans="1:8" x14ac:dyDescent="0.25">
      <c r="B28" s="54" t="s">
        <v>139</v>
      </c>
      <c r="C28" s="57" t="s">
        <v>11</v>
      </c>
      <c r="D28" s="40">
        <f>C6</f>
        <v>1.23</v>
      </c>
      <c r="E28" s="60" t="s">
        <v>13</v>
      </c>
      <c r="F28" s="40">
        <f>E6-C6</f>
        <v>1.6400000000000001</v>
      </c>
      <c r="G28" s="60" t="s">
        <v>12</v>
      </c>
      <c r="H28" s="40">
        <f>D6-C6</f>
        <v>-0.91999999999999993</v>
      </c>
    </row>
    <row r="29" spans="1:8" x14ac:dyDescent="0.25">
      <c r="A29">
        <v>1</v>
      </c>
      <c r="B29" s="55"/>
      <c r="C29" s="58"/>
      <c r="D29" s="41">
        <f>C7</f>
        <v>2.62</v>
      </c>
      <c r="E29" s="61"/>
      <c r="F29" s="41">
        <f t="shared" ref="F29:F30" si="0">E7-C7</f>
        <v>0.12000000000000011</v>
      </c>
      <c r="G29" s="61"/>
      <c r="H29" s="41">
        <f t="shared" ref="H29:H30" si="1">D7-C7</f>
        <v>1.0699999999999998</v>
      </c>
    </row>
    <row r="30" spans="1:8" x14ac:dyDescent="0.25">
      <c r="B30" s="56"/>
      <c r="C30" s="59"/>
      <c r="D30" s="42">
        <f>C8</f>
        <v>4.08</v>
      </c>
      <c r="E30" s="62"/>
      <c r="F30" s="42">
        <f t="shared" si="0"/>
        <v>-1.04</v>
      </c>
      <c r="G30" s="62"/>
      <c r="H30" s="42">
        <f t="shared" si="1"/>
        <v>-0.7200000000000002</v>
      </c>
    </row>
    <row r="31" spans="1:8" x14ac:dyDescent="0.25">
      <c r="B31" s="54" t="s">
        <v>79</v>
      </c>
      <c r="C31" s="57" t="s">
        <v>11</v>
      </c>
      <c r="D31" s="40">
        <f>D6</f>
        <v>0.31</v>
      </c>
      <c r="E31" s="60" t="s">
        <v>13</v>
      </c>
      <c r="F31" s="40">
        <f>E6-D6</f>
        <v>2.56</v>
      </c>
      <c r="G31" s="60" t="s">
        <v>12</v>
      </c>
      <c r="H31" s="40">
        <f>I6-D6</f>
        <v>1.64</v>
      </c>
    </row>
    <row r="32" spans="1:8" x14ac:dyDescent="0.25">
      <c r="A32">
        <v>2</v>
      </c>
      <c r="B32" s="55"/>
      <c r="C32" s="58"/>
      <c r="D32" s="41">
        <f t="shared" ref="D32:D33" si="2">D7</f>
        <v>3.69</v>
      </c>
      <c r="E32" s="61"/>
      <c r="F32" s="41">
        <f t="shared" ref="F32:F33" si="3">E7-D7</f>
        <v>-0.94999999999999973</v>
      </c>
      <c r="G32" s="61"/>
      <c r="H32" s="41">
        <f t="shared" ref="H32:H33" si="4">I7-D7</f>
        <v>0.60999999999999988</v>
      </c>
    </row>
    <row r="33" spans="1:8" x14ac:dyDescent="0.25">
      <c r="B33" s="56"/>
      <c r="C33" s="59"/>
      <c r="D33" s="42">
        <f t="shared" si="2"/>
        <v>3.36</v>
      </c>
      <c r="E33" s="62"/>
      <c r="F33" s="42">
        <f t="shared" si="3"/>
        <v>-0.31999999999999984</v>
      </c>
      <c r="G33" s="62"/>
      <c r="H33" s="42">
        <f t="shared" si="4"/>
        <v>-1.71</v>
      </c>
    </row>
    <row r="34" spans="1:8" x14ac:dyDescent="0.25">
      <c r="B34" s="54" t="s">
        <v>140</v>
      </c>
      <c r="C34" s="57" t="s">
        <v>11</v>
      </c>
      <c r="D34" s="40">
        <f>D6</f>
        <v>0.31</v>
      </c>
      <c r="E34" s="60" t="s">
        <v>13</v>
      </c>
      <c r="F34" s="40">
        <f>I6-D6</f>
        <v>1.64</v>
      </c>
      <c r="G34" s="60" t="s">
        <v>12</v>
      </c>
      <c r="H34" s="40">
        <f>F6-D6</f>
        <v>-0.31</v>
      </c>
    </row>
    <row r="35" spans="1:8" x14ac:dyDescent="0.25">
      <c r="A35">
        <v>3</v>
      </c>
      <c r="B35" s="55"/>
      <c r="C35" s="58"/>
      <c r="D35" s="41">
        <f t="shared" ref="D35:D36" si="5">D7</f>
        <v>3.69</v>
      </c>
      <c r="E35" s="61"/>
      <c r="F35" s="41">
        <f t="shared" ref="F35:F36" si="6">I7-D7</f>
        <v>0.60999999999999988</v>
      </c>
      <c r="G35" s="61"/>
      <c r="H35" s="41">
        <f t="shared" ref="H35:H36" si="7">F7-D7</f>
        <v>1.31</v>
      </c>
    </row>
    <row r="36" spans="1:8" x14ac:dyDescent="0.25">
      <c r="B36" s="56"/>
      <c r="C36" s="59"/>
      <c r="D36" s="42">
        <f t="shared" si="5"/>
        <v>3.36</v>
      </c>
      <c r="E36" s="62"/>
      <c r="F36" s="42">
        <f t="shared" si="6"/>
        <v>-1.71</v>
      </c>
      <c r="G36" s="62"/>
      <c r="H36" s="42">
        <f t="shared" si="7"/>
        <v>-3.36</v>
      </c>
    </row>
    <row r="37" spans="1:8" x14ac:dyDescent="0.25">
      <c r="B37" s="54" t="s">
        <v>141</v>
      </c>
      <c r="C37" s="57" t="s">
        <v>11</v>
      </c>
      <c r="D37" s="40">
        <f>E6</f>
        <v>2.87</v>
      </c>
      <c r="E37" s="60" t="s">
        <v>13</v>
      </c>
      <c r="F37" s="40">
        <f>J6-E6</f>
        <v>1.0499999999999998</v>
      </c>
      <c r="G37" s="60" t="s">
        <v>12</v>
      </c>
      <c r="H37" s="40">
        <f>I6-E6</f>
        <v>-0.92000000000000015</v>
      </c>
    </row>
    <row r="38" spans="1:8" x14ac:dyDescent="0.25">
      <c r="A38">
        <v>4</v>
      </c>
      <c r="B38" s="55"/>
      <c r="C38" s="58"/>
      <c r="D38" s="41">
        <f t="shared" ref="D38:D39" si="8">E7</f>
        <v>2.74</v>
      </c>
      <c r="E38" s="61"/>
      <c r="F38" s="41">
        <f t="shared" ref="F38:F39" si="9">J7-E7</f>
        <v>0.19999999999999973</v>
      </c>
      <c r="G38" s="61"/>
      <c r="H38" s="41">
        <f t="shared" ref="H38:H39" si="10">I7-E7</f>
        <v>1.5599999999999996</v>
      </c>
    </row>
    <row r="39" spans="1:8" x14ac:dyDescent="0.25">
      <c r="B39" s="56"/>
      <c r="C39" s="59"/>
      <c r="D39" s="42">
        <f t="shared" si="8"/>
        <v>3.04</v>
      </c>
      <c r="E39" s="62"/>
      <c r="F39" s="42">
        <f t="shared" si="9"/>
        <v>-2.06</v>
      </c>
      <c r="G39" s="62"/>
      <c r="H39" s="42">
        <f t="shared" si="10"/>
        <v>-1.3900000000000001</v>
      </c>
    </row>
    <row r="40" spans="1:8" x14ac:dyDescent="0.25">
      <c r="B40" s="54" t="s">
        <v>142</v>
      </c>
      <c r="C40" s="57" t="s">
        <v>11</v>
      </c>
      <c r="D40" s="40">
        <f>E6</f>
        <v>2.87</v>
      </c>
      <c r="E40" s="60" t="s">
        <v>13</v>
      </c>
      <c r="F40" s="40">
        <f>L6-E6</f>
        <v>1.5300000000000002</v>
      </c>
      <c r="G40" s="60" t="s">
        <v>12</v>
      </c>
      <c r="H40" s="40">
        <f>J6-E6</f>
        <v>1.0499999999999998</v>
      </c>
    </row>
    <row r="41" spans="1:8" x14ac:dyDescent="0.25">
      <c r="A41">
        <v>5</v>
      </c>
      <c r="B41" s="55"/>
      <c r="C41" s="58"/>
      <c r="D41" s="41">
        <f t="shared" ref="D41:D42" si="11">E7</f>
        <v>2.74</v>
      </c>
      <c r="E41" s="61"/>
      <c r="F41" s="41">
        <f>L7-E7</f>
        <v>-1.2000000000000002</v>
      </c>
      <c r="G41" s="61"/>
      <c r="H41" s="41">
        <f t="shared" ref="H41:H42" si="12">J7-E7</f>
        <v>0.19999999999999973</v>
      </c>
    </row>
    <row r="42" spans="1:8" x14ac:dyDescent="0.25">
      <c r="B42" s="56"/>
      <c r="C42" s="59"/>
      <c r="D42" s="42">
        <f t="shared" si="11"/>
        <v>3.04</v>
      </c>
      <c r="E42" s="62"/>
      <c r="F42" s="42">
        <f>L8-E8</f>
        <v>-1.22</v>
      </c>
      <c r="G42" s="62"/>
      <c r="H42" s="42">
        <f t="shared" si="12"/>
        <v>-2.06</v>
      </c>
    </row>
    <row r="43" spans="1:8" x14ac:dyDescent="0.25">
      <c r="B43" s="54" t="s">
        <v>143</v>
      </c>
      <c r="C43" s="57" t="s">
        <v>11</v>
      </c>
      <c r="D43" s="40">
        <f>C6</f>
        <v>1.23</v>
      </c>
      <c r="E43" s="60" t="s">
        <v>13</v>
      </c>
      <c r="F43" s="40">
        <f>K6-C6</f>
        <v>1.2999999999999998</v>
      </c>
      <c r="G43" s="60" t="s">
        <v>12</v>
      </c>
      <c r="H43" s="40">
        <f>E6-C6</f>
        <v>1.6400000000000001</v>
      </c>
    </row>
    <row r="44" spans="1:8" x14ac:dyDescent="0.25">
      <c r="A44">
        <v>6</v>
      </c>
      <c r="B44" s="55"/>
      <c r="C44" s="58"/>
      <c r="D44" s="41">
        <f t="shared" ref="D44:D45" si="13">C7</f>
        <v>2.62</v>
      </c>
      <c r="E44" s="61"/>
      <c r="F44" s="41">
        <f t="shared" ref="F44:F45" si="14">K7-C7</f>
        <v>-1.6800000000000002</v>
      </c>
      <c r="G44" s="61"/>
      <c r="H44" s="41">
        <f t="shared" ref="H44:H45" si="15">E7-C7</f>
        <v>0.12000000000000011</v>
      </c>
    </row>
    <row r="45" spans="1:8" x14ac:dyDescent="0.25">
      <c r="B45" s="56"/>
      <c r="C45" s="59"/>
      <c r="D45" s="42">
        <f t="shared" si="13"/>
        <v>4.08</v>
      </c>
      <c r="E45" s="62"/>
      <c r="F45" s="42">
        <f t="shared" si="14"/>
        <v>0.12999999999999989</v>
      </c>
      <c r="G45" s="62"/>
      <c r="H45" s="42">
        <f t="shared" si="15"/>
        <v>-1.04</v>
      </c>
    </row>
    <row r="46" spans="1:8" x14ac:dyDescent="0.25">
      <c r="B46" s="54" t="s">
        <v>135</v>
      </c>
      <c r="C46" s="57" t="s">
        <v>11</v>
      </c>
      <c r="D46" s="40">
        <f>E6</f>
        <v>2.87</v>
      </c>
      <c r="E46" s="60" t="s">
        <v>13</v>
      </c>
      <c r="F46" s="40">
        <f>K6-E6</f>
        <v>-0.3400000000000003</v>
      </c>
      <c r="G46" s="60" t="s">
        <v>12</v>
      </c>
      <c r="H46" s="40">
        <f>L6-E6</f>
        <v>1.5300000000000002</v>
      </c>
    </row>
    <row r="47" spans="1:8" x14ac:dyDescent="0.25">
      <c r="A47">
        <v>7</v>
      </c>
      <c r="B47" s="55"/>
      <c r="C47" s="58"/>
      <c r="D47" s="41">
        <f t="shared" ref="D47:D48" si="16">E7</f>
        <v>2.74</v>
      </c>
      <c r="E47" s="61"/>
      <c r="F47" s="41">
        <f t="shared" ref="F47:F48" si="17">K7-E7</f>
        <v>-1.8000000000000003</v>
      </c>
      <c r="G47" s="61"/>
      <c r="H47" s="41">
        <f t="shared" ref="H47:H48" si="18">L7-E7</f>
        <v>-1.2000000000000002</v>
      </c>
    </row>
    <row r="48" spans="1:8" x14ac:dyDescent="0.25">
      <c r="B48" s="56"/>
      <c r="C48" s="59"/>
      <c r="D48" s="42">
        <f t="shared" si="16"/>
        <v>3.04</v>
      </c>
      <c r="E48" s="62"/>
      <c r="F48" s="42">
        <f t="shared" si="17"/>
        <v>1.17</v>
      </c>
      <c r="G48" s="62"/>
      <c r="H48" s="42">
        <f t="shared" si="18"/>
        <v>-1.22</v>
      </c>
    </row>
    <row r="49" spans="1:8" x14ac:dyDescent="0.25">
      <c r="B49" s="54" t="s">
        <v>144</v>
      </c>
      <c r="C49" s="57" t="s">
        <v>11</v>
      </c>
      <c r="D49" s="40">
        <f>C6</f>
        <v>1.23</v>
      </c>
      <c r="E49" s="60" t="s">
        <v>13</v>
      </c>
      <c r="F49" s="40">
        <f>M6-C6</f>
        <v>-0.78</v>
      </c>
      <c r="G49" s="60" t="s">
        <v>12</v>
      </c>
      <c r="H49" s="40">
        <f>K6-C6</f>
        <v>1.2999999999999998</v>
      </c>
    </row>
    <row r="50" spans="1:8" x14ac:dyDescent="0.25">
      <c r="A50">
        <v>8</v>
      </c>
      <c r="B50" s="55"/>
      <c r="C50" s="58"/>
      <c r="D50" s="41">
        <f t="shared" ref="D50:D51" si="19">C7</f>
        <v>2.62</v>
      </c>
      <c r="E50" s="61"/>
      <c r="F50" s="41">
        <f t="shared" ref="F50:F51" si="20">M7-C7</f>
        <v>-1.3900000000000001</v>
      </c>
      <c r="G50" s="61"/>
      <c r="H50" s="41">
        <f t="shared" ref="H50:H51" si="21">K7-C7</f>
        <v>-1.6800000000000002</v>
      </c>
    </row>
    <row r="51" spans="1:8" x14ac:dyDescent="0.25">
      <c r="B51" s="56"/>
      <c r="C51" s="59"/>
      <c r="D51" s="42">
        <f t="shared" si="19"/>
        <v>4.08</v>
      </c>
      <c r="E51" s="62"/>
      <c r="F51" s="42">
        <f t="shared" si="20"/>
        <v>0.75</v>
      </c>
      <c r="G51" s="62"/>
      <c r="H51" s="42">
        <f t="shared" si="21"/>
        <v>0.12999999999999989</v>
      </c>
    </row>
    <row r="52" spans="1:8" x14ac:dyDescent="0.25">
      <c r="B52" s="54" t="s">
        <v>137</v>
      </c>
      <c r="C52" s="57" t="s">
        <v>11</v>
      </c>
      <c r="D52" s="40">
        <f>C6</f>
        <v>1.23</v>
      </c>
      <c r="E52" s="60" t="s">
        <v>13</v>
      </c>
      <c r="F52" s="40">
        <f>D6-C6</f>
        <v>-0.91999999999999993</v>
      </c>
      <c r="G52" s="60" t="s">
        <v>12</v>
      </c>
      <c r="H52" s="40">
        <f>M6-C6</f>
        <v>-0.78</v>
      </c>
    </row>
    <row r="53" spans="1:8" x14ac:dyDescent="0.25">
      <c r="A53">
        <v>9</v>
      </c>
      <c r="B53" s="55"/>
      <c r="C53" s="58"/>
      <c r="D53" s="41">
        <f t="shared" ref="D53:D54" si="22">C7</f>
        <v>2.62</v>
      </c>
      <c r="E53" s="61"/>
      <c r="F53" s="41">
        <f t="shared" ref="F53:F54" si="23">D7-C7</f>
        <v>1.0699999999999998</v>
      </c>
      <c r="G53" s="61"/>
      <c r="H53" s="41">
        <f t="shared" ref="H53:H54" si="24">M7-C7</f>
        <v>-1.3900000000000001</v>
      </c>
    </row>
    <row r="54" spans="1:8" x14ac:dyDescent="0.25">
      <c r="B54" s="56"/>
      <c r="C54" s="59"/>
      <c r="D54" s="42">
        <f t="shared" si="22"/>
        <v>4.08</v>
      </c>
      <c r="E54" s="62"/>
      <c r="F54" s="42">
        <f t="shared" si="23"/>
        <v>-0.7200000000000002</v>
      </c>
      <c r="G54" s="62"/>
      <c r="H54" s="42">
        <f t="shared" si="24"/>
        <v>0.75</v>
      </c>
    </row>
    <row r="55" spans="1:8" x14ac:dyDescent="0.25">
      <c r="B55" s="54" t="s">
        <v>138</v>
      </c>
      <c r="C55" s="57" t="s">
        <v>11</v>
      </c>
      <c r="D55" s="40">
        <f>D6</f>
        <v>0.31</v>
      </c>
      <c r="E55" s="60" t="s">
        <v>13</v>
      </c>
      <c r="F55" s="40">
        <f>H6-D6</f>
        <v>-0.31</v>
      </c>
      <c r="G55" s="60" t="s">
        <v>12</v>
      </c>
      <c r="H55" s="40">
        <f>M6-D6</f>
        <v>0.14000000000000001</v>
      </c>
    </row>
    <row r="56" spans="1:8" x14ac:dyDescent="0.25">
      <c r="A56">
        <v>10</v>
      </c>
      <c r="B56" s="55"/>
      <c r="C56" s="58"/>
      <c r="D56" s="41">
        <f t="shared" ref="D56:D57" si="25">D7</f>
        <v>3.69</v>
      </c>
      <c r="E56" s="61"/>
      <c r="F56" s="41">
        <f t="shared" ref="F56:F57" si="26">H7-D7</f>
        <v>-3.69</v>
      </c>
      <c r="G56" s="61"/>
      <c r="H56" s="41">
        <f t="shared" ref="H56:H57" si="27">M7-D7</f>
        <v>-2.46</v>
      </c>
    </row>
    <row r="57" spans="1:8" x14ac:dyDescent="0.25">
      <c r="B57" s="56"/>
      <c r="C57" s="59"/>
      <c r="D57" s="42">
        <f t="shared" si="25"/>
        <v>3.36</v>
      </c>
      <c r="E57" s="62"/>
      <c r="F57" s="42">
        <f t="shared" si="26"/>
        <v>1.6400000000000001</v>
      </c>
      <c r="G57" s="62"/>
      <c r="H57" s="42">
        <f t="shared" si="27"/>
        <v>1.4700000000000002</v>
      </c>
    </row>
    <row r="58" spans="1:8" x14ac:dyDescent="0.25">
      <c r="B58" s="44"/>
      <c r="C58" s="45"/>
      <c r="D58" s="45"/>
      <c r="E58" s="46"/>
      <c r="F58" s="45"/>
      <c r="G58" s="46"/>
      <c r="H58" s="45"/>
    </row>
    <row r="59" spans="1:8" x14ac:dyDescent="0.25">
      <c r="B59" s="44"/>
      <c r="C59" s="45"/>
      <c r="D59" s="45"/>
      <c r="E59" s="46"/>
      <c r="F59" s="45"/>
      <c r="G59" s="46"/>
      <c r="H59" s="45"/>
    </row>
    <row r="60" spans="1:8" x14ac:dyDescent="0.25">
      <c r="B60" s="44"/>
      <c r="C60" s="45"/>
      <c r="D60" s="45"/>
      <c r="E60" s="46"/>
      <c r="F60" s="45"/>
      <c r="G60" s="46"/>
      <c r="H60" s="45"/>
    </row>
    <row r="61" spans="1:8" x14ac:dyDescent="0.25">
      <c r="B61" s="44"/>
      <c r="C61" s="45"/>
      <c r="D61" s="45"/>
      <c r="E61" s="46"/>
      <c r="F61" s="45"/>
      <c r="G61" s="46"/>
      <c r="H61" s="45"/>
    </row>
    <row r="62" spans="1:8" x14ac:dyDescent="0.25">
      <c r="B62" s="44"/>
      <c r="C62" s="45"/>
      <c r="D62" s="45"/>
      <c r="E62" s="46"/>
      <c r="F62" s="45"/>
      <c r="G62" s="46"/>
      <c r="H62" s="45"/>
    </row>
    <row r="63" spans="1:8" x14ac:dyDescent="0.25">
      <c r="B63" s="44"/>
      <c r="C63" s="45"/>
      <c r="D63" s="45"/>
      <c r="E63" s="46"/>
      <c r="F63" s="45"/>
      <c r="G63" s="46"/>
      <c r="H63" s="45"/>
    </row>
    <row r="64" spans="1:8" x14ac:dyDescent="0.25">
      <c r="B64" s="44"/>
      <c r="C64" s="45"/>
      <c r="D64" s="45"/>
      <c r="E64" s="46"/>
      <c r="F64" s="45"/>
      <c r="G64" s="46"/>
      <c r="H64" s="45"/>
    </row>
    <row r="65" spans="2:7" x14ac:dyDescent="0.25">
      <c r="D65" s="4"/>
      <c r="F65" s="4"/>
    </row>
    <row r="67" spans="2:7" s="14" customFormat="1" x14ac:dyDescent="0.25">
      <c r="B67" s="15" t="s">
        <v>18</v>
      </c>
    </row>
    <row r="69" spans="2:7" x14ac:dyDescent="0.25">
      <c r="B69" s="5" t="s">
        <v>77</v>
      </c>
    </row>
    <row r="70" spans="2:7" x14ac:dyDescent="0.25">
      <c r="B70" s="54" t="s">
        <v>139</v>
      </c>
      <c r="C70" s="22">
        <f>(F29*H30)-(F30*H29)</f>
        <v>1.0263999999999998</v>
      </c>
      <c r="D70" s="21"/>
      <c r="E70" s="21"/>
      <c r="F70" s="21"/>
      <c r="G70" s="21"/>
    </row>
    <row r="71" spans="2:7" x14ac:dyDescent="0.25">
      <c r="B71" s="55"/>
      <c r="C71" s="23">
        <f>(F30*H28)-(F28*H30)</f>
        <v>2.1376000000000004</v>
      </c>
      <c r="D71" s="21"/>
      <c r="E71" s="21"/>
      <c r="G71" s="21"/>
    </row>
    <row r="72" spans="2:7" x14ac:dyDescent="0.25">
      <c r="B72" s="56"/>
      <c r="C72" s="24">
        <f>(F28*H29)-(F29*H28)</f>
        <v>1.8652</v>
      </c>
      <c r="D72" s="21"/>
      <c r="E72" s="21"/>
      <c r="G72" s="21"/>
    </row>
    <row r="73" spans="2:7" x14ac:dyDescent="0.25">
      <c r="B73" s="54" t="s">
        <v>79</v>
      </c>
      <c r="C73" s="22">
        <f>(F32*H33)-(F33*H32)</f>
        <v>1.8196999999999994</v>
      </c>
      <c r="D73" s="21"/>
      <c r="E73" s="21"/>
      <c r="G73" s="21"/>
    </row>
    <row r="74" spans="2:7" x14ac:dyDescent="0.25">
      <c r="B74" s="55"/>
      <c r="C74" s="23">
        <f>(F33*H31)-(F31*H33)</f>
        <v>3.8528000000000002</v>
      </c>
      <c r="D74" s="21"/>
      <c r="E74" s="21"/>
      <c r="G74" s="21"/>
    </row>
    <row r="75" spans="2:7" x14ac:dyDescent="0.25">
      <c r="B75" s="56"/>
      <c r="C75" s="24">
        <f>(F31*H32)-(F32*H31)</f>
        <v>3.1195999999999993</v>
      </c>
      <c r="D75" s="21"/>
      <c r="E75" s="21"/>
      <c r="G75" s="21"/>
    </row>
    <row r="76" spans="2:7" x14ac:dyDescent="0.25">
      <c r="B76" s="54" t="s">
        <v>140</v>
      </c>
      <c r="C76" s="22">
        <f>(F35*H36)-(F36*H35)</f>
        <v>0.19050000000000056</v>
      </c>
      <c r="D76" s="21"/>
      <c r="E76" s="21"/>
      <c r="G76" s="21"/>
    </row>
    <row r="77" spans="2:7" x14ac:dyDescent="0.25">
      <c r="B77" s="55"/>
      <c r="C77" s="23">
        <f>(F36*H34)-(F34*H36)</f>
        <v>6.0404999999999998</v>
      </c>
      <c r="D77" s="21"/>
      <c r="E77" s="21"/>
      <c r="G77" s="21"/>
    </row>
    <row r="78" spans="2:7" x14ac:dyDescent="0.25">
      <c r="B78" s="56"/>
      <c r="C78" s="24">
        <f>(F34*H35)-(F35*H34)</f>
        <v>2.3374999999999999</v>
      </c>
      <c r="D78" s="21"/>
      <c r="E78" s="21"/>
      <c r="F78" s="21"/>
      <c r="G78" s="21"/>
    </row>
    <row r="79" spans="2:7" x14ac:dyDescent="0.25">
      <c r="B79" s="54" t="s">
        <v>141</v>
      </c>
      <c r="C79" s="22">
        <f>(F38*H39)-(F39*H38)</f>
        <v>2.9355999999999995</v>
      </c>
      <c r="D79" s="21"/>
      <c r="E79" s="21"/>
      <c r="F79" s="21"/>
      <c r="G79" s="21"/>
    </row>
    <row r="80" spans="2:7" x14ac:dyDescent="0.25">
      <c r="B80" s="55"/>
      <c r="C80" s="23">
        <f>(F39*H37)-(F37*H39)</f>
        <v>3.3547000000000002</v>
      </c>
      <c r="D80" s="21"/>
      <c r="E80" s="21"/>
      <c r="F80" s="21"/>
      <c r="G80" s="21"/>
    </row>
    <row r="81" spans="2:7" x14ac:dyDescent="0.25">
      <c r="B81" s="56"/>
      <c r="C81" s="24">
        <f>(F37*H38)-(F38*H37)</f>
        <v>1.821999999999999</v>
      </c>
      <c r="D81" s="21"/>
      <c r="E81" s="21"/>
      <c r="F81" s="21"/>
      <c r="G81" s="21"/>
    </row>
    <row r="82" spans="2:7" x14ac:dyDescent="0.25">
      <c r="B82" s="54" t="s">
        <v>142</v>
      </c>
      <c r="C82" s="22">
        <f>(F41*H42)-(F42*H41)</f>
        <v>2.7160000000000002</v>
      </c>
      <c r="D82" s="21"/>
      <c r="E82" s="21"/>
      <c r="F82" s="21"/>
      <c r="G82" s="21"/>
    </row>
    <row r="83" spans="2:7" x14ac:dyDescent="0.25">
      <c r="B83" s="55"/>
      <c r="C83" s="23">
        <f>(F42*H40)-(F40*H42)</f>
        <v>1.8708000000000009</v>
      </c>
      <c r="D83" s="21"/>
      <c r="E83" s="21"/>
      <c r="F83" s="21"/>
      <c r="G83" s="21"/>
    </row>
    <row r="84" spans="2:7" x14ac:dyDescent="0.25">
      <c r="B84" s="56"/>
      <c r="C84" s="24">
        <f>(F40*H41)-(F41*H40)</f>
        <v>1.5659999999999996</v>
      </c>
    </row>
    <row r="85" spans="2:7" x14ac:dyDescent="0.25">
      <c r="B85" s="54" t="s">
        <v>143</v>
      </c>
      <c r="C85" s="22">
        <f>(F44*H45)-(F45*H44)</f>
        <v>1.7316000000000003</v>
      </c>
    </row>
    <row r="86" spans="2:7" x14ac:dyDescent="0.25">
      <c r="B86" s="55"/>
      <c r="C86" s="23">
        <f>(F45*H43)-(F43*H45)</f>
        <v>1.5651999999999997</v>
      </c>
    </row>
    <row r="87" spans="2:7" x14ac:dyDescent="0.25">
      <c r="B87" s="56"/>
      <c r="C87" s="24">
        <f>(F43*H44)-(F44*H43)</f>
        <v>2.9112000000000005</v>
      </c>
    </row>
    <row r="88" spans="2:7" x14ac:dyDescent="0.25">
      <c r="B88" s="54" t="s">
        <v>135</v>
      </c>
      <c r="C88" s="22">
        <f>(F47*H48)-(F48*H47)</f>
        <v>3.6000000000000005</v>
      </c>
    </row>
    <row r="89" spans="2:7" x14ac:dyDescent="0.25">
      <c r="B89" s="55"/>
      <c r="C89" s="23">
        <f>(F48*H46)-(F46*H48)</f>
        <v>1.3753</v>
      </c>
    </row>
    <row r="90" spans="2:7" x14ac:dyDescent="0.25">
      <c r="B90" s="56"/>
      <c r="C90" s="24">
        <f>(F46*H47)-(F47*H46)</f>
        <v>3.1620000000000013</v>
      </c>
    </row>
    <row r="91" spans="2:7" x14ac:dyDescent="0.25">
      <c r="B91" s="54" t="s">
        <v>144</v>
      </c>
      <c r="C91" s="22">
        <f>(F50*H51)-(F51*H50)</f>
        <v>1.0793000000000004</v>
      </c>
    </row>
    <row r="92" spans="2:7" x14ac:dyDescent="0.25">
      <c r="B92" s="55"/>
      <c r="C92" s="23">
        <f>(F51*H49)-(F49*H51)</f>
        <v>1.0763999999999998</v>
      </c>
    </row>
    <row r="93" spans="2:7" x14ac:dyDescent="0.25">
      <c r="B93" s="56"/>
      <c r="C93" s="24">
        <f>(F49*H50)-(F50*H49)</f>
        <v>3.1173999999999999</v>
      </c>
    </row>
    <row r="94" spans="2:7" x14ac:dyDescent="0.25">
      <c r="B94" s="54" t="s">
        <v>137</v>
      </c>
      <c r="C94" s="22">
        <f>(F53*H54)-(F54*H53)</f>
        <v>-0.19830000000000048</v>
      </c>
    </row>
    <row r="95" spans="2:7" x14ac:dyDescent="0.25">
      <c r="B95" s="55"/>
      <c r="C95" s="23">
        <f>(F54*H52)-(F52*H54)</f>
        <v>1.2516000000000003</v>
      </c>
    </row>
    <row r="96" spans="2:7" x14ac:dyDescent="0.25">
      <c r="B96" s="56"/>
      <c r="C96" s="24">
        <f>(F52*H53)-(F53*H52)</f>
        <v>2.1133999999999999</v>
      </c>
    </row>
    <row r="97" spans="2:7" x14ac:dyDescent="0.25">
      <c r="B97" s="54" t="s">
        <v>138</v>
      </c>
      <c r="C97" s="22">
        <f>(F56*H57)-(F57*H56)</f>
        <v>-1.3898999999999999</v>
      </c>
    </row>
    <row r="98" spans="2:7" x14ac:dyDescent="0.25">
      <c r="B98" s="55"/>
      <c r="C98" s="23">
        <f>(F57*H55)-(F55*H57)</f>
        <v>0.68530000000000002</v>
      </c>
    </row>
    <row r="99" spans="2:7" x14ac:dyDescent="0.25">
      <c r="B99" s="56"/>
      <c r="C99" s="24">
        <f>(F55*H56)-(F56*H55)</f>
        <v>1.2791999999999999</v>
      </c>
    </row>
    <row r="100" spans="2:7" x14ac:dyDescent="0.25">
      <c r="B100" s="17"/>
    </row>
    <row r="101" spans="2:7" s="15" customFormat="1" x14ac:dyDescent="0.25">
      <c r="B101" s="15" t="s">
        <v>85</v>
      </c>
    </row>
    <row r="102" spans="2:7" x14ac:dyDescent="0.25">
      <c r="B102" s="17"/>
    </row>
    <row r="103" spans="2:7" x14ac:dyDescent="0.25">
      <c r="B103" t="s">
        <v>20</v>
      </c>
    </row>
    <row r="104" spans="2:7" x14ac:dyDescent="0.25">
      <c r="B104" t="s">
        <v>21</v>
      </c>
    </row>
    <row r="106" spans="2:7" x14ac:dyDescent="0.25">
      <c r="B106" s="3" t="s">
        <v>81</v>
      </c>
      <c r="C106" s="3" t="s">
        <v>145</v>
      </c>
      <c r="D106" s="3" t="s">
        <v>146</v>
      </c>
      <c r="E106" s="3" t="s">
        <v>147</v>
      </c>
    </row>
    <row r="107" spans="2:7" x14ac:dyDescent="0.25">
      <c r="B107" s="54" t="s">
        <v>139</v>
      </c>
      <c r="C107" s="49">
        <f>(C6+D6+E6)/3</f>
        <v>1.47</v>
      </c>
      <c r="D107" s="49"/>
      <c r="E107" s="49"/>
    </row>
    <row r="108" spans="2:7" x14ac:dyDescent="0.25">
      <c r="B108" s="55"/>
      <c r="C108" s="50">
        <f t="shared" ref="C108:C109" si="28">(C7+D7+E7)/3</f>
        <v>3.0166666666666671</v>
      </c>
      <c r="D108" s="50">
        <f>SQRT(((C107-C6)^2)+((C108-C7)^2)+((C109-C8)^2))</f>
        <v>0.74774475740203095</v>
      </c>
      <c r="E108" s="50">
        <f>SQRT(((C107-D6)^2)+((C108-D7)^2)+((C109-D8)^2))</f>
        <v>1.3478707488314876</v>
      </c>
    </row>
    <row r="109" spans="2:7" x14ac:dyDescent="0.25">
      <c r="B109" s="56"/>
      <c r="C109" s="51">
        <f t="shared" si="28"/>
        <v>3.4933333333333336</v>
      </c>
      <c r="D109" s="52"/>
      <c r="E109" s="51"/>
      <c r="F109" s="6"/>
      <c r="G109" s="6"/>
    </row>
    <row r="110" spans="2:7" x14ac:dyDescent="0.25">
      <c r="B110" s="54" t="s">
        <v>79</v>
      </c>
      <c r="C110" s="49">
        <f>(D6+E6+I6)/3</f>
        <v>1.71</v>
      </c>
      <c r="D110" s="49"/>
      <c r="E110" s="49"/>
      <c r="F110" s="6"/>
      <c r="G110" s="6"/>
    </row>
    <row r="111" spans="2:7" x14ac:dyDescent="0.25">
      <c r="B111" s="55"/>
      <c r="C111" s="50">
        <f t="shared" ref="C111:C112" si="29">(D7+E7+I7)/3</f>
        <v>3.5766666666666667</v>
      </c>
      <c r="D111" s="53" t="s">
        <v>148</v>
      </c>
      <c r="E111" s="50">
        <f>SQRT(((C110-D6)^2)+((C111-D7)^2)+((C112-D8)^2))</f>
        <v>1.5590773624878982</v>
      </c>
      <c r="F111" s="6"/>
      <c r="G111" s="6"/>
    </row>
    <row r="112" spans="2:7" x14ac:dyDescent="0.25">
      <c r="B112" s="56"/>
      <c r="C112" s="51">
        <f t="shared" si="29"/>
        <v>2.6833333333333336</v>
      </c>
      <c r="D112" s="51"/>
      <c r="E112" s="51"/>
    </row>
    <row r="113" spans="2:5" x14ac:dyDescent="0.25">
      <c r="B113" s="54" t="s">
        <v>140</v>
      </c>
      <c r="C113" s="49">
        <f>(D6+I6+F6)/3</f>
        <v>0.7533333333333333</v>
      </c>
      <c r="D113" s="49"/>
      <c r="E113" s="49"/>
    </row>
    <row r="114" spans="2:5" x14ac:dyDescent="0.25">
      <c r="B114" s="55"/>
      <c r="C114" s="50">
        <f t="shared" ref="C114:C115" si="30">(D7+I7+F7)/3</f>
        <v>4.33</v>
      </c>
      <c r="D114" s="50"/>
      <c r="E114" s="50">
        <f>SQRT(((C113-D6)^2)+((C114-D7)^2)+((C115-D8)^2))</f>
        <v>1.8607107363704989</v>
      </c>
    </row>
    <row r="115" spans="2:5" x14ac:dyDescent="0.25">
      <c r="B115" s="56"/>
      <c r="C115" s="51">
        <f t="shared" si="30"/>
        <v>1.67</v>
      </c>
      <c r="D115" s="51"/>
      <c r="E115" s="51"/>
    </row>
    <row r="116" spans="2:5" x14ac:dyDescent="0.25">
      <c r="B116" s="54" t="s">
        <v>141</v>
      </c>
      <c r="C116" s="49">
        <f>(E6+J6+I6)/3</f>
        <v>2.9133333333333336</v>
      </c>
      <c r="D116" s="49"/>
      <c r="E116" s="49"/>
    </row>
    <row r="117" spans="2:5" x14ac:dyDescent="0.25">
      <c r="B117" s="55"/>
      <c r="C117" s="50">
        <f t="shared" ref="C117:C118" si="31">(E7+J7+I7)/3</f>
        <v>3.3266666666666667</v>
      </c>
      <c r="D117" s="53" t="s">
        <v>148</v>
      </c>
      <c r="E117" s="53" t="s">
        <v>148</v>
      </c>
    </row>
    <row r="118" spans="2:5" x14ac:dyDescent="0.25">
      <c r="B118" s="56"/>
      <c r="C118" s="51">
        <f t="shared" si="31"/>
        <v>1.89</v>
      </c>
      <c r="D118" s="51"/>
      <c r="E118" s="51"/>
    </row>
    <row r="119" spans="2:5" x14ac:dyDescent="0.25">
      <c r="B119" s="54" t="s">
        <v>142</v>
      </c>
      <c r="C119" s="49">
        <f>(E6+L6+J6)/3</f>
        <v>3.7300000000000004</v>
      </c>
      <c r="D119" s="49"/>
      <c r="E119" s="49"/>
    </row>
    <row r="120" spans="2:5" x14ac:dyDescent="0.25">
      <c r="B120" s="55"/>
      <c r="C120" s="50">
        <f t="shared" ref="C120:C121" si="32">(E7+L7+J7)/3</f>
        <v>2.4066666666666667</v>
      </c>
      <c r="D120" s="53" t="s">
        <v>148</v>
      </c>
      <c r="E120" s="53" t="s">
        <v>148</v>
      </c>
    </row>
    <row r="121" spans="2:5" x14ac:dyDescent="0.25">
      <c r="B121" s="56"/>
      <c r="C121" s="51">
        <f t="shared" si="32"/>
        <v>1.9466666666666665</v>
      </c>
      <c r="D121" s="51"/>
      <c r="E121" s="51"/>
    </row>
    <row r="122" spans="2:5" x14ac:dyDescent="0.25">
      <c r="B122" s="54" t="s">
        <v>143</v>
      </c>
      <c r="C122" s="49">
        <f>(C6+K6+E6)/3</f>
        <v>2.21</v>
      </c>
      <c r="D122" s="49"/>
      <c r="E122" s="49"/>
    </row>
    <row r="123" spans="2:5" x14ac:dyDescent="0.25">
      <c r="B123" s="55"/>
      <c r="C123" s="50">
        <f t="shared" ref="C123:C124" si="33">(C7+K7+E7)/3</f>
        <v>2.1</v>
      </c>
      <c r="D123" s="50">
        <f>SQRT(((C122-C6)^2)+((C123-C7)^2)+((C124-C8)^2))</f>
        <v>1.150135257746284</v>
      </c>
      <c r="E123" s="53" t="s">
        <v>148</v>
      </c>
    </row>
    <row r="124" spans="2:5" x14ac:dyDescent="0.25">
      <c r="B124" s="56"/>
      <c r="C124" s="51">
        <f t="shared" si="33"/>
        <v>3.776666666666666</v>
      </c>
      <c r="D124" s="51"/>
      <c r="E124" s="51"/>
    </row>
    <row r="125" spans="2:5" x14ac:dyDescent="0.25">
      <c r="B125" s="54" t="s">
        <v>135</v>
      </c>
      <c r="C125" s="49">
        <f>(E6+K6+L6)/3</f>
        <v>3.2666666666666671</v>
      </c>
      <c r="D125" s="49"/>
      <c r="E125" s="49"/>
    </row>
    <row r="126" spans="2:5" x14ac:dyDescent="0.25">
      <c r="B126" s="55"/>
      <c r="C126" s="50">
        <f t="shared" ref="C126:C127" si="34">(E7+K7+L7)/3</f>
        <v>1.7400000000000002</v>
      </c>
      <c r="D126" s="53" t="s">
        <v>148</v>
      </c>
      <c r="E126" s="53" t="s">
        <v>148</v>
      </c>
    </row>
    <row r="127" spans="2:5" x14ac:dyDescent="0.25">
      <c r="B127" s="56"/>
      <c r="C127" s="51">
        <f t="shared" si="34"/>
        <v>3.0233333333333334</v>
      </c>
      <c r="D127" s="51"/>
      <c r="E127" s="51"/>
    </row>
    <row r="128" spans="2:5" x14ac:dyDescent="0.25">
      <c r="B128" s="54" t="s">
        <v>144</v>
      </c>
      <c r="C128" s="49">
        <f>(C6+M6+K6)/3</f>
        <v>1.4033333333333333</v>
      </c>
      <c r="D128" s="49"/>
      <c r="E128" s="49"/>
    </row>
    <row r="129" spans="2:6" x14ac:dyDescent="0.25">
      <c r="B129" s="55"/>
      <c r="C129" s="50">
        <f t="shared" ref="C129:C130" si="35">(C7+M7+K7)/3</f>
        <v>1.5966666666666667</v>
      </c>
      <c r="D129" s="50">
        <f>SQRT(((C128-C6)^2)+((C129-C7)^2)+((C130-C8)^2))</f>
        <v>1.0785638599545233</v>
      </c>
      <c r="E129" s="53" t="s">
        <v>148</v>
      </c>
    </row>
    <row r="130" spans="2:6" x14ac:dyDescent="0.25">
      <c r="B130" s="56"/>
      <c r="C130" s="51">
        <f t="shared" si="35"/>
        <v>4.373333333333334</v>
      </c>
      <c r="D130" s="51"/>
      <c r="E130" s="51"/>
    </row>
    <row r="131" spans="2:6" x14ac:dyDescent="0.25">
      <c r="B131" s="54" t="s">
        <v>137</v>
      </c>
      <c r="C131" s="49">
        <f>(C6+D6+M6)/3</f>
        <v>0.66333333333333333</v>
      </c>
      <c r="D131" s="49"/>
      <c r="E131" s="49"/>
    </row>
    <row r="132" spans="2:6" x14ac:dyDescent="0.25">
      <c r="B132" s="55"/>
      <c r="C132" s="50">
        <f t="shared" ref="C132:C133" si="36">(C7+D7+M7)/3</f>
        <v>2.5133333333333336</v>
      </c>
      <c r="D132" s="50">
        <f>SQRT(((C131-C6)^2)+((C132-C7)^2)+((C133-C8)^2))</f>
        <v>0.57670520102465594</v>
      </c>
      <c r="E132" s="50">
        <f>SQRT(((C131-D6)^2)+((C132-D7)^2)+((C133-D8)^2))</f>
        <v>1.4290867324584915</v>
      </c>
    </row>
    <row r="133" spans="2:6" x14ac:dyDescent="0.25">
      <c r="B133" s="56"/>
      <c r="C133" s="51">
        <f t="shared" si="36"/>
        <v>4.09</v>
      </c>
      <c r="D133" s="51"/>
      <c r="E133" s="51"/>
    </row>
    <row r="134" spans="2:6" x14ac:dyDescent="0.25">
      <c r="B134" s="54" t="s">
        <v>138</v>
      </c>
      <c r="C134" s="50">
        <f>(D6+H6+M6)/3</f>
        <v>0.25333333333333335</v>
      </c>
      <c r="D134" s="50"/>
      <c r="E134" s="50"/>
    </row>
    <row r="135" spans="2:6" x14ac:dyDescent="0.25">
      <c r="B135" s="55"/>
      <c r="C135" s="50">
        <f>(D7+H7+M7)/3</f>
        <v>1.64</v>
      </c>
      <c r="D135" s="53" t="s">
        <v>148</v>
      </c>
      <c r="E135" s="50">
        <f>SQRT(((C134-D6)^2)+((C135-D7)^2)+((C136-D8)^2))</f>
        <v>2.2979096781398716</v>
      </c>
    </row>
    <row r="136" spans="2:6" x14ac:dyDescent="0.25">
      <c r="B136" s="56"/>
      <c r="C136" s="51">
        <f>(D8+H8+M8)/3</f>
        <v>4.3966666666666665</v>
      </c>
      <c r="D136" s="51"/>
      <c r="E136" s="51"/>
    </row>
    <row r="138" spans="2:6" x14ac:dyDescent="0.25">
      <c r="B138" s="3" t="s">
        <v>26</v>
      </c>
      <c r="C138" s="3" t="s">
        <v>27</v>
      </c>
    </row>
    <row r="139" spans="2:6" x14ac:dyDescent="0.25">
      <c r="B139" s="6">
        <f>((1/$D$108*C70)+(1/$D$123*C85)+(1/$D$129*C91)+(1/$D$132*C94))/(COUNT(C70,C85,C91,C94))</f>
        <v>0.88376390688887874</v>
      </c>
      <c r="C139" s="6">
        <f>((1/$E$108*C70)+(1/$E$111*C73)+(1/$E$114*C76)+(1/$E$132*C94)+(1/$E$135*C97))/(COUNT(C70,C73,C76,C94,C97))</f>
        <v>0.25748564662383489</v>
      </c>
      <c r="E139" s="6">
        <v>0.90974999999999995</v>
      </c>
      <c r="F139" s="6">
        <v>0.28967999999999983</v>
      </c>
    </row>
    <row r="140" spans="2:6" x14ac:dyDescent="0.25">
      <c r="B140" s="6">
        <f t="shared" ref="B140:B141" si="37">((1/$D$108*C71)+(1/$D$123*C86)+(1/$D$129*C92)+(1/$D$132*C95))/(COUNT(C71,C86,C92,C95))</f>
        <v>1.8469665705445655</v>
      </c>
      <c r="C140" s="6">
        <f t="shared" ref="C140:C141" si="38">((1/$E$108*C71)+(1/$E$111*C74)+(1/$E$114*C77)+(1/$E$132*C95)+(1/$E$135*C98))/(COUNT(C71,C74,C77,C95,C98))</f>
        <v>1.6954971395969818</v>
      </c>
      <c r="E140" s="6">
        <v>1.5076999999999998</v>
      </c>
      <c r="F140" s="6">
        <v>2.7935600000000003</v>
      </c>
    </row>
    <row r="141" spans="2:6" x14ac:dyDescent="0.25">
      <c r="B141" s="6">
        <f t="shared" si="37"/>
        <v>2.8951375393604577</v>
      </c>
      <c r="C141" s="6">
        <f t="shared" si="38"/>
        <v>1.3353012043357617</v>
      </c>
      <c r="E141" s="6">
        <v>2.5018000000000002</v>
      </c>
      <c r="F141" s="6">
        <v>2.1429799999999997</v>
      </c>
    </row>
    <row r="146" spans="2:21" s="14" customFormat="1" x14ac:dyDescent="0.25">
      <c r="B146" s="15" t="s">
        <v>48</v>
      </c>
    </row>
    <row r="148" spans="2:21" x14ac:dyDescent="0.25">
      <c r="B148" s="26" t="s">
        <v>29</v>
      </c>
      <c r="C148" s="27"/>
      <c r="D148" s="27"/>
      <c r="E148" s="27"/>
      <c r="F148" s="27"/>
      <c r="G148" s="25" t="s">
        <v>89</v>
      </c>
      <c r="H148" s="1"/>
      <c r="I148" s="1"/>
      <c r="J148" s="1"/>
      <c r="K148" s="1"/>
      <c r="L148" s="1"/>
      <c r="M148" s="15" t="s">
        <v>90</v>
      </c>
      <c r="N148" s="14"/>
      <c r="O148" s="14"/>
      <c r="P148" s="14"/>
      <c r="Q148" s="29" t="s">
        <v>91</v>
      </c>
      <c r="R148" s="30"/>
      <c r="S148" s="30"/>
      <c r="T148" s="30"/>
      <c r="U148" s="30"/>
    </row>
    <row r="149" spans="2:21" x14ac:dyDescent="0.25">
      <c r="B149" s="27"/>
      <c r="C149" s="27">
        <f>C6</f>
        <v>1.23</v>
      </c>
      <c r="D149" s="27"/>
      <c r="E149" s="27">
        <f>D6-C6</f>
        <v>-0.91999999999999993</v>
      </c>
      <c r="F149" s="27"/>
      <c r="G149" s="25" t="s">
        <v>31</v>
      </c>
      <c r="H149" s="1">
        <f>(E150*B141)-(B140*E151)</f>
        <v>4.427613097907777</v>
      </c>
      <c r="I149" s="25" t="s">
        <v>32</v>
      </c>
      <c r="J149" s="1">
        <f>(E150*C141)-(C140*E151)</f>
        <v>2.6495302291490921</v>
      </c>
      <c r="K149" s="1"/>
      <c r="L149" s="1"/>
      <c r="M149" s="15" t="s">
        <v>34</v>
      </c>
      <c r="N149" s="14">
        <f>(H150*B141)-(B140*H151)</f>
        <v>10.753995488307053</v>
      </c>
      <c r="O149" s="15" t="s">
        <v>35</v>
      </c>
      <c r="P149" s="14">
        <f>(J150*C141)-(C140*J151)</f>
        <v>4.5046954341932617</v>
      </c>
      <c r="Q149" s="29" t="s">
        <v>4</v>
      </c>
      <c r="R149" s="30">
        <f>(H150*E151)-(E150*H151)</f>
        <v>1.370379292299974</v>
      </c>
      <c r="S149" s="30"/>
      <c r="T149" s="29" t="s">
        <v>5</v>
      </c>
      <c r="U149" s="30">
        <f>(J150*E151)-(E150*J151)</f>
        <v>1.2128197424966842</v>
      </c>
    </row>
    <row r="150" spans="2:21" x14ac:dyDescent="0.25">
      <c r="B150" s="27" t="s">
        <v>11</v>
      </c>
      <c r="C150" s="27">
        <f>C7</f>
        <v>2.62</v>
      </c>
      <c r="D150" s="28" t="s">
        <v>13</v>
      </c>
      <c r="E150" s="27">
        <f>D7-C7</f>
        <v>1.0699999999999998</v>
      </c>
      <c r="F150" s="27"/>
      <c r="G150" s="1"/>
      <c r="H150" s="1">
        <f>(E151*B139)-(B141*E149)</f>
        <v>2.0272165232516279</v>
      </c>
      <c r="I150" s="1"/>
      <c r="J150" s="1">
        <f>(E151*C139)-(C141*E149)</f>
        <v>1.0430874424197396</v>
      </c>
      <c r="K150" s="1"/>
      <c r="L150" s="1"/>
      <c r="M150" s="14"/>
      <c r="N150" s="14">
        <f>(H151*B139)-(B141*H149)</f>
        <v>-15.155960038550123</v>
      </c>
      <c r="O150" s="14"/>
      <c r="P150" s="14">
        <f>(J151*C139)-(C141*J149)</f>
        <v>-4.0105015673502464</v>
      </c>
      <c r="Q150" s="30"/>
      <c r="R150" s="30">
        <f>(H151*E149)-(E151*H149)</f>
        <v>5.6211311257439327</v>
      </c>
      <c r="S150" s="30"/>
      <c r="T150" s="30"/>
      <c r="U150" s="30">
        <f>(J151*E149)-(E151*J149)</f>
        <v>3.5961994144787353</v>
      </c>
    </row>
    <row r="151" spans="2:21" x14ac:dyDescent="0.25">
      <c r="B151" s="27"/>
      <c r="C151" s="27">
        <f>C8</f>
        <v>4.08</v>
      </c>
      <c r="D151" s="27"/>
      <c r="E151" s="27">
        <f>D8-C8</f>
        <v>-0.7200000000000002</v>
      </c>
      <c r="F151" s="27"/>
      <c r="G151" s="1"/>
      <c r="H151" s="1">
        <f>(E149*B140)-(E150*B139)</f>
        <v>-2.6448366252721001</v>
      </c>
      <c r="I151" s="1"/>
      <c r="J151" s="1">
        <f>(E149*C140)-(E150*C139)</f>
        <v>-1.8353670103167263</v>
      </c>
      <c r="K151" s="1"/>
      <c r="L151" s="1"/>
      <c r="M151" s="14"/>
      <c r="N151" s="14">
        <f>(H149*B140)-(H150*B139)</f>
        <v>6.3860725844423776</v>
      </c>
      <c r="O151" s="14"/>
      <c r="P151" s="14">
        <f>(J149*C140)-(J150*C139)</f>
        <v>4.2236908802013726</v>
      </c>
      <c r="Q151" s="30"/>
      <c r="R151" s="30">
        <f>(H149*E150)-(H150*E149)</f>
        <v>6.6025852161528187</v>
      </c>
      <c r="S151" s="30"/>
      <c r="T151" s="30"/>
      <c r="U151" s="30">
        <f>(J149*E150)-(J150*E149)</f>
        <v>3.7946377922156884</v>
      </c>
    </row>
    <row r="153" spans="2:21" x14ac:dyDescent="0.25">
      <c r="B153" s="26" t="s">
        <v>92</v>
      </c>
      <c r="C153" s="27"/>
      <c r="D153" s="27"/>
      <c r="E153" s="27"/>
      <c r="F153" s="27"/>
      <c r="G153" s="25" t="s">
        <v>42</v>
      </c>
      <c r="H153" s="1"/>
      <c r="I153" s="1"/>
      <c r="J153" s="1"/>
      <c r="N153" s="6">
        <f>N149+C149</f>
        <v>11.983995488307054</v>
      </c>
      <c r="O153" s="6">
        <f>P149+D6</f>
        <v>4.8146954341932613</v>
      </c>
    </row>
    <row r="154" spans="2:21" x14ac:dyDescent="0.25">
      <c r="B154" s="26" t="s">
        <v>4</v>
      </c>
      <c r="C154" s="27">
        <f>SQRT((R149^2)+(R150^2)+(R151^2))</f>
        <v>8.7789057446888901</v>
      </c>
      <c r="D154" s="26" t="s">
        <v>5</v>
      </c>
      <c r="E154" s="27">
        <f>SQRT((U149^2)+(U150^2)+(U151^2))</f>
        <v>5.3668294113562505</v>
      </c>
      <c r="F154" s="27"/>
      <c r="G154" s="25" t="s">
        <v>4</v>
      </c>
      <c r="H154" s="1">
        <f>R149/$C$154</f>
        <v>0.15609910074829469</v>
      </c>
      <c r="I154" s="25" t="s">
        <v>5</v>
      </c>
      <c r="J154" s="1">
        <f>U149/$E$154</f>
        <v>0.22598440336679021</v>
      </c>
      <c r="N154" s="6">
        <f t="shared" ref="N154:N155" si="39">N150+C150</f>
        <v>-12.535960038550122</v>
      </c>
      <c r="O154" s="6">
        <f>P150+D7</f>
        <v>-0.32050156735024649</v>
      </c>
      <c r="P154" s="2"/>
    </row>
    <row r="155" spans="2:21" x14ac:dyDescent="0.25">
      <c r="G155" s="1"/>
      <c r="H155" s="1">
        <f>R150/$C$154</f>
        <v>0.6402997468271755</v>
      </c>
      <c r="I155" s="1"/>
      <c r="J155" s="1">
        <f>U150/$E$154</f>
        <v>0.67007894956920955</v>
      </c>
      <c r="N155" s="6">
        <f t="shared" si="39"/>
        <v>10.466072584442378</v>
      </c>
      <c r="O155" s="6">
        <f>P151+D8</f>
        <v>7.5836908802013721</v>
      </c>
      <c r="P155" s="2"/>
    </row>
    <row r="156" spans="2:21" x14ac:dyDescent="0.25">
      <c r="G156" s="1"/>
      <c r="H156" s="1">
        <f>R151/$C$154</f>
        <v>0.75209660613423113</v>
      </c>
      <c r="I156" s="1"/>
      <c r="J156" s="1">
        <f>U151/$E$154</f>
        <v>0.70705392353000951</v>
      </c>
      <c r="P156" s="2"/>
    </row>
    <row r="157" spans="2:21" x14ac:dyDescent="0.25">
      <c r="O157" s="2"/>
    </row>
    <row r="158" spans="2:21" x14ac:dyDescent="0.25">
      <c r="B158" s="26" t="s">
        <v>43</v>
      </c>
      <c r="C158" s="27"/>
      <c r="D158" s="27"/>
      <c r="E158" s="27"/>
      <c r="F158" s="27"/>
      <c r="G158" s="25" t="s">
        <v>44</v>
      </c>
      <c r="H158" s="1"/>
      <c r="I158" s="1"/>
      <c r="J158" s="1"/>
      <c r="K158" s="2"/>
      <c r="O158" s="2"/>
    </row>
    <row r="159" spans="2:21" x14ac:dyDescent="0.25">
      <c r="B159" s="27"/>
      <c r="C159" s="27">
        <f>C6</f>
        <v>1.23</v>
      </c>
      <c r="D159" s="27"/>
      <c r="E159" s="27">
        <f>N149</f>
        <v>10.753995488307053</v>
      </c>
      <c r="F159" s="27"/>
      <c r="G159" s="1"/>
      <c r="H159" s="1">
        <f>D6</f>
        <v>0.31</v>
      </c>
      <c r="I159" s="1"/>
      <c r="J159" s="1">
        <f>H154</f>
        <v>0.15609910074829469</v>
      </c>
      <c r="K159" s="2"/>
      <c r="O159" s="2"/>
    </row>
    <row r="160" spans="2:21" x14ac:dyDescent="0.25">
      <c r="B160" s="27" t="s">
        <v>11</v>
      </c>
      <c r="C160" s="27">
        <f>C7</f>
        <v>2.62</v>
      </c>
      <c r="D160" s="28" t="s">
        <v>13</v>
      </c>
      <c r="E160" s="27">
        <f>N150</f>
        <v>-15.155960038550123</v>
      </c>
      <c r="F160" s="27"/>
      <c r="G160" s="1" t="s">
        <v>11</v>
      </c>
      <c r="H160" s="1">
        <f>D7</f>
        <v>3.69</v>
      </c>
      <c r="I160" s="31" t="s">
        <v>12</v>
      </c>
      <c r="J160" s="1">
        <f>H155</f>
        <v>0.6402997468271755</v>
      </c>
      <c r="K160" s="2"/>
      <c r="O160" s="2"/>
    </row>
    <row r="161" spans="2:14" x14ac:dyDescent="0.25">
      <c r="B161" s="27"/>
      <c r="C161" s="27">
        <f>C8</f>
        <v>4.08</v>
      </c>
      <c r="D161" s="27"/>
      <c r="E161" s="27">
        <f>N151</f>
        <v>6.3860725844423776</v>
      </c>
      <c r="F161" s="27"/>
      <c r="G161" s="1"/>
      <c r="H161" s="1">
        <f>D8</f>
        <v>3.36</v>
      </c>
      <c r="I161" s="1"/>
      <c r="J161" s="1">
        <f>H156</f>
        <v>0.75209660613423113</v>
      </c>
      <c r="K161" s="2"/>
    </row>
    <row r="162" spans="2:14" x14ac:dyDescent="0.25">
      <c r="K162" s="2"/>
    </row>
    <row r="163" spans="2:14" x14ac:dyDescent="0.25">
      <c r="K163" s="2"/>
    </row>
    <row r="164" spans="2:14" x14ac:dyDescent="0.25">
      <c r="B164" s="26" t="s">
        <v>45</v>
      </c>
      <c r="C164" s="27"/>
      <c r="D164" s="27"/>
      <c r="E164" s="27"/>
      <c r="F164" s="27"/>
      <c r="G164" s="25" t="s">
        <v>46</v>
      </c>
      <c r="H164" s="1"/>
      <c r="I164" s="1"/>
      <c r="J164" s="1"/>
      <c r="K164" s="2"/>
    </row>
    <row r="165" spans="2:14" x14ac:dyDescent="0.25">
      <c r="B165" s="27"/>
      <c r="C165" s="27">
        <f>D6</f>
        <v>0.31</v>
      </c>
      <c r="D165" s="27"/>
      <c r="E165" s="27">
        <f>P149</f>
        <v>4.5046954341932617</v>
      </c>
      <c r="F165" s="27"/>
      <c r="G165" s="1"/>
      <c r="H165" s="1">
        <f>C6</f>
        <v>1.23</v>
      </c>
      <c r="I165" s="1"/>
      <c r="J165" s="1">
        <f>J154</f>
        <v>0.22598440336679021</v>
      </c>
      <c r="K165" s="2"/>
    </row>
    <row r="166" spans="2:14" x14ac:dyDescent="0.25">
      <c r="B166" s="27" t="s">
        <v>11</v>
      </c>
      <c r="C166" s="27">
        <f>D7</f>
        <v>3.69</v>
      </c>
      <c r="D166" s="27" t="s">
        <v>13</v>
      </c>
      <c r="E166" s="27">
        <f>P150</f>
        <v>-4.0105015673502464</v>
      </c>
      <c r="F166" s="27"/>
      <c r="G166" s="1" t="s">
        <v>11</v>
      </c>
      <c r="H166" s="1">
        <f>C7</f>
        <v>2.62</v>
      </c>
      <c r="I166" s="1" t="s">
        <v>12</v>
      </c>
      <c r="J166" s="1">
        <f>J155</f>
        <v>0.67007894956920955</v>
      </c>
      <c r="K166" s="2"/>
    </row>
    <row r="167" spans="2:14" x14ac:dyDescent="0.25">
      <c r="B167" s="27"/>
      <c r="C167" s="27">
        <f>D8</f>
        <v>3.36</v>
      </c>
      <c r="D167" s="27"/>
      <c r="E167" s="27">
        <f>P151</f>
        <v>4.2236908802013726</v>
      </c>
      <c r="F167" s="27"/>
      <c r="G167" s="1"/>
      <c r="H167" s="1">
        <f>C8</f>
        <v>4.08</v>
      </c>
      <c r="I167" s="1"/>
      <c r="J167" s="1">
        <f>J156</f>
        <v>0.70705392353000951</v>
      </c>
      <c r="K167" s="2"/>
    </row>
    <row r="169" spans="2:14" x14ac:dyDescent="0.25">
      <c r="B169" s="26" t="s">
        <v>47</v>
      </c>
      <c r="C169" s="27"/>
      <c r="D169" s="27"/>
      <c r="E169" s="27"/>
      <c r="F169" s="27"/>
    </row>
    <row r="170" spans="2:14" x14ac:dyDescent="0.25">
      <c r="B170" s="26" t="s">
        <v>93</v>
      </c>
      <c r="C170" s="27"/>
      <c r="D170" s="26" t="s">
        <v>94</v>
      </c>
      <c r="E170" s="27"/>
      <c r="F170" s="27"/>
      <c r="G170" s="32" t="s">
        <v>49</v>
      </c>
      <c r="H170" s="8"/>
      <c r="I170" s="8"/>
      <c r="J170" s="8"/>
      <c r="K170" s="8"/>
      <c r="L170" s="8"/>
      <c r="M170" s="8"/>
      <c r="N170" s="33"/>
    </row>
    <row r="171" spans="2:14" x14ac:dyDescent="0.25">
      <c r="B171" s="26" t="s">
        <v>95</v>
      </c>
      <c r="C171" s="48">
        <f>((H160*E159)-(C160*E159)-(H159*E160)+(C159*E160))/((J159*E160)-(J160*E159))</f>
        <v>0.2633819898943186</v>
      </c>
      <c r="D171" s="26" t="s">
        <v>95</v>
      </c>
      <c r="E171" s="48">
        <f>-((H166*E165)-(C166*E165)-(H165*E166)+(C165*E166))/((J165*E166)-(J166*E165))</f>
        <v>-0.28800425618194769</v>
      </c>
      <c r="F171" s="27"/>
    </row>
    <row r="172" spans="2:14" x14ac:dyDescent="0.25">
      <c r="B172" s="27"/>
      <c r="C172" s="27"/>
      <c r="D172" s="27"/>
      <c r="E172" s="27"/>
      <c r="F172" s="27"/>
    </row>
    <row r="173" spans="2:14" x14ac:dyDescent="0.25">
      <c r="B173" s="26" t="s">
        <v>73</v>
      </c>
      <c r="C173" s="27">
        <f>H159+($C$171*J159)</f>
        <v>0.35111369177579954</v>
      </c>
      <c r="D173" s="26" t="s">
        <v>73</v>
      </c>
      <c r="E173" s="27">
        <f>H165+($E$171*J165)</f>
        <v>1.1649155299996263</v>
      </c>
      <c r="F173" s="27"/>
    </row>
    <row r="174" spans="2:14" x14ac:dyDescent="0.25">
      <c r="B174" s="27"/>
      <c r="C174" s="27">
        <f>H160+($C$171*J160)</f>
        <v>3.85864342144817</v>
      </c>
      <c r="D174" s="27"/>
      <c r="E174" s="27">
        <f>H166+($E$171*J166)</f>
        <v>2.4270144105461391</v>
      </c>
      <c r="F174" s="27"/>
    </row>
    <row r="175" spans="2:14" x14ac:dyDescent="0.25">
      <c r="B175" s="27"/>
      <c r="C175" s="27">
        <f t="shared" ref="C175" si="40">H161+($C$171*J161)</f>
        <v>3.5580887007163975</v>
      </c>
      <c r="D175" s="27"/>
      <c r="E175" s="27">
        <f t="shared" ref="E175" si="41">H167+($E$171*J167)</f>
        <v>3.8763654606732119</v>
      </c>
      <c r="F175" s="27"/>
    </row>
    <row r="176" spans="2:14" x14ac:dyDescent="0.25">
      <c r="B176" s="2"/>
      <c r="C176" s="2"/>
      <c r="D176" s="2"/>
      <c r="E176" s="2"/>
      <c r="F176" s="2"/>
    </row>
    <row r="179" spans="2:5" s="15" customFormat="1" x14ac:dyDescent="0.25">
      <c r="B179" s="15" t="s">
        <v>96</v>
      </c>
    </row>
    <row r="181" spans="2:5" x14ac:dyDescent="0.25">
      <c r="B181" s="36" t="s">
        <v>97</v>
      </c>
      <c r="C181" s="37" t="s">
        <v>53</v>
      </c>
      <c r="D181" s="38">
        <f>C171+E171</f>
        <v>-2.4622266287629091E-2</v>
      </c>
      <c r="E181" s="38"/>
    </row>
    <row r="182" spans="2:5" x14ac:dyDescent="0.25">
      <c r="B182" s="38"/>
      <c r="C182" s="37" t="s">
        <v>54</v>
      </c>
      <c r="D182" s="38">
        <f>-E171-(2*C171)</f>
        <v>-0.23875972360668951</v>
      </c>
      <c r="E182" s="38"/>
    </row>
    <row r="183" spans="2:5" x14ac:dyDescent="0.25">
      <c r="B183" s="38"/>
      <c r="C183" s="37" t="s">
        <v>59</v>
      </c>
      <c r="D183" s="38">
        <f>C171</f>
        <v>0.2633819898943186</v>
      </c>
      <c r="E183" s="38"/>
    </row>
    <row r="184" spans="2:5" x14ac:dyDescent="0.25">
      <c r="B184" s="38"/>
      <c r="C184" s="37" t="s">
        <v>60</v>
      </c>
      <c r="D184" s="38">
        <v>0</v>
      </c>
      <c r="E184" s="38"/>
    </row>
    <row r="186" spans="2:5" x14ac:dyDescent="0.25">
      <c r="B186" s="37" t="s">
        <v>100</v>
      </c>
      <c r="C186" s="37"/>
      <c r="D186" s="38"/>
      <c r="E186" s="38"/>
    </row>
    <row r="187" spans="2:5" x14ac:dyDescent="0.25">
      <c r="B187" s="37" t="s">
        <v>98</v>
      </c>
      <c r="C187" s="39">
        <f>(2*D182)/(3*D181)</f>
        <v>6.4646018856151901</v>
      </c>
      <c r="D187" s="38"/>
      <c r="E187" s="38"/>
    </row>
    <row r="188" spans="2:5" x14ac:dyDescent="0.25">
      <c r="B188" s="37" t="s">
        <v>61</v>
      </c>
      <c r="C188" s="39">
        <f>(-$C$187/2)+(SQRT(((C187/2)^2)-(D183/(3*D181))))</f>
        <v>0.51114715500487451</v>
      </c>
      <c r="D188" s="37" t="s">
        <v>99</v>
      </c>
      <c r="E188" s="39">
        <f>(-$C$187/2)-(SQRT(((C187/2)^2)-(D183/(3*D181))))</f>
        <v>-6.9757490406200642</v>
      </c>
    </row>
    <row r="189" spans="2:5" x14ac:dyDescent="0.25">
      <c r="B189" s="37" t="s">
        <v>101</v>
      </c>
      <c r="C189" s="38">
        <f>($D$181*(C188^3))+($D$182*(C188^2))+($D$183*C188)</f>
        <v>6.89576063394753E-2</v>
      </c>
      <c r="D189" s="37" t="s">
        <v>102</v>
      </c>
      <c r="E189" s="38">
        <f>($D$181*(E188^3))+($D$182*(E188^2))+($D$183*E188)</f>
        <v>-5.0976260223662431</v>
      </c>
    </row>
    <row r="190" spans="2:5" x14ac:dyDescent="0.25">
      <c r="B190" s="37" t="s">
        <v>103</v>
      </c>
      <c r="C190" s="38">
        <f>(3*$D$181*C188^2)+(2*$D$182*C188)+D183</f>
        <v>0</v>
      </c>
      <c r="D190" s="37" t="s">
        <v>104</v>
      </c>
      <c r="E190" s="38">
        <f>(3*$D$181*E188^2)+(2*$D$182*E188)+D183</f>
        <v>0</v>
      </c>
    </row>
    <row r="191" spans="2:5" x14ac:dyDescent="0.25">
      <c r="B191" s="37" t="s">
        <v>105</v>
      </c>
      <c r="C191" s="38">
        <f>(6*$D$181*C188)+(2*$D$182)</f>
        <v>-0.55303305538954328</v>
      </c>
      <c r="D191" s="36" t="s">
        <v>106</v>
      </c>
      <c r="E191" s="38">
        <f>(6*$D$181*E188)+(2*$D$182)</f>
        <v>0.55303305538954328</v>
      </c>
    </row>
    <row r="195" spans="2:16" s="14" customFormat="1" x14ac:dyDescent="0.25">
      <c r="B195" s="15" t="s">
        <v>107</v>
      </c>
    </row>
    <row r="197" spans="2:16" x14ac:dyDescent="0.25">
      <c r="B197" s="37" t="s">
        <v>113</v>
      </c>
      <c r="C197" s="38"/>
      <c r="D197" s="38"/>
      <c r="E197" s="38"/>
      <c r="F197" s="38"/>
      <c r="G197" s="38"/>
      <c r="J197" s="37" t="s">
        <v>114</v>
      </c>
      <c r="K197" s="38"/>
      <c r="L197" s="38"/>
      <c r="M197" s="38"/>
      <c r="N197" s="38"/>
      <c r="O197" s="38"/>
    </row>
    <row r="198" spans="2:16" x14ac:dyDescent="0.25">
      <c r="B198" s="38"/>
      <c r="C198" s="38">
        <f>(H154*(1-$C$188))+(J154*$C$188)</f>
        <v>0.1918207743583934</v>
      </c>
      <c r="D198" s="37" t="s">
        <v>108</v>
      </c>
      <c r="E198" s="38">
        <f>SQRT(C198^2+C199^2+C200^2)</f>
        <v>0.99902505936908781</v>
      </c>
      <c r="F198" s="37" t="s">
        <v>109</v>
      </c>
      <c r="G198" s="38">
        <f>C198/$E$198</f>
        <v>0.19200797073051759</v>
      </c>
      <c r="J198" s="38"/>
      <c r="K198" s="38">
        <f>(H154*(1-$E$188))+(J154*$E$188)</f>
        <v>-0.3314032319461182</v>
      </c>
      <c r="L198" s="37" t="s">
        <v>108</v>
      </c>
      <c r="M198" s="38">
        <f>SQRT(K198^2+K199^2+K200^2)</f>
        <v>1.1974744060983384</v>
      </c>
      <c r="N198" s="37" t="s">
        <v>109</v>
      </c>
      <c r="O198" s="38">
        <f>K198/$E$198</f>
        <v>-0.33172664573139798</v>
      </c>
    </row>
    <row r="199" spans="2:16" x14ac:dyDescent="0.25">
      <c r="B199" s="38"/>
      <c r="C199" s="38">
        <f t="shared" ref="C199:C200" si="42">(H155*(1-$C$188))+(J155*$C$188)</f>
        <v>0.65552130158707955</v>
      </c>
      <c r="D199" s="38"/>
      <c r="E199" s="38"/>
      <c r="F199" s="38"/>
      <c r="G199" s="38">
        <f>C199/$E$198</f>
        <v>0.6561610196255333</v>
      </c>
      <c r="J199" s="38"/>
      <c r="K199" s="38">
        <f t="shared" ref="K199:K200" si="43">(H155*(1-$E$188))+(J155*$E$188)</f>
        <v>0.43256750186900117</v>
      </c>
      <c r="L199" s="38"/>
      <c r="M199" s="38"/>
      <c r="N199" s="38"/>
      <c r="O199" s="38">
        <f>K199/$E$198</f>
        <v>0.43298964106283744</v>
      </c>
    </row>
    <row r="200" spans="2:16" x14ac:dyDescent="0.25">
      <c r="B200" s="38"/>
      <c r="C200" s="38">
        <f t="shared" si="42"/>
        <v>0.72907316706729564</v>
      </c>
      <c r="D200" s="38"/>
      <c r="E200" s="38"/>
      <c r="F200" s="38"/>
      <c r="G200" s="38">
        <f>C200/$E$198</f>
        <v>0.72978466378783902</v>
      </c>
      <c r="J200" s="38"/>
      <c r="K200" s="38">
        <f t="shared" si="43"/>
        <v>1.0663030560975839</v>
      </c>
      <c r="L200" s="38"/>
      <c r="M200" s="38"/>
      <c r="N200" s="38"/>
      <c r="O200" s="38">
        <f>K200/$E$198</f>
        <v>1.067343652791837</v>
      </c>
    </row>
    <row r="203" spans="2:16" x14ac:dyDescent="0.25">
      <c r="B203" s="36" t="s">
        <v>111</v>
      </c>
      <c r="C203" s="38"/>
      <c r="D203" s="38"/>
      <c r="E203" s="36" t="s">
        <v>112</v>
      </c>
      <c r="F203" s="38"/>
      <c r="G203" s="38"/>
      <c r="H203" s="38"/>
      <c r="J203" s="36" t="s">
        <v>111</v>
      </c>
      <c r="K203" s="38"/>
      <c r="L203" s="38"/>
      <c r="M203" s="36" t="s">
        <v>112</v>
      </c>
      <c r="N203" s="38"/>
      <c r="O203" s="38"/>
      <c r="P203" s="38"/>
    </row>
    <row r="204" spans="2:16" x14ac:dyDescent="0.25">
      <c r="B204" s="37" t="s">
        <v>65</v>
      </c>
      <c r="C204" s="38">
        <f>C149+($C$188*E149)+(G198*$C$189)</f>
        <v>0.77298502745519204</v>
      </c>
      <c r="D204" s="38"/>
      <c r="E204" s="37" t="s">
        <v>65</v>
      </c>
      <c r="F204" s="38">
        <f>D6+((1-$C$188)*(C6-D6))+($C$189*G198)</f>
        <v>0.77298502745519193</v>
      </c>
      <c r="G204" s="38"/>
      <c r="H204" s="38" t="b">
        <f>IF(C204=F204,TRUE,FALSE)</f>
        <v>1</v>
      </c>
      <c r="J204" s="37" t="s">
        <v>65</v>
      </c>
      <c r="K204" s="38">
        <f>C149+($E$188*E149)+(O198*$E$189)</f>
        <v>9.3387074989630996</v>
      </c>
      <c r="L204" s="38"/>
      <c r="M204" s="37" t="s">
        <v>65</v>
      </c>
      <c r="N204" s="43">
        <f>D6+((1-$E$188)*(C6-D6))+($E$189*O198)</f>
        <v>9.3387074989630996</v>
      </c>
      <c r="O204" s="38"/>
      <c r="P204" s="38" t="b">
        <f>IF(K204=N204,TRUE,FALSE)</f>
        <v>1</v>
      </c>
    </row>
    <row r="205" spans="2:16" x14ac:dyDescent="0.25">
      <c r="B205" s="37" t="s">
        <v>11</v>
      </c>
      <c r="C205" s="38">
        <f t="shared" ref="C205:C206" si="44">C150+($C$188*E150)+(G199*$C$189)</f>
        <v>3.212174749141862</v>
      </c>
      <c r="D205" s="38"/>
      <c r="E205" s="37" t="s">
        <v>11</v>
      </c>
      <c r="F205" s="38">
        <f>D7+((1-$C$188)*(C7-D7))+($C$189*G199)</f>
        <v>3.212174749141862</v>
      </c>
      <c r="G205" s="38"/>
      <c r="H205" s="38" t="b">
        <f>IF(C205=F205,TRUE,FALSE)</f>
        <v>1</v>
      </c>
      <c r="J205" s="37" t="s">
        <v>11</v>
      </c>
      <c r="K205" s="38">
        <f t="shared" ref="K205:K206" si="45">C150+($E$188*E150)+(O199*$E$189)</f>
        <v>-7.0512707351604078</v>
      </c>
      <c r="L205" s="38"/>
      <c r="M205" s="37" t="s">
        <v>11</v>
      </c>
      <c r="N205" s="43">
        <f>D7+((1-$E$188)*(C7-D7))+($E$189*O199)</f>
        <v>-7.0512707351604078</v>
      </c>
      <c r="O205" s="38"/>
      <c r="P205" s="38" t="b">
        <f>IF(K205=N205,TRUE,FALSE)</f>
        <v>1</v>
      </c>
    </row>
    <row r="206" spans="2:16" x14ac:dyDescent="0.25">
      <c r="B206" s="37" t="s">
        <v>66</v>
      </c>
      <c r="C206" s="38">
        <f t="shared" si="44"/>
        <v>3.7622982519545585</v>
      </c>
      <c r="D206" s="38"/>
      <c r="E206" s="37" t="s">
        <v>66</v>
      </c>
      <c r="F206" s="38">
        <f>D8+((1-$C$188)*(C8-D8))+($C$189*G200)</f>
        <v>3.7622982519545585</v>
      </c>
      <c r="G206" s="38"/>
      <c r="H206" s="38" t="b">
        <f>IF(C206=F206,TRUE,FALSE)</f>
        <v>1</v>
      </c>
      <c r="J206" s="37" t="s">
        <v>66</v>
      </c>
      <c r="K206" s="38">
        <f t="shared" si="45"/>
        <v>3.6616205299673394</v>
      </c>
      <c r="L206" s="38"/>
      <c r="M206" s="37" t="s">
        <v>66</v>
      </c>
      <c r="N206" s="43">
        <f>D8+((1-$E$188)*(C8-D8))+($E$189*O200)</f>
        <v>3.6616205299673394</v>
      </c>
      <c r="O206" s="38"/>
      <c r="P206" s="38" t="b">
        <f>IF(K206=N206,TRUE,FALSE)</f>
        <v>1</v>
      </c>
    </row>
    <row r="207" spans="2:16" x14ac:dyDescent="0.25">
      <c r="C207" s="10"/>
      <c r="D207" s="10"/>
      <c r="E207" s="10"/>
      <c r="K207" s="10"/>
      <c r="L207" s="10"/>
      <c r="M207" s="10"/>
    </row>
    <row r="208" spans="2:16" x14ac:dyDescent="0.25">
      <c r="B208" s="37" t="s">
        <v>110</v>
      </c>
      <c r="C208" s="38"/>
      <c r="J208" s="37" t="s">
        <v>110</v>
      </c>
      <c r="K208" s="38"/>
    </row>
    <row r="209" spans="2:11" x14ac:dyDescent="0.25">
      <c r="B209" s="37" t="s">
        <v>65</v>
      </c>
      <c r="C209" s="47">
        <f>C204</f>
        <v>0.77298502745519204</v>
      </c>
      <c r="E209" s="6">
        <v>0.77264648270546132</v>
      </c>
      <c r="J209" s="37" t="s">
        <v>65</v>
      </c>
      <c r="K209" s="47">
        <f>K204</f>
        <v>9.3387074989630996</v>
      </c>
    </row>
    <row r="210" spans="2:11" x14ac:dyDescent="0.25">
      <c r="B210" s="37" t="s">
        <v>11</v>
      </c>
      <c r="C210" s="47">
        <f>C205</f>
        <v>3.212174749141862</v>
      </c>
      <c r="E210" s="6">
        <v>3.1621294329382188</v>
      </c>
      <c r="J210" s="37" t="s">
        <v>11</v>
      </c>
      <c r="K210" s="47">
        <f>K205</f>
        <v>-7.0512707351604078</v>
      </c>
    </row>
    <row r="211" spans="2:11" x14ac:dyDescent="0.25">
      <c r="B211" s="37" t="s">
        <v>66</v>
      </c>
      <c r="C211" s="47">
        <f>C206</f>
        <v>3.7622982519545585</v>
      </c>
      <c r="E211" s="6">
        <v>3.7287439501980839</v>
      </c>
      <c r="J211" s="37" t="s">
        <v>66</v>
      </c>
      <c r="K211" s="47">
        <f>K206</f>
        <v>3.6616205299673394</v>
      </c>
    </row>
  </sheetData>
  <mergeCells count="61">
    <mergeCell ref="B31:B33"/>
    <mergeCell ref="C31:C33"/>
    <mergeCell ref="E31:E33"/>
    <mergeCell ref="G31:G33"/>
    <mergeCell ref="B27:C27"/>
    <mergeCell ref="B28:B30"/>
    <mergeCell ref="C28:C30"/>
    <mergeCell ref="E28:E30"/>
    <mergeCell ref="G28:G30"/>
    <mergeCell ref="B34:B36"/>
    <mergeCell ref="C34:C36"/>
    <mergeCell ref="E34:E36"/>
    <mergeCell ref="G34:G36"/>
    <mergeCell ref="B37:B39"/>
    <mergeCell ref="C37:C39"/>
    <mergeCell ref="E37:E39"/>
    <mergeCell ref="G37:G39"/>
    <mergeCell ref="B40:B42"/>
    <mergeCell ref="C40:C42"/>
    <mergeCell ref="E40:E42"/>
    <mergeCell ref="G40:G42"/>
    <mergeCell ref="B43:B45"/>
    <mergeCell ref="C43:C45"/>
    <mergeCell ref="E43:E45"/>
    <mergeCell ref="G43:G45"/>
    <mergeCell ref="B46:B48"/>
    <mergeCell ref="C46:C48"/>
    <mergeCell ref="E46:E48"/>
    <mergeCell ref="G46:G48"/>
    <mergeCell ref="B49:B51"/>
    <mergeCell ref="C49:C51"/>
    <mergeCell ref="E49:E51"/>
    <mergeCell ref="G49:G51"/>
    <mergeCell ref="B52:B54"/>
    <mergeCell ref="C52:C54"/>
    <mergeCell ref="E52:E54"/>
    <mergeCell ref="G52:G54"/>
    <mergeCell ref="B55:B57"/>
    <mergeCell ref="C55:C57"/>
    <mergeCell ref="E55:E57"/>
    <mergeCell ref="G55:G57"/>
    <mergeCell ref="B110:B112"/>
    <mergeCell ref="B70:B72"/>
    <mergeCell ref="B73:B75"/>
    <mergeCell ref="B76:B78"/>
    <mergeCell ref="B79:B81"/>
    <mergeCell ref="B82:B84"/>
    <mergeCell ref="B85:B87"/>
    <mergeCell ref="B88:B90"/>
    <mergeCell ref="B91:B93"/>
    <mergeCell ref="B94:B96"/>
    <mergeCell ref="B97:B99"/>
    <mergeCell ref="B107:B109"/>
    <mergeCell ref="B131:B133"/>
    <mergeCell ref="B134:B136"/>
    <mergeCell ref="B113:B115"/>
    <mergeCell ref="B116:B118"/>
    <mergeCell ref="B119:B121"/>
    <mergeCell ref="B122:B124"/>
    <mergeCell ref="B125:B127"/>
    <mergeCell ref="B128:B130"/>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1"/>
  <sheetViews>
    <sheetView tabSelected="1" topLeftCell="A176" zoomScale="70" zoomScaleNormal="70" workbookViewId="0">
      <selection activeCell="H216" sqref="H216"/>
    </sheetView>
  </sheetViews>
  <sheetFormatPr baseColWidth="10" defaultRowHeight="15" x14ac:dyDescent="0.25"/>
  <cols>
    <col min="2" max="2" width="20.42578125" customWidth="1"/>
    <col min="3" max="8" width="17.7109375" customWidth="1"/>
    <col min="12" max="15" width="18.5703125" customWidth="1"/>
  </cols>
  <sheetData>
    <row r="1" spans="1:13" s="12" customFormat="1" x14ac:dyDescent="0.25">
      <c r="B1" s="13" t="s">
        <v>74</v>
      </c>
      <c r="C1" s="13"/>
    </row>
    <row r="3" spans="1:13" s="14" customFormat="1" x14ac:dyDescent="0.25">
      <c r="B3" s="15" t="s">
        <v>115</v>
      </c>
    </row>
    <row r="4" spans="1:13" s="14" customFormat="1" x14ac:dyDescent="0.25">
      <c r="B4" s="15"/>
      <c r="C4" s="14" t="s">
        <v>116</v>
      </c>
      <c r="D4" s="14" t="s">
        <v>117</v>
      </c>
      <c r="E4" s="14" t="s">
        <v>118</v>
      </c>
      <c r="F4" s="14" t="s">
        <v>119</v>
      </c>
      <c r="G4" s="14" t="s">
        <v>120</v>
      </c>
      <c r="H4" s="14" t="s">
        <v>121</v>
      </c>
      <c r="I4" s="14" t="s">
        <v>122</v>
      </c>
      <c r="J4" s="14" t="s">
        <v>123</v>
      </c>
      <c r="K4" s="14" t="s">
        <v>124</v>
      </c>
      <c r="L4" s="14" t="s">
        <v>125</v>
      </c>
      <c r="M4" s="14" t="s">
        <v>126</v>
      </c>
    </row>
    <row r="5" spans="1:13" x14ac:dyDescent="0.25">
      <c r="B5" s="3" t="s">
        <v>73</v>
      </c>
      <c r="C5" s="3" t="s">
        <v>4</v>
      </c>
      <c r="D5" s="3" t="s">
        <v>5</v>
      </c>
      <c r="E5" s="3" t="s">
        <v>6</v>
      </c>
      <c r="F5" s="3" t="s">
        <v>7</v>
      </c>
      <c r="G5" s="3" t="s">
        <v>8</v>
      </c>
      <c r="H5" s="3" t="s">
        <v>9</v>
      </c>
      <c r="I5" s="3" t="s">
        <v>75</v>
      </c>
      <c r="J5" s="3" t="s">
        <v>127</v>
      </c>
      <c r="K5" s="3" t="s">
        <v>128</v>
      </c>
      <c r="L5" s="3" t="s">
        <v>129</v>
      </c>
      <c r="M5" s="3" t="s">
        <v>130</v>
      </c>
    </row>
    <row r="6" spans="1:13" x14ac:dyDescent="0.25">
      <c r="B6" s="16" t="s">
        <v>0</v>
      </c>
      <c r="C6" s="11">
        <v>1.23</v>
      </c>
      <c r="D6" s="11">
        <v>0.31</v>
      </c>
      <c r="E6">
        <v>2.87</v>
      </c>
      <c r="F6">
        <v>0</v>
      </c>
      <c r="G6">
        <v>5</v>
      </c>
      <c r="H6">
        <v>0</v>
      </c>
      <c r="I6">
        <v>1.95</v>
      </c>
      <c r="J6">
        <v>3.92</v>
      </c>
      <c r="K6">
        <v>2.5299999999999998</v>
      </c>
      <c r="L6">
        <v>4.4000000000000004</v>
      </c>
      <c r="M6">
        <v>0.45</v>
      </c>
    </row>
    <row r="7" spans="1:13" x14ac:dyDescent="0.25">
      <c r="B7" s="16" t="s">
        <v>1</v>
      </c>
      <c r="C7" s="11">
        <v>2.62</v>
      </c>
      <c r="D7" s="11">
        <v>3.69</v>
      </c>
      <c r="E7">
        <v>2.74</v>
      </c>
      <c r="F7">
        <v>5</v>
      </c>
      <c r="G7">
        <v>0</v>
      </c>
      <c r="H7">
        <v>0</v>
      </c>
      <c r="I7">
        <v>4.3</v>
      </c>
      <c r="J7">
        <v>2.94</v>
      </c>
      <c r="K7">
        <v>0.94</v>
      </c>
      <c r="L7">
        <v>1.54</v>
      </c>
      <c r="M7">
        <v>1.23</v>
      </c>
    </row>
    <row r="8" spans="1:13" x14ac:dyDescent="0.25">
      <c r="B8" s="16" t="s">
        <v>2</v>
      </c>
      <c r="C8" s="11">
        <v>4.08</v>
      </c>
      <c r="D8" s="11">
        <v>3.36</v>
      </c>
      <c r="E8">
        <v>3.04</v>
      </c>
      <c r="F8">
        <v>0</v>
      </c>
      <c r="G8">
        <v>0</v>
      </c>
      <c r="H8">
        <v>5</v>
      </c>
      <c r="I8">
        <v>1.65</v>
      </c>
      <c r="J8">
        <v>0.98</v>
      </c>
      <c r="K8">
        <v>4.21</v>
      </c>
      <c r="L8">
        <v>1.82</v>
      </c>
      <c r="M8">
        <v>4.83</v>
      </c>
    </row>
    <row r="9" spans="1:13" x14ac:dyDescent="0.25">
      <c r="B9" s="2"/>
      <c r="C9" s="2"/>
      <c r="D9" s="2"/>
      <c r="E9" s="2"/>
    </row>
    <row r="10" spans="1:13" x14ac:dyDescent="0.25">
      <c r="B10" s="2"/>
      <c r="C10" s="2"/>
      <c r="D10" s="2"/>
      <c r="E10" s="2"/>
    </row>
    <row r="11" spans="1:13" s="14" customFormat="1" x14ac:dyDescent="0.25">
      <c r="B11" s="15" t="s">
        <v>76</v>
      </c>
    </row>
    <row r="12" spans="1:13" x14ac:dyDescent="0.25">
      <c r="B12" s="2"/>
      <c r="C12" s="2"/>
      <c r="D12" s="2"/>
      <c r="E12" s="2"/>
    </row>
    <row r="13" spans="1:13" x14ac:dyDescent="0.25">
      <c r="B13" s="5" t="s">
        <v>77</v>
      </c>
      <c r="C13" s="2"/>
      <c r="D13" s="2"/>
      <c r="E13" s="2"/>
    </row>
    <row r="14" spans="1:13" x14ac:dyDescent="0.25">
      <c r="A14">
        <v>1</v>
      </c>
      <c r="B14" s="17" t="s">
        <v>139</v>
      </c>
      <c r="C14" s="2"/>
      <c r="D14" s="2"/>
      <c r="E14" s="2"/>
    </row>
    <row r="15" spans="1:13" x14ac:dyDescent="0.25">
      <c r="A15">
        <v>2</v>
      </c>
      <c r="B15" s="17" t="s">
        <v>79</v>
      </c>
      <c r="C15" s="2"/>
      <c r="D15" s="2"/>
      <c r="E15" s="2"/>
    </row>
    <row r="16" spans="1:13" x14ac:dyDescent="0.25">
      <c r="A16">
        <v>3</v>
      </c>
      <c r="B16" s="17" t="s">
        <v>140</v>
      </c>
      <c r="C16" s="2"/>
      <c r="D16" s="2"/>
      <c r="E16" s="2"/>
    </row>
    <row r="17" spans="1:8" x14ac:dyDescent="0.25">
      <c r="A17">
        <v>4</v>
      </c>
      <c r="B17" s="17" t="s">
        <v>141</v>
      </c>
      <c r="C17" s="2"/>
      <c r="D17" s="2"/>
      <c r="E17" s="2"/>
    </row>
    <row r="18" spans="1:8" x14ac:dyDescent="0.25">
      <c r="A18">
        <v>5</v>
      </c>
      <c r="B18" s="17" t="s">
        <v>142</v>
      </c>
    </row>
    <row r="19" spans="1:8" x14ac:dyDescent="0.25">
      <c r="A19">
        <v>6</v>
      </c>
      <c r="B19" s="17" t="s">
        <v>143</v>
      </c>
    </row>
    <row r="20" spans="1:8" x14ac:dyDescent="0.25">
      <c r="A20">
        <v>7</v>
      </c>
      <c r="B20" s="17" t="s">
        <v>135</v>
      </c>
    </row>
    <row r="21" spans="1:8" x14ac:dyDescent="0.25">
      <c r="A21">
        <v>8</v>
      </c>
      <c r="B21" s="17" t="s">
        <v>144</v>
      </c>
    </row>
    <row r="22" spans="1:8" x14ac:dyDescent="0.25">
      <c r="A22">
        <v>9</v>
      </c>
      <c r="B22" s="17" t="s">
        <v>137</v>
      </c>
    </row>
    <row r="23" spans="1:8" x14ac:dyDescent="0.25">
      <c r="A23">
        <v>10</v>
      </c>
      <c r="B23" s="17" t="s">
        <v>138</v>
      </c>
    </row>
    <row r="24" spans="1:8" x14ac:dyDescent="0.25">
      <c r="B24" s="17"/>
    </row>
    <row r="25" spans="1:8" s="14" customFormat="1" x14ac:dyDescent="0.25">
      <c r="B25" s="15" t="s">
        <v>80</v>
      </c>
    </row>
    <row r="27" spans="1:8" x14ac:dyDescent="0.25">
      <c r="B27" s="63" t="s">
        <v>81</v>
      </c>
      <c r="C27" s="64"/>
      <c r="D27" s="34" t="s">
        <v>82</v>
      </c>
      <c r="E27" s="34"/>
      <c r="F27" s="34" t="s">
        <v>83</v>
      </c>
      <c r="G27" s="34"/>
      <c r="H27" s="35" t="s">
        <v>84</v>
      </c>
    </row>
    <row r="28" spans="1:8" x14ac:dyDescent="0.25">
      <c r="B28" s="54" t="s">
        <v>139</v>
      </c>
      <c r="C28" s="57" t="s">
        <v>11</v>
      </c>
      <c r="D28" s="40">
        <f>C6</f>
        <v>1.23</v>
      </c>
      <c r="E28" s="60" t="s">
        <v>13</v>
      </c>
      <c r="F28" s="40">
        <f>E6-C6</f>
        <v>1.6400000000000001</v>
      </c>
      <c r="G28" s="60" t="s">
        <v>12</v>
      </c>
      <c r="H28" s="40">
        <f>D6-C6</f>
        <v>-0.91999999999999993</v>
      </c>
    </row>
    <row r="29" spans="1:8" x14ac:dyDescent="0.25">
      <c r="A29">
        <v>1</v>
      </c>
      <c r="B29" s="55"/>
      <c r="C29" s="58"/>
      <c r="D29" s="41">
        <f>C7</f>
        <v>2.62</v>
      </c>
      <c r="E29" s="61"/>
      <c r="F29" s="41">
        <f t="shared" ref="F29:F30" si="0">E7-C7</f>
        <v>0.12000000000000011</v>
      </c>
      <c r="G29" s="61"/>
      <c r="H29" s="41">
        <f t="shared" ref="H29:H30" si="1">D7-C7</f>
        <v>1.0699999999999998</v>
      </c>
    </row>
    <row r="30" spans="1:8" x14ac:dyDescent="0.25">
      <c r="B30" s="56"/>
      <c r="C30" s="59"/>
      <c r="D30" s="42">
        <f>C8</f>
        <v>4.08</v>
      </c>
      <c r="E30" s="62"/>
      <c r="F30" s="42">
        <f t="shared" si="0"/>
        <v>-1.04</v>
      </c>
      <c r="G30" s="62"/>
      <c r="H30" s="42">
        <f t="shared" si="1"/>
        <v>-0.7200000000000002</v>
      </c>
    </row>
    <row r="31" spans="1:8" x14ac:dyDescent="0.25">
      <c r="B31" s="54" t="s">
        <v>79</v>
      </c>
      <c r="C31" s="57" t="s">
        <v>11</v>
      </c>
      <c r="D31" s="40">
        <f>D6</f>
        <v>0.31</v>
      </c>
      <c r="E31" s="60" t="s">
        <v>13</v>
      </c>
      <c r="F31" s="40">
        <f>E6-D6</f>
        <v>2.56</v>
      </c>
      <c r="G31" s="60" t="s">
        <v>12</v>
      </c>
      <c r="H31" s="40">
        <f>I6-D6</f>
        <v>1.64</v>
      </c>
    </row>
    <row r="32" spans="1:8" x14ac:dyDescent="0.25">
      <c r="A32">
        <v>2</v>
      </c>
      <c r="B32" s="55"/>
      <c r="C32" s="58"/>
      <c r="D32" s="41">
        <f t="shared" ref="D32:D33" si="2">D7</f>
        <v>3.69</v>
      </c>
      <c r="E32" s="61"/>
      <c r="F32" s="41">
        <f t="shared" ref="F32:F33" si="3">E7-D7</f>
        <v>-0.94999999999999973</v>
      </c>
      <c r="G32" s="61"/>
      <c r="H32" s="41">
        <f t="shared" ref="H32:H33" si="4">I7-D7</f>
        <v>0.60999999999999988</v>
      </c>
    </row>
    <row r="33" spans="1:8" x14ac:dyDescent="0.25">
      <c r="B33" s="56"/>
      <c r="C33" s="59"/>
      <c r="D33" s="42">
        <f t="shared" si="2"/>
        <v>3.36</v>
      </c>
      <c r="E33" s="62"/>
      <c r="F33" s="42">
        <f t="shared" si="3"/>
        <v>-0.31999999999999984</v>
      </c>
      <c r="G33" s="62"/>
      <c r="H33" s="42">
        <f t="shared" si="4"/>
        <v>-1.71</v>
      </c>
    </row>
    <row r="34" spans="1:8" x14ac:dyDescent="0.25">
      <c r="B34" s="54" t="s">
        <v>140</v>
      </c>
      <c r="C34" s="57" t="s">
        <v>11</v>
      </c>
      <c r="D34" s="40">
        <f>D6</f>
        <v>0.31</v>
      </c>
      <c r="E34" s="60" t="s">
        <v>13</v>
      </c>
      <c r="F34" s="40">
        <f>I6-D6</f>
        <v>1.64</v>
      </c>
      <c r="G34" s="60" t="s">
        <v>12</v>
      </c>
      <c r="H34" s="40">
        <f>F6-D6</f>
        <v>-0.31</v>
      </c>
    </row>
    <row r="35" spans="1:8" x14ac:dyDescent="0.25">
      <c r="A35">
        <v>3</v>
      </c>
      <c r="B35" s="55"/>
      <c r="C35" s="58"/>
      <c r="D35" s="41">
        <f t="shared" ref="D35:D36" si="5">D7</f>
        <v>3.69</v>
      </c>
      <c r="E35" s="61"/>
      <c r="F35" s="41">
        <f t="shared" ref="F35:F36" si="6">I7-D7</f>
        <v>0.60999999999999988</v>
      </c>
      <c r="G35" s="61"/>
      <c r="H35" s="41">
        <f t="shared" ref="H35:H36" si="7">F7-D7</f>
        <v>1.31</v>
      </c>
    </row>
    <row r="36" spans="1:8" x14ac:dyDescent="0.25">
      <c r="B36" s="56"/>
      <c r="C36" s="59"/>
      <c r="D36" s="42">
        <f t="shared" si="5"/>
        <v>3.36</v>
      </c>
      <c r="E36" s="62"/>
      <c r="F36" s="42">
        <f t="shared" si="6"/>
        <v>-1.71</v>
      </c>
      <c r="G36" s="62"/>
      <c r="H36" s="42">
        <f t="shared" si="7"/>
        <v>-3.36</v>
      </c>
    </row>
    <row r="37" spans="1:8" x14ac:dyDescent="0.25">
      <c r="B37" s="54" t="s">
        <v>141</v>
      </c>
      <c r="C37" s="57" t="s">
        <v>11</v>
      </c>
      <c r="D37" s="40">
        <f>E6</f>
        <v>2.87</v>
      </c>
      <c r="E37" s="60" t="s">
        <v>13</v>
      </c>
      <c r="F37" s="40">
        <f>J6-E6</f>
        <v>1.0499999999999998</v>
      </c>
      <c r="G37" s="60" t="s">
        <v>12</v>
      </c>
      <c r="H37" s="40">
        <f>I6-E6</f>
        <v>-0.92000000000000015</v>
      </c>
    </row>
    <row r="38" spans="1:8" x14ac:dyDescent="0.25">
      <c r="A38">
        <v>4</v>
      </c>
      <c r="B38" s="55"/>
      <c r="C38" s="58"/>
      <c r="D38" s="41">
        <f t="shared" ref="D38:D39" si="8">E7</f>
        <v>2.74</v>
      </c>
      <c r="E38" s="61"/>
      <c r="F38" s="41">
        <f t="shared" ref="F38:F39" si="9">J7-E7</f>
        <v>0.19999999999999973</v>
      </c>
      <c r="G38" s="61"/>
      <c r="H38" s="41">
        <f t="shared" ref="H38:H39" si="10">I7-E7</f>
        <v>1.5599999999999996</v>
      </c>
    </row>
    <row r="39" spans="1:8" x14ac:dyDescent="0.25">
      <c r="B39" s="56"/>
      <c r="C39" s="59"/>
      <c r="D39" s="42">
        <f t="shared" si="8"/>
        <v>3.04</v>
      </c>
      <c r="E39" s="62"/>
      <c r="F39" s="42">
        <f t="shared" si="9"/>
        <v>-2.06</v>
      </c>
      <c r="G39" s="62"/>
      <c r="H39" s="42">
        <f t="shared" si="10"/>
        <v>-1.3900000000000001</v>
      </c>
    </row>
    <row r="40" spans="1:8" x14ac:dyDescent="0.25">
      <c r="B40" s="54" t="s">
        <v>142</v>
      </c>
      <c r="C40" s="57" t="s">
        <v>11</v>
      </c>
      <c r="D40" s="40">
        <f>E6</f>
        <v>2.87</v>
      </c>
      <c r="E40" s="60" t="s">
        <v>13</v>
      </c>
      <c r="F40" s="40">
        <f>L6-E6</f>
        <v>1.5300000000000002</v>
      </c>
      <c r="G40" s="60" t="s">
        <v>12</v>
      </c>
      <c r="H40" s="40">
        <f>J6-E6</f>
        <v>1.0499999999999998</v>
      </c>
    </row>
    <row r="41" spans="1:8" x14ac:dyDescent="0.25">
      <c r="A41">
        <v>5</v>
      </c>
      <c r="B41" s="55"/>
      <c r="C41" s="58"/>
      <c r="D41" s="41">
        <f t="shared" ref="D41:D42" si="11">E7</f>
        <v>2.74</v>
      </c>
      <c r="E41" s="61"/>
      <c r="F41" s="41">
        <f>L7-E7</f>
        <v>-1.2000000000000002</v>
      </c>
      <c r="G41" s="61"/>
      <c r="H41" s="41">
        <f t="shared" ref="H41:H42" si="12">J7-E7</f>
        <v>0.19999999999999973</v>
      </c>
    </row>
    <row r="42" spans="1:8" x14ac:dyDescent="0.25">
      <c r="B42" s="56"/>
      <c r="C42" s="59"/>
      <c r="D42" s="42">
        <f t="shared" si="11"/>
        <v>3.04</v>
      </c>
      <c r="E42" s="62"/>
      <c r="F42" s="42">
        <f>L8-E8</f>
        <v>-1.22</v>
      </c>
      <c r="G42" s="62"/>
      <c r="H42" s="42">
        <f t="shared" si="12"/>
        <v>-2.06</v>
      </c>
    </row>
    <row r="43" spans="1:8" x14ac:dyDescent="0.25">
      <c r="B43" s="54" t="s">
        <v>143</v>
      </c>
      <c r="C43" s="57" t="s">
        <v>11</v>
      </c>
      <c r="D43" s="40">
        <f>C6</f>
        <v>1.23</v>
      </c>
      <c r="E43" s="60" t="s">
        <v>13</v>
      </c>
      <c r="F43" s="40">
        <f>K6-C6</f>
        <v>1.2999999999999998</v>
      </c>
      <c r="G43" s="60" t="s">
        <v>12</v>
      </c>
      <c r="H43" s="40">
        <f>E6-C6</f>
        <v>1.6400000000000001</v>
      </c>
    </row>
    <row r="44" spans="1:8" x14ac:dyDescent="0.25">
      <c r="A44">
        <v>6</v>
      </c>
      <c r="B44" s="55"/>
      <c r="C44" s="58"/>
      <c r="D44" s="41">
        <f t="shared" ref="D44:D45" si="13">C7</f>
        <v>2.62</v>
      </c>
      <c r="E44" s="61"/>
      <c r="F44" s="41">
        <f t="shared" ref="F44:F45" si="14">K7-C7</f>
        <v>-1.6800000000000002</v>
      </c>
      <c r="G44" s="61"/>
      <c r="H44" s="41">
        <f t="shared" ref="H44:H45" si="15">E7-C7</f>
        <v>0.12000000000000011</v>
      </c>
    </row>
    <row r="45" spans="1:8" x14ac:dyDescent="0.25">
      <c r="B45" s="56"/>
      <c r="C45" s="59"/>
      <c r="D45" s="42">
        <f t="shared" si="13"/>
        <v>4.08</v>
      </c>
      <c r="E45" s="62"/>
      <c r="F45" s="42">
        <f t="shared" si="14"/>
        <v>0.12999999999999989</v>
      </c>
      <c r="G45" s="62"/>
      <c r="H45" s="42">
        <f t="shared" si="15"/>
        <v>-1.04</v>
      </c>
    </row>
    <row r="46" spans="1:8" x14ac:dyDescent="0.25">
      <c r="B46" s="54" t="s">
        <v>135</v>
      </c>
      <c r="C46" s="57" t="s">
        <v>11</v>
      </c>
      <c r="D46" s="40">
        <f>E6</f>
        <v>2.87</v>
      </c>
      <c r="E46" s="60" t="s">
        <v>13</v>
      </c>
      <c r="F46" s="40">
        <f>K6-E6</f>
        <v>-0.3400000000000003</v>
      </c>
      <c r="G46" s="60" t="s">
        <v>12</v>
      </c>
      <c r="H46" s="40">
        <f>L6-E6</f>
        <v>1.5300000000000002</v>
      </c>
    </row>
    <row r="47" spans="1:8" x14ac:dyDescent="0.25">
      <c r="A47">
        <v>7</v>
      </c>
      <c r="B47" s="55"/>
      <c r="C47" s="58"/>
      <c r="D47" s="41">
        <f t="shared" ref="D47:D48" si="16">E7</f>
        <v>2.74</v>
      </c>
      <c r="E47" s="61"/>
      <c r="F47" s="41">
        <f t="shared" ref="F47:F48" si="17">K7-E7</f>
        <v>-1.8000000000000003</v>
      </c>
      <c r="G47" s="61"/>
      <c r="H47" s="41">
        <f t="shared" ref="H47:H48" si="18">L7-E7</f>
        <v>-1.2000000000000002</v>
      </c>
    </row>
    <row r="48" spans="1:8" x14ac:dyDescent="0.25">
      <c r="B48" s="56"/>
      <c r="C48" s="59"/>
      <c r="D48" s="42">
        <f t="shared" si="16"/>
        <v>3.04</v>
      </c>
      <c r="E48" s="62"/>
      <c r="F48" s="42">
        <f t="shared" si="17"/>
        <v>1.17</v>
      </c>
      <c r="G48" s="62"/>
      <c r="H48" s="42">
        <f t="shared" si="18"/>
        <v>-1.22</v>
      </c>
    </row>
    <row r="49" spans="1:8" x14ac:dyDescent="0.25">
      <c r="B49" s="54" t="s">
        <v>144</v>
      </c>
      <c r="C49" s="57" t="s">
        <v>11</v>
      </c>
      <c r="D49" s="40">
        <f>C6</f>
        <v>1.23</v>
      </c>
      <c r="E49" s="60" t="s">
        <v>13</v>
      </c>
      <c r="F49" s="40">
        <f>M6-C6</f>
        <v>-0.78</v>
      </c>
      <c r="G49" s="60" t="s">
        <v>12</v>
      </c>
      <c r="H49" s="40">
        <f>K6-C6</f>
        <v>1.2999999999999998</v>
      </c>
    </row>
    <row r="50" spans="1:8" x14ac:dyDescent="0.25">
      <c r="A50">
        <v>8</v>
      </c>
      <c r="B50" s="55"/>
      <c r="C50" s="58"/>
      <c r="D50" s="41">
        <f t="shared" ref="D50:D51" si="19">C7</f>
        <v>2.62</v>
      </c>
      <c r="E50" s="61"/>
      <c r="F50" s="41">
        <f t="shared" ref="F50:F51" si="20">M7-C7</f>
        <v>-1.3900000000000001</v>
      </c>
      <c r="G50" s="61"/>
      <c r="H50" s="41">
        <f t="shared" ref="H50:H51" si="21">K7-C7</f>
        <v>-1.6800000000000002</v>
      </c>
    </row>
    <row r="51" spans="1:8" x14ac:dyDescent="0.25">
      <c r="B51" s="56"/>
      <c r="C51" s="59"/>
      <c r="D51" s="42">
        <f t="shared" si="19"/>
        <v>4.08</v>
      </c>
      <c r="E51" s="62"/>
      <c r="F51" s="42">
        <f t="shared" si="20"/>
        <v>0.75</v>
      </c>
      <c r="G51" s="62"/>
      <c r="H51" s="42">
        <f t="shared" si="21"/>
        <v>0.12999999999999989</v>
      </c>
    </row>
    <row r="52" spans="1:8" x14ac:dyDescent="0.25">
      <c r="B52" s="54" t="s">
        <v>137</v>
      </c>
      <c r="C52" s="57" t="s">
        <v>11</v>
      </c>
      <c r="D52" s="40">
        <f>C6</f>
        <v>1.23</v>
      </c>
      <c r="E52" s="60" t="s">
        <v>13</v>
      </c>
      <c r="F52" s="40">
        <f>D6-C6</f>
        <v>-0.91999999999999993</v>
      </c>
      <c r="G52" s="60" t="s">
        <v>12</v>
      </c>
      <c r="H52" s="40">
        <f>M6-C6</f>
        <v>-0.78</v>
      </c>
    </row>
    <row r="53" spans="1:8" x14ac:dyDescent="0.25">
      <c r="A53">
        <v>9</v>
      </c>
      <c r="B53" s="55"/>
      <c r="C53" s="58"/>
      <c r="D53" s="41">
        <f t="shared" ref="D53:D54" si="22">C7</f>
        <v>2.62</v>
      </c>
      <c r="E53" s="61"/>
      <c r="F53" s="41">
        <f t="shared" ref="F53:F54" si="23">D7-C7</f>
        <v>1.0699999999999998</v>
      </c>
      <c r="G53" s="61"/>
      <c r="H53" s="41">
        <f t="shared" ref="H53:H54" si="24">M7-C7</f>
        <v>-1.3900000000000001</v>
      </c>
    </row>
    <row r="54" spans="1:8" x14ac:dyDescent="0.25">
      <c r="B54" s="56"/>
      <c r="C54" s="59"/>
      <c r="D54" s="42">
        <f t="shared" si="22"/>
        <v>4.08</v>
      </c>
      <c r="E54" s="62"/>
      <c r="F54" s="42">
        <f t="shared" si="23"/>
        <v>-0.7200000000000002</v>
      </c>
      <c r="G54" s="62"/>
      <c r="H54" s="42">
        <f t="shared" si="24"/>
        <v>0.75</v>
      </c>
    </row>
    <row r="55" spans="1:8" x14ac:dyDescent="0.25">
      <c r="B55" s="54" t="s">
        <v>138</v>
      </c>
      <c r="C55" s="57" t="s">
        <v>11</v>
      </c>
      <c r="D55" s="40">
        <f>D6</f>
        <v>0.31</v>
      </c>
      <c r="E55" s="60" t="s">
        <v>13</v>
      </c>
      <c r="F55" s="40">
        <f>H6-D6</f>
        <v>-0.31</v>
      </c>
      <c r="G55" s="60" t="s">
        <v>12</v>
      </c>
      <c r="H55" s="40">
        <f>M6-D6</f>
        <v>0.14000000000000001</v>
      </c>
    </row>
    <row r="56" spans="1:8" x14ac:dyDescent="0.25">
      <c r="A56">
        <v>10</v>
      </c>
      <c r="B56" s="55"/>
      <c r="C56" s="58"/>
      <c r="D56" s="41">
        <f t="shared" ref="D56:D57" si="25">D7</f>
        <v>3.69</v>
      </c>
      <c r="E56" s="61"/>
      <c r="F56" s="41">
        <f t="shared" ref="F56:F57" si="26">H7-D7</f>
        <v>-3.69</v>
      </c>
      <c r="G56" s="61"/>
      <c r="H56" s="41">
        <f t="shared" ref="H56:H57" si="27">M7-D7</f>
        <v>-2.46</v>
      </c>
    </row>
    <row r="57" spans="1:8" x14ac:dyDescent="0.25">
      <c r="B57" s="56"/>
      <c r="C57" s="59"/>
      <c r="D57" s="42">
        <f t="shared" si="25"/>
        <v>3.36</v>
      </c>
      <c r="E57" s="62"/>
      <c r="F57" s="42">
        <f t="shared" si="26"/>
        <v>1.6400000000000001</v>
      </c>
      <c r="G57" s="62"/>
      <c r="H57" s="42">
        <f t="shared" si="27"/>
        <v>1.4700000000000002</v>
      </c>
    </row>
    <row r="58" spans="1:8" x14ac:dyDescent="0.25">
      <c r="B58" s="44"/>
      <c r="C58" s="45"/>
      <c r="D58" s="45"/>
      <c r="E58" s="46"/>
      <c r="F58" s="45"/>
      <c r="G58" s="46"/>
      <c r="H58" s="45"/>
    </row>
    <row r="59" spans="1:8" x14ac:dyDescent="0.25">
      <c r="B59" s="44"/>
      <c r="C59" s="45"/>
      <c r="D59" s="45"/>
      <c r="E59" s="46"/>
      <c r="F59" s="45"/>
      <c r="G59" s="46"/>
      <c r="H59" s="45"/>
    </row>
    <row r="60" spans="1:8" x14ac:dyDescent="0.25">
      <c r="B60" s="44"/>
      <c r="C60" s="45"/>
      <c r="D60" s="45"/>
      <c r="E60" s="46"/>
      <c r="F60" s="45"/>
      <c r="G60" s="46"/>
      <c r="H60" s="45"/>
    </row>
    <row r="61" spans="1:8" x14ac:dyDescent="0.25">
      <c r="B61" s="44"/>
      <c r="C61" s="45"/>
      <c r="D61" s="45"/>
      <c r="E61" s="46"/>
      <c r="F61" s="45"/>
      <c r="G61" s="46"/>
      <c r="H61" s="45"/>
    </row>
    <row r="62" spans="1:8" x14ac:dyDescent="0.25">
      <c r="B62" s="44"/>
      <c r="C62" s="45"/>
      <c r="D62" s="45"/>
      <c r="E62" s="46"/>
      <c r="F62" s="45"/>
      <c r="G62" s="46"/>
      <c r="H62" s="45"/>
    </row>
    <row r="63" spans="1:8" x14ac:dyDescent="0.25">
      <c r="B63" s="44"/>
      <c r="C63" s="45"/>
      <c r="D63" s="45"/>
      <c r="E63" s="46"/>
      <c r="F63" s="45"/>
      <c r="G63" s="46"/>
      <c r="H63" s="45"/>
    </row>
    <row r="64" spans="1:8" x14ac:dyDescent="0.25">
      <c r="B64" s="44"/>
      <c r="C64" s="45"/>
      <c r="D64" s="45"/>
      <c r="E64" s="46"/>
      <c r="F64" s="45"/>
      <c r="G64" s="46"/>
      <c r="H64" s="45"/>
    </row>
    <row r="65" spans="2:7" x14ac:dyDescent="0.25">
      <c r="D65" s="4"/>
      <c r="F65" s="4"/>
    </row>
    <row r="67" spans="2:7" s="14" customFormat="1" x14ac:dyDescent="0.25">
      <c r="B67" s="15" t="s">
        <v>18</v>
      </c>
    </row>
    <row r="69" spans="2:7" x14ac:dyDescent="0.25">
      <c r="B69" s="5" t="s">
        <v>77</v>
      </c>
    </row>
    <row r="70" spans="2:7" x14ac:dyDescent="0.25">
      <c r="B70" s="54" t="s">
        <v>139</v>
      </c>
      <c r="C70" s="22">
        <f>(F29*H30)-(F30*H29)</f>
        <v>1.0263999999999998</v>
      </c>
      <c r="D70" s="21"/>
      <c r="E70" s="21"/>
      <c r="F70" s="21"/>
      <c r="G70" s="21"/>
    </row>
    <row r="71" spans="2:7" x14ac:dyDescent="0.25">
      <c r="B71" s="55"/>
      <c r="C71" s="23">
        <f>(F30*H28)-(F28*H30)</f>
        <v>2.1376000000000004</v>
      </c>
      <c r="D71" s="21"/>
      <c r="E71" s="21"/>
      <c r="G71" s="21"/>
    </row>
    <row r="72" spans="2:7" x14ac:dyDescent="0.25">
      <c r="B72" s="56"/>
      <c r="C72" s="24">
        <f>(F28*H29)-(F29*H28)</f>
        <v>1.8652</v>
      </c>
      <c r="D72" s="21"/>
      <c r="E72" s="21"/>
      <c r="G72" s="21"/>
    </row>
    <row r="73" spans="2:7" x14ac:dyDescent="0.25">
      <c r="B73" s="54" t="s">
        <v>79</v>
      </c>
      <c r="C73" s="22">
        <f>(F32*H33)-(F33*H32)</f>
        <v>1.8196999999999994</v>
      </c>
      <c r="D73" s="21"/>
      <c r="E73" s="21"/>
      <c r="G73" s="21"/>
    </row>
    <row r="74" spans="2:7" x14ac:dyDescent="0.25">
      <c r="B74" s="55"/>
      <c r="C74" s="23">
        <f>(F33*H31)-(F31*H33)</f>
        <v>3.8528000000000002</v>
      </c>
      <c r="D74" s="21"/>
      <c r="E74" s="21"/>
      <c r="G74" s="21"/>
    </row>
    <row r="75" spans="2:7" x14ac:dyDescent="0.25">
      <c r="B75" s="56"/>
      <c r="C75" s="24">
        <f>(F31*H32)-(F32*H31)</f>
        <v>3.1195999999999993</v>
      </c>
      <c r="D75" s="21"/>
      <c r="E75" s="21"/>
      <c r="G75" s="21"/>
    </row>
    <row r="76" spans="2:7" x14ac:dyDescent="0.25">
      <c r="B76" s="54" t="s">
        <v>140</v>
      </c>
      <c r="C76" s="22">
        <f>(F35*H36)-(F36*H35)</f>
        <v>0.19050000000000056</v>
      </c>
      <c r="D76" s="21"/>
      <c r="E76" s="21"/>
      <c r="G76" s="21"/>
    </row>
    <row r="77" spans="2:7" x14ac:dyDescent="0.25">
      <c r="B77" s="55"/>
      <c r="C77" s="23">
        <f>(F36*H34)-(F34*H36)</f>
        <v>6.0404999999999998</v>
      </c>
      <c r="D77" s="21"/>
      <c r="E77" s="21"/>
      <c r="G77" s="21"/>
    </row>
    <row r="78" spans="2:7" x14ac:dyDescent="0.25">
      <c r="B78" s="56"/>
      <c r="C78" s="24">
        <f>(F34*H35)-(F35*H34)</f>
        <v>2.3374999999999999</v>
      </c>
      <c r="D78" s="21"/>
      <c r="E78" s="21"/>
      <c r="F78" s="21"/>
      <c r="G78" s="21"/>
    </row>
    <row r="79" spans="2:7" x14ac:dyDescent="0.25">
      <c r="B79" s="54" t="s">
        <v>141</v>
      </c>
      <c r="C79" s="22">
        <f>(F38*H39)-(F39*H38)</f>
        <v>2.9355999999999995</v>
      </c>
      <c r="D79" s="21"/>
      <c r="E79" s="21"/>
      <c r="F79" s="21"/>
      <c r="G79" s="21"/>
    </row>
    <row r="80" spans="2:7" x14ac:dyDescent="0.25">
      <c r="B80" s="55"/>
      <c r="C80" s="23">
        <f>(F39*H37)-(F37*H39)</f>
        <v>3.3547000000000002</v>
      </c>
      <c r="D80" s="21"/>
      <c r="E80" s="21"/>
      <c r="F80" s="21"/>
      <c r="G80" s="21"/>
    </row>
    <row r="81" spans="2:7" x14ac:dyDescent="0.25">
      <c r="B81" s="56"/>
      <c r="C81" s="24">
        <f>(F37*H38)-(F38*H37)</f>
        <v>1.821999999999999</v>
      </c>
      <c r="D81" s="21"/>
      <c r="E81" s="21"/>
      <c r="F81" s="21"/>
      <c r="G81" s="21"/>
    </row>
    <row r="82" spans="2:7" x14ac:dyDescent="0.25">
      <c r="B82" s="54" t="s">
        <v>142</v>
      </c>
      <c r="C82" s="22">
        <f>(F41*H42)-(F42*H41)</f>
        <v>2.7160000000000002</v>
      </c>
      <c r="D82" s="21"/>
      <c r="E82" s="21"/>
      <c r="F82" s="21"/>
      <c r="G82" s="21"/>
    </row>
    <row r="83" spans="2:7" x14ac:dyDescent="0.25">
      <c r="B83" s="55"/>
      <c r="C83" s="23">
        <f>(F42*H40)-(F40*H42)</f>
        <v>1.8708000000000009</v>
      </c>
      <c r="D83" s="21"/>
      <c r="E83" s="21"/>
      <c r="F83" s="21"/>
      <c r="G83" s="21"/>
    </row>
    <row r="84" spans="2:7" x14ac:dyDescent="0.25">
      <c r="B84" s="56"/>
      <c r="C84" s="24">
        <f>(F40*H41)-(F41*H40)</f>
        <v>1.5659999999999996</v>
      </c>
    </row>
    <row r="85" spans="2:7" x14ac:dyDescent="0.25">
      <c r="B85" s="54" t="s">
        <v>143</v>
      </c>
      <c r="C85" s="22">
        <f>(F44*H45)-(F45*H44)</f>
        <v>1.7316000000000003</v>
      </c>
    </row>
    <row r="86" spans="2:7" x14ac:dyDescent="0.25">
      <c r="B86" s="55"/>
      <c r="C86" s="23">
        <f>(F45*H43)-(F43*H45)</f>
        <v>1.5651999999999997</v>
      </c>
    </row>
    <row r="87" spans="2:7" x14ac:dyDescent="0.25">
      <c r="B87" s="56"/>
      <c r="C87" s="24">
        <f>(F43*H44)-(F44*H43)</f>
        <v>2.9112000000000005</v>
      </c>
    </row>
    <row r="88" spans="2:7" x14ac:dyDescent="0.25">
      <c r="B88" s="54" t="s">
        <v>135</v>
      </c>
      <c r="C88" s="22">
        <f>(F47*H48)-(F48*H47)</f>
        <v>3.6000000000000005</v>
      </c>
    </row>
    <row r="89" spans="2:7" x14ac:dyDescent="0.25">
      <c r="B89" s="55"/>
      <c r="C89" s="23">
        <f>(F48*H46)-(F46*H48)</f>
        <v>1.3753</v>
      </c>
    </row>
    <row r="90" spans="2:7" x14ac:dyDescent="0.25">
      <c r="B90" s="56"/>
      <c r="C90" s="24">
        <f>(F46*H47)-(F47*H46)</f>
        <v>3.1620000000000013</v>
      </c>
    </row>
    <row r="91" spans="2:7" x14ac:dyDescent="0.25">
      <c r="B91" s="54" t="s">
        <v>144</v>
      </c>
      <c r="C91" s="22">
        <f>(F50*H51)-(F51*H50)</f>
        <v>1.0793000000000004</v>
      </c>
    </row>
    <row r="92" spans="2:7" x14ac:dyDescent="0.25">
      <c r="B92" s="55"/>
      <c r="C92" s="23">
        <f>(F51*H49)-(F49*H51)</f>
        <v>1.0763999999999998</v>
      </c>
    </row>
    <row r="93" spans="2:7" x14ac:dyDescent="0.25">
      <c r="B93" s="56"/>
      <c r="C93" s="24">
        <f>(F49*H50)-(F50*H49)</f>
        <v>3.1173999999999999</v>
      </c>
    </row>
    <row r="94" spans="2:7" x14ac:dyDescent="0.25">
      <c r="B94" s="54" t="s">
        <v>137</v>
      </c>
      <c r="C94" s="22">
        <f>(F53*H54)-(F54*H53)</f>
        <v>-0.19830000000000048</v>
      </c>
    </row>
    <row r="95" spans="2:7" x14ac:dyDescent="0.25">
      <c r="B95" s="55"/>
      <c r="C95" s="23">
        <f>(F54*H52)-(F52*H54)</f>
        <v>1.2516000000000003</v>
      </c>
    </row>
    <row r="96" spans="2:7" x14ac:dyDescent="0.25">
      <c r="B96" s="56"/>
      <c r="C96" s="24">
        <f>(F52*H53)-(F53*H52)</f>
        <v>2.1133999999999999</v>
      </c>
    </row>
    <row r="97" spans="2:7" x14ac:dyDescent="0.25">
      <c r="B97" s="54" t="s">
        <v>138</v>
      </c>
      <c r="C97" s="22">
        <f>(F56*H57)-(F57*H56)</f>
        <v>-1.3898999999999999</v>
      </c>
    </row>
    <row r="98" spans="2:7" x14ac:dyDescent="0.25">
      <c r="B98" s="55"/>
      <c r="C98" s="23">
        <f>(F57*H55)-(F55*H57)</f>
        <v>0.68530000000000002</v>
      </c>
    </row>
    <row r="99" spans="2:7" x14ac:dyDescent="0.25">
      <c r="B99" s="56"/>
      <c r="C99" s="24">
        <f>(F55*H56)-(F56*H55)</f>
        <v>1.2791999999999999</v>
      </c>
    </row>
    <row r="100" spans="2:7" x14ac:dyDescent="0.25">
      <c r="B100" s="17"/>
    </row>
    <row r="101" spans="2:7" s="15" customFormat="1" x14ac:dyDescent="0.25">
      <c r="B101" s="15" t="s">
        <v>85</v>
      </c>
    </row>
    <row r="102" spans="2:7" x14ac:dyDescent="0.25">
      <c r="B102" s="17"/>
    </row>
    <row r="103" spans="2:7" x14ac:dyDescent="0.25">
      <c r="B103" t="s">
        <v>20</v>
      </c>
    </row>
    <row r="104" spans="2:7" x14ac:dyDescent="0.25">
      <c r="B104" t="s">
        <v>21</v>
      </c>
    </row>
    <row r="106" spans="2:7" x14ac:dyDescent="0.25">
      <c r="B106" s="3" t="s">
        <v>81</v>
      </c>
      <c r="C106" s="3" t="s">
        <v>145</v>
      </c>
      <c r="D106" s="3" t="s">
        <v>146</v>
      </c>
      <c r="E106" s="3" t="s">
        <v>147</v>
      </c>
    </row>
    <row r="107" spans="2:7" x14ac:dyDescent="0.25">
      <c r="B107" s="54" t="s">
        <v>139</v>
      </c>
      <c r="C107" s="49">
        <f>(C6+D6+E6)/3</f>
        <v>1.47</v>
      </c>
      <c r="D107" s="49"/>
      <c r="E107" s="49"/>
    </row>
    <row r="108" spans="2:7" x14ac:dyDescent="0.25">
      <c r="B108" s="55"/>
      <c r="C108" s="50">
        <f t="shared" ref="C108:C109" si="28">(C7+D7+E7)/3</f>
        <v>3.0166666666666671</v>
      </c>
      <c r="D108" s="50">
        <f>SQRT(((C107-C6)^2)+((C108-C7)^2)+((C109-C8)^2))</f>
        <v>0.74774475740203095</v>
      </c>
      <c r="E108" s="50">
        <f>SQRT(((C107-D6)^2)+((C108-D7)^2)+((C109-D8)^2))</f>
        <v>1.3478707488314876</v>
      </c>
    </row>
    <row r="109" spans="2:7" x14ac:dyDescent="0.25">
      <c r="B109" s="56"/>
      <c r="C109" s="51">
        <f t="shared" si="28"/>
        <v>3.4933333333333336</v>
      </c>
      <c r="D109" s="52"/>
      <c r="E109" s="51"/>
      <c r="F109" s="6"/>
      <c r="G109" s="6"/>
    </row>
    <row r="110" spans="2:7" x14ac:dyDescent="0.25">
      <c r="B110" s="54" t="s">
        <v>79</v>
      </c>
      <c r="C110" s="49">
        <f>(D6+E6+I6)/3</f>
        <v>1.71</v>
      </c>
      <c r="D110" s="49"/>
      <c r="E110" s="49"/>
      <c r="F110" s="6"/>
      <c r="G110" s="6"/>
    </row>
    <row r="111" spans="2:7" x14ac:dyDescent="0.25">
      <c r="B111" s="55"/>
      <c r="C111" s="50">
        <f t="shared" ref="C111:C112" si="29">(D7+E7+I7)/3</f>
        <v>3.5766666666666667</v>
      </c>
      <c r="D111" s="53" t="s">
        <v>148</v>
      </c>
      <c r="E111" s="50">
        <f>SQRT(((C110-D6)^2)+((C111-D7)^2)+((C112-D8)^2))</f>
        <v>1.5590773624878982</v>
      </c>
      <c r="F111" s="6"/>
      <c r="G111" s="6"/>
    </row>
    <row r="112" spans="2:7" x14ac:dyDescent="0.25">
      <c r="B112" s="56"/>
      <c r="C112" s="51">
        <f t="shared" si="29"/>
        <v>2.6833333333333336</v>
      </c>
      <c r="D112" s="51"/>
      <c r="E112" s="51"/>
    </row>
    <row r="113" spans="2:5" x14ac:dyDescent="0.25">
      <c r="B113" s="54" t="s">
        <v>140</v>
      </c>
      <c r="C113" s="49">
        <f>(D6+I6+F6)/3</f>
        <v>0.7533333333333333</v>
      </c>
      <c r="D113" s="49"/>
      <c r="E113" s="49"/>
    </row>
    <row r="114" spans="2:5" x14ac:dyDescent="0.25">
      <c r="B114" s="55"/>
      <c r="C114" s="50">
        <f t="shared" ref="C114:C115" si="30">(D7+I7+F7)/3</f>
        <v>4.33</v>
      </c>
      <c r="D114" s="50"/>
      <c r="E114" s="50">
        <f>SQRT(((C113-D6)^2)+((C114-D7)^2)+((C115-D8)^2))</f>
        <v>1.8607107363704989</v>
      </c>
    </row>
    <row r="115" spans="2:5" x14ac:dyDescent="0.25">
      <c r="B115" s="56"/>
      <c r="C115" s="51">
        <f t="shared" si="30"/>
        <v>1.67</v>
      </c>
      <c r="D115" s="51"/>
      <c r="E115" s="51"/>
    </row>
    <row r="116" spans="2:5" x14ac:dyDescent="0.25">
      <c r="B116" s="54" t="s">
        <v>141</v>
      </c>
      <c r="C116" s="49">
        <f>(E6+J6+I6)/3</f>
        <v>2.9133333333333336</v>
      </c>
      <c r="D116" s="49"/>
      <c r="E116" s="49"/>
    </row>
    <row r="117" spans="2:5" x14ac:dyDescent="0.25">
      <c r="B117" s="55"/>
      <c r="C117" s="50">
        <f t="shared" ref="C117:C118" si="31">(E7+J7+I7)/3</f>
        <v>3.3266666666666667</v>
      </c>
      <c r="D117" s="53" t="s">
        <v>148</v>
      </c>
      <c r="E117" s="53" t="s">
        <v>148</v>
      </c>
    </row>
    <row r="118" spans="2:5" x14ac:dyDescent="0.25">
      <c r="B118" s="56"/>
      <c r="C118" s="51">
        <f t="shared" si="31"/>
        <v>1.89</v>
      </c>
      <c r="D118" s="51"/>
      <c r="E118" s="51"/>
    </row>
    <row r="119" spans="2:5" x14ac:dyDescent="0.25">
      <c r="B119" s="54" t="s">
        <v>142</v>
      </c>
      <c r="C119" s="49">
        <f>(E6+L6+J6)/3</f>
        <v>3.7300000000000004</v>
      </c>
      <c r="D119" s="49"/>
      <c r="E119" s="49"/>
    </row>
    <row r="120" spans="2:5" x14ac:dyDescent="0.25">
      <c r="B120" s="55"/>
      <c r="C120" s="50">
        <f t="shared" ref="C120:C121" si="32">(E7+L7+J7)/3</f>
        <v>2.4066666666666667</v>
      </c>
      <c r="D120" s="53" t="s">
        <v>148</v>
      </c>
      <c r="E120" s="53" t="s">
        <v>148</v>
      </c>
    </row>
    <row r="121" spans="2:5" x14ac:dyDescent="0.25">
      <c r="B121" s="56"/>
      <c r="C121" s="51">
        <f t="shared" si="32"/>
        <v>1.9466666666666665</v>
      </c>
      <c r="D121" s="51"/>
      <c r="E121" s="51"/>
    </row>
    <row r="122" spans="2:5" x14ac:dyDescent="0.25">
      <c r="B122" s="54" t="s">
        <v>143</v>
      </c>
      <c r="C122" s="49">
        <f>(C6+K6+E6)/3</f>
        <v>2.21</v>
      </c>
      <c r="D122" s="49"/>
      <c r="E122" s="49"/>
    </row>
    <row r="123" spans="2:5" x14ac:dyDescent="0.25">
      <c r="B123" s="55"/>
      <c r="C123" s="50">
        <f t="shared" ref="C123:C124" si="33">(C7+K7+E7)/3</f>
        <v>2.1</v>
      </c>
      <c r="D123" s="50">
        <f>SQRT(((C122-C6)^2)+((C123-C7)^2)+((C124-C8)^2))</f>
        <v>1.150135257746284</v>
      </c>
      <c r="E123" s="53" t="s">
        <v>148</v>
      </c>
    </row>
    <row r="124" spans="2:5" x14ac:dyDescent="0.25">
      <c r="B124" s="56"/>
      <c r="C124" s="51">
        <f t="shared" si="33"/>
        <v>3.776666666666666</v>
      </c>
      <c r="D124" s="51"/>
      <c r="E124" s="51"/>
    </row>
    <row r="125" spans="2:5" x14ac:dyDescent="0.25">
      <c r="B125" s="54" t="s">
        <v>135</v>
      </c>
      <c r="C125" s="49">
        <f>(E6+K6+L6)/3</f>
        <v>3.2666666666666671</v>
      </c>
      <c r="D125" s="49"/>
      <c r="E125" s="49"/>
    </row>
    <row r="126" spans="2:5" x14ac:dyDescent="0.25">
      <c r="B126" s="55"/>
      <c r="C126" s="50">
        <f t="shared" ref="C126:C127" si="34">(E7+K7+L7)/3</f>
        <v>1.7400000000000002</v>
      </c>
      <c r="D126" s="53" t="s">
        <v>148</v>
      </c>
      <c r="E126" s="53" t="s">
        <v>148</v>
      </c>
    </row>
    <row r="127" spans="2:5" x14ac:dyDescent="0.25">
      <c r="B127" s="56"/>
      <c r="C127" s="51">
        <f t="shared" si="34"/>
        <v>3.0233333333333334</v>
      </c>
      <c r="D127" s="51"/>
      <c r="E127" s="51"/>
    </row>
    <row r="128" spans="2:5" x14ac:dyDescent="0.25">
      <c r="B128" s="54" t="s">
        <v>144</v>
      </c>
      <c r="C128" s="49">
        <f>(C6+M6+K6)/3</f>
        <v>1.4033333333333333</v>
      </c>
      <c r="D128" s="49"/>
      <c r="E128" s="49"/>
    </row>
    <row r="129" spans="2:6" x14ac:dyDescent="0.25">
      <c r="B129" s="55"/>
      <c r="C129" s="50">
        <f t="shared" ref="C129:C130" si="35">(C7+M7+K7)/3</f>
        <v>1.5966666666666667</v>
      </c>
      <c r="D129" s="50">
        <f>SQRT(((C128-C6)^2)+((C129-C7)^2)+((C130-C8)^2))</f>
        <v>1.0785638599545233</v>
      </c>
      <c r="E129" s="53" t="s">
        <v>148</v>
      </c>
    </row>
    <row r="130" spans="2:6" x14ac:dyDescent="0.25">
      <c r="B130" s="56"/>
      <c r="C130" s="51">
        <f t="shared" si="35"/>
        <v>4.373333333333334</v>
      </c>
      <c r="D130" s="51"/>
      <c r="E130" s="51"/>
    </row>
    <row r="131" spans="2:6" x14ac:dyDescent="0.25">
      <c r="B131" s="54" t="s">
        <v>137</v>
      </c>
      <c r="C131" s="49">
        <f>(C6+D6+M6)/3</f>
        <v>0.66333333333333333</v>
      </c>
      <c r="D131" s="49"/>
      <c r="E131" s="49"/>
    </row>
    <row r="132" spans="2:6" x14ac:dyDescent="0.25">
      <c r="B132" s="55"/>
      <c r="C132" s="50">
        <f t="shared" ref="C132:C133" si="36">(C7+D7+M7)/3</f>
        <v>2.5133333333333336</v>
      </c>
      <c r="D132" s="50">
        <f>SQRT(((C131-C6)^2)+((C132-C7)^2)+((C133-C8)^2))</f>
        <v>0.57670520102465594</v>
      </c>
      <c r="E132" s="50">
        <f>SQRT(((C131-D6)^2)+((C132-D7)^2)+((C133-D8)^2))</f>
        <v>1.4290867324584915</v>
      </c>
    </row>
    <row r="133" spans="2:6" x14ac:dyDescent="0.25">
      <c r="B133" s="56"/>
      <c r="C133" s="51">
        <f t="shared" si="36"/>
        <v>4.09</v>
      </c>
      <c r="D133" s="51"/>
      <c r="E133" s="51"/>
    </row>
    <row r="134" spans="2:6" x14ac:dyDescent="0.25">
      <c r="B134" s="54" t="s">
        <v>138</v>
      </c>
      <c r="C134" s="50">
        <f>(D6+H6+M6)/3</f>
        <v>0.25333333333333335</v>
      </c>
      <c r="D134" s="50"/>
      <c r="E134" s="50"/>
    </row>
    <row r="135" spans="2:6" x14ac:dyDescent="0.25">
      <c r="B135" s="55"/>
      <c r="C135" s="50">
        <f>(D7+H7+M7)/3</f>
        <v>1.64</v>
      </c>
      <c r="D135" s="53" t="s">
        <v>148</v>
      </c>
      <c r="E135" s="50">
        <f>SQRT(((C134-D6)^2)+((C135-D7)^2)+((C136-D8)^2))</f>
        <v>2.2979096781398716</v>
      </c>
    </row>
    <row r="136" spans="2:6" x14ac:dyDescent="0.25">
      <c r="B136" s="56"/>
      <c r="C136" s="51">
        <f>(D8+H8+M8)/3</f>
        <v>4.3966666666666665</v>
      </c>
      <c r="D136" s="51"/>
      <c r="E136" s="51"/>
    </row>
    <row r="138" spans="2:6" x14ac:dyDescent="0.25">
      <c r="B138" s="3" t="s">
        <v>26</v>
      </c>
      <c r="C138" s="3" t="s">
        <v>27</v>
      </c>
    </row>
    <row r="139" spans="2:6" x14ac:dyDescent="0.25">
      <c r="B139" s="6">
        <f>((1/$D$108*C70)+(1/$D$123*C85)+(1/$D$129*C91)+(1/$D$132*C94))/(COUNT(C70,C85,C91,C94))</f>
        <v>0.88376390688887874</v>
      </c>
      <c r="C139" s="6">
        <f>((1/$E$108*C70)+(1/$E$111*C73)+(1/$E$114*C76)+(1/$E$132*C94)+(1/$E$135*C97))/(COUNT(C70,C73,C76,C94,C97))</f>
        <v>0.25748564662383489</v>
      </c>
      <c r="E139" s="6">
        <v>0.90974999999999995</v>
      </c>
      <c r="F139" s="6">
        <v>0.28967999999999983</v>
      </c>
    </row>
    <row r="140" spans="2:6" x14ac:dyDescent="0.25">
      <c r="B140" s="6">
        <f t="shared" ref="B140:B141" si="37">((1/$D$108*C71)+(1/$D$123*C86)+(1/$D$129*C92)+(1/$D$132*C95))/(COUNT(C71,C86,C92,C95))</f>
        <v>1.8469665705445655</v>
      </c>
      <c r="C140" s="6">
        <f t="shared" ref="C140:C141" si="38">((1/$E$108*C71)+(1/$E$111*C74)+(1/$E$114*C77)+(1/$E$132*C95)+(1/$E$135*C98))/(COUNT(C71,C74,C77,C95,C98))</f>
        <v>1.6954971395969818</v>
      </c>
      <c r="E140" s="6">
        <v>1.5076999999999998</v>
      </c>
      <c r="F140" s="6">
        <v>2.7935600000000003</v>
      </c>
    </row>
    <row r="141" spans="2:6" x14ac:dyDescent="0.25">
      <c r="B141" s="6">
        <f t="shared" si="37"/>
        <v>2.8951375393604577</v>
      </c>
      <c r="C141" s="6">
        <f t="shared" si="38"/>
        <v>1.3353012043357617</v>
      </c>
      <c r="E141" s="6">
        <v>2.5018000000000002</v>
      </c>
      <c r="F141" s="6">
        <v>2.1429799999999997</v>
      </c>
    </row>
    <row r="146" spans="2:21" s="14" customFormat="1" x14ac:dyDescent="0.25">
      <c r="B146" s="15" t="s">
        <v>48</v>
      </c>
    </row>
    <row r="148" spans="2:21" x14ac:dyDescent="0.25">
      <c r="B148" s="26" t="s">
        <v>29</v>
      </c>
      <c r="C148" s="27"/>
      <c r="D148" s="27"/>
      <c r="E148" s="27"/>
      <c r="F148" s="27"/>
      <c r="G148" s="25" t="s">
        <v>89</v>
      </c>
      <c r="H148" s="1"/>
      <c r="I148" s="1"/>
      <c r="J148" s="1"/>
      <c r="K148" s="1"/>
      <c r="L148" s="1"/>
      <c r="M148" s="15" t="s">
        <v>90</v>
      </c>
      <c r="N148" s="14"/>
      <c r="O148" s="14"/>
      <c r="P148" s="14"/>
      <c r="Q148" s="29" t="s">
        <v>91</v>
      </c>
      <c r="R148" s="30"/>
      <c r="S148" s="30"/>
      <c r="T148" s="30"/>
      <c r="U148" s="30"/>
    </row>
    <row r="149" spans="2:21" x14ac:dyDescent="0.25">
      <c r="B149" s="27"/>
      <c r="C149" s="27">
        <f>C6</f>
        <v>1.23</v>
      </c>
      <c r="D149" s="27"/>
      <c r="E149" s="27">
        <f>D6-C6</f>
        <v>-0.91999999999999993</v>
      </c>
      <c r="F149" s="27"/>
      <c r="G149" s="25" t="s">
        <v>31</v>
      </c>
      <c r="H149" s="1">
        <f>(E150*B141)-(B140*E151)</f>
        <v>4.427613097907777</v>
      </c>
      <c r="I149" s="25" t="s">
        <v>32</v>
      </c>
      <c r="J149" s="1">
        <f>(E150*C141)-(C140*E151)</f>
        <v>2.6495302291490921</v>
      </c>
      <c r="K149" s="1"/>
      <c r="L149" s="1"/>
      <c r="M149" s="15" t="s">
        <v>34</v>
      </c>
      <c r="N149" s="14">
        <f>(H150*B141)-(B140*H151)</f>
        <v>10.753995488307053</v>
      </c>
      <c r="O149" s="15" t="s">
        <v>35</v>
      </c>
      <c r="P149" s="14">
        <f>(J150*C141)-(C140*J151)</f>
        <v>4.5046954341932617</v>
      </c>
      <c r="Q149" s="29" t="s">
        <v>4</v>
      </c>
      <c r="R149" s="30">
        <f>(H150*E151)-(E150*H151)</f>
        <v>1.370379292299974</v>
      </c>
      <c r="S149" s="30"/>
      <c r="T149" s="29" t="s">
        <v>5</v>
      </c>
      <c r="U149" s="30">
        <f>(J150*E151)-(E150*J151)</f>
        <v>1.2128197424966842</v>
      </c>
    </row>
    <row r="150" spans="2:21" x14ac:dyDescent="0.25">
      <c r="B150" s="27" t="s">
        <v>11</v>
      </c>
      <c r="C150" s="27">
        <f>C7</f>
        <v>2.62</v>
      </c>
      <c r="D150" s="28" t="s">
        <v>13</v>
      </c>
      <c r="E150" s="27">
        <f>D7-C7</f>
        <v>1.0699999999999998</v>
      </c>
      <c r="F150" s="27"/>
      <c r="G150" s="1"/>
      <c r="H150" s="1">
        <f>(E151*B139)-(B141*E149)</f>
        <v>2.0272165232516279</v>
      </c>
      <c r="I150" s="1"/>
      <c r="J150" s="1">
        <f>(E151*C139)-(C141*E149)</f>
        <v>1.0430874424197396</v>
      </c>
      <c r="K150" s="1"/>
      <c r="L150" s="1"/>
      <c r="M150" s="14"/>
      <c r="N150" s="14">
        <f>(H151*B139)-(B141*H149)</f>
        <v>-15.155960038550123</v>
      </c>
      <c r="O150" s="14"/>
      <c r="P150" s="14">
        <f>(J151*C139)-(C141*J149)</f>
        <v>-4.0105015673502464</v>
      </c>
      <c r="Q150" s="30"/>
      <c r="R150" s="30">
        <f>(H151*E149)-(E151*H149)</f>
        <v>5.6211311257439327</v>
      </c>
      <c r="S150" s="30"/>
      <c r="T150" s="30"/>
      <c r="U150" s="30">
        <f>(J151*E149)-(E151*J149)</f>
        <v>3.5961994144787353</v>
      </c>
    </row>
    <row r="151" spans="2:21" x14ac:dyDescent="0.25">
      <c r="B151" s="27"/>
      <c r="C151" s="27">
        <f>C8</f>
        <v>4.08</v>
      </c>
      <c r="D151" s="27"/>
      <c r="E151" s="27">
        <f>D8-C8</f>
        <v>-0.7200000000000002</v>
      </c>
      <c r="F151" s="27"/>
      <c r="G151" s="1"/>
      <c r="H151" s="1">
        <f>(E149*B140)-(E150*B139)</f>
        <v>-2.6448366252721001</v>
      </c>
      <c r="I151" s="1"/>
      <c r="J151" s="1">
        <f>(E149*C140)-(E150*C139)</f>
        <v>-1.8353670103167263</v>
      </c>
      <c r="K151" s="1"/>
      <c r="L151" s="1"/>
      <c r="M151" s="14"/>
      <c r="N151" s="14">
        <f>(H149*B140)-(H150*B139)</f>
        <v>6.3860725844423776</v>
      </c>
      <c r="O151" s="14"/>
      <c r="P151" s="14">
        <f>(J149*C140)-(J150*C139)</f>
        <v>4.2236908802013726</v>
      </c>
      <c r="Q151" s="30"/>
      <c r="R151" s="30">
        <f>(H149*E150)-(H150*E149)</f>
        <v>6.6025852161528187</v>
      </c>
      <c r="S151" s="30"/>
      <c r="T151" s="30"/>
      <c r="U151" s="30">
        <f>(J149*E150)-(J150*E149)</f>
        <v>3.7946377922156884</v>
      </c>
    </row>
    <row r="153" spans="2:21" x14ac:dyDescent="0.25">
      <c r="B153" s="26" t="s">
        <v>92</v>
      </c>
      <c r="C153" s="27"/>
      <c r="D153" s="27"/>
      <c r="E153" s="27"/>
      <c r="F153" s="27"/>
      <c r="G153" s="25" t="s">
        <v>42</v>
      </c>
      <c r="H153" s="1"/>
      <c r="I153" s="1"/>
      <c r="J153" s="1"/>
      <c r="N153" s="6">
        <f>N149+C149</f>
        <v>11.983995488307054</v>
      </c>
      <c r="O153" s="6">
        <f>P149+D6</f>
        <v>4.8146954341932613</v>
      </c>
    </row>
    <row r="154" spans="2:21" x14ac:dyDescent="0.25">
      <c r="B154" s="26" t="s">
        <v>4</v>
      </c>
      <c r="C154" s="27">
        <f>SQRT((R149^2)+(R150^2)+(R151^2))</f>
        <v>8.7789057446888901</v>
      </c>
      <c r="D154" s="26" t="s">
        <v>5</v>
      </c>
      <c r="E154" s="27">
        <f>SQRT((U149^2)+(U150^2)+(U151^2))</f>
        <v>5.3668294113562505</v>
      </c>
      <c r="F154" s="27"/>
      <c r="G154" s="25" t="s">
        <v>4</v>
      </c>
      <c r="H154" s="1">
        <f>R149/$C$154</f>
        <v>0.15609910074829469</v>
      </c>
      <c r="I154" s="25" t="s">
        <v>5</v>
      </c>
      <c r="J154" s="1">
        <f>U149/$E$154</f>
        <v>0.22598440336679021</v>
      </c>
      <c r="N154" s="6">
        <f t="shared" ref="N154:N155" si="39">N150+C150</f>
        <v>-12.535960038550122</v>
      </c>
      <c r="O154" s="6">
        <f>P150+D7</f>
        <v>-0.32050156735024649</v>
      </c>
      <c r="P154" s="2"/>
    </row>
    <row r="155" spans="2:21" x14ac:dyDescent="0.25">
      <c r="G155" s="1"/>
      <c r="H155" s="1">
        <f>R150/$C$154</f>
        <v>0.6402997468271755</v>
      </c>
      <c r="I155" s="1"/>
      <c r="J155" s="1">
        <f>U150/$E$154</f>
        <v>0.67007894956920955</v>
      </c>
      <c r="N155" s="6">
        <f t="shared" si="39"/>
        <v>10.466072584442378</v>
      </c>
      <c r="O155" s="6">
        <f>P151+D8</f>
        <v>7.5836908802013721</v>
      </c>
      <c r="P155" s="2"/>
    </row>
    <row r="156" spans="2:21" x14ac:dyDescent="0.25">
      <c r="G156" s="1"/>
      <c r="H156" s="1">
        <f>R151/$C$154</f>
        <v>0.75209660613423113</v>
      </c>
      <c r="I156" s="1"/>
      <c r="J156" s="1">
        <f>U151/$E$154</f>
        <v>0.70705392353000951</v>
      </c>
      <c r="P156" s="2"/>
    </row>
    <row r="157" spans="2:21" x14ac:dyDescent="0.25">
      <c r="O157" s="2"/>
    </row>
    <row r="158" spans="2:21" x14ac:dyDescent="0.25">
      <c r="B158" s="26" t="s">
        <v>43</v>
      </c>
      <c r="C158" s="27"/>
      <c r="D158" s="27"/>
      <c r="E158" s="27"/>
      <c r="F158" s="27"/>
      <c r="G158" s="25" t="s">
        <v>44</v>
      </c>
      <c r="H158" s="1"/>
      <c r="I158" s="1"/>
      <c r="J158" s="1"/>
      <c r="K158" s="2"/>
      <c r="O158" s="2"/>
    </row>
    <row r="159" spans="2:21" x14ac:dyDescent="0.25">
      <c r="B159" s="27"/>
      <c r="C159" s="27">
        <f>C6</f>
        <v>1.23</v>
      </c>
      <c r="D159" s="27"/>
      <c r="E159" s="27">
        <f>N149</f>
        <v>10.753995488307053</v>
      </c>
      <c r="F159" s="27"/>
      <c r="G159" s="1"/>
      <c r="H159" s="1">
        <f>D6</f>
        <v>0.31</v>
      </c>
      <c r="I159" s="1"/>
      <c r="J159" s="1">
        <f>H154</f>
        <v>0.15609910074829469</v>
      </c>
      <c r="K159" s="2"/>
      <c r="O159" s="2"/>
    </row>
    <row r="160" spans="2:21" x14ac:dyDescent="0.25">
      <c r="B160" s="27" t="s">
        <v>11</v>
      </c>
      <c r="C160" s="27">
        <f>C7</f>
        <v>2.62</v>
      </c>
      <c r="D160" s="28" t="s">
        <v>13</v>
      </c>
      <c r="E160" s="27">
        <f>N150</f>
        <v>-15.155960038550123</v>
      </c>
      <c r="F160" s="27"/>
      <c r="G160" s="1" t="s">
        <v>11</v>
      </c>
      <c r="H160" s="1">
        <f>D7</f>
        <v>3.69</v>
      </c>
      <c r="I160" s="31" t="s">
        <v>12</v>
      </c>
      <c r="J160" s="1">
        <f>H155</f>
        <v>0.6402997468271755</v>
      </c>
      <c r="K160" s="2"/>
      <c r="O160" s="2"/>
    </row>
    <row r="161" spans="2:14" x14ac:dyDescent="0.25">
      <c r="B161" s="27"/>
      <c r="C161" s="27">
        <f>C8</f>
        <v>4.08</v>
      </c>
      <c r="D161" s="27"/>
      <c r="E161" s="27">
        <f>N151</f>
        <v>6.3860725844423776</v>
      </c>
      <c r="F161" s="27"/>
      <c r="G161" s="1"/>
      <c r="H161" s="1">
        <f>D8</f>
        <v>3.36</v>
      </c>
      <c r="I161" s="1"/>
      <c r="J161" s="1">
        <f>H156</f>
        <v>0.75209660613423113</v>
      </c>
      <c r="K161" s="2"/>
    </row>
    <row r="162" spans="2:14" x14ac:dyDescent="0.25">
      <c r="K162" s="2"/>
    </row>
    <row r="163" spans="2:14" x14ac:dyDescent="0.25">
      <c r="K163" s="2"/>
    </row>
    <row r="164" spans="2:14" x14ac:dyDescent="0.25">
      <c r="B164" s="26" t="s">
        <v>45</v>
      </c>
      <c r="C164" s="27"/>
      <c r="D164" s="27"/>
      <c r="E164" s="27"/>
      <c r="F164" s="27"/>
      <c r="G164" s="25" t="s">
        <v>46</v>
      </c>
      <c r="H164" s="1"/>
      <c r="I164" s="1"/>
      <c r="J164" s="1"/>
      <c r="K164" s="2"/>
    </row>
    <row r="165" spans="2:14" x14ac:dyDescent="0.25">
      <c r="B165" s="27"/>
      <c r="C165" s="27">
        <f>D6</f>
        <v>0.31</v>
      </c>
      <c r="D165" s="27"/>
      <c r="E165" s="27">
        <f>P149</f>
        <v>4.5046954341932617</v>
      </c>
      <c r="F165" s="27"/>
      <c r="G165" s="1"/>
      <c r="H165" s="1">
        <f>C6</f>
        <v>1.23</v>
      </c>
      <c r="I165" s="1"/>
      <c r="J165" s="1">
        <f>J154</f>
        <v>0.22598440336679021</v>
      </c>
      <c r="K165" s="2"/>
    </row>
    <row r="166" spans="2:14" x14ac:dyDescent="0.25">
      <c r="B166" s="27" t="s">
        <v>11</v>
      </c>
      <c r="C166" s="27">
        <f>D7</f>
        <v>3.69</v>
      </c>
      <c r="D166" s="27" t="s">
        <v>13</v>
      </c>
      <c r="E166" s="27">
        <f>P150</f>
        <v>-4.0105015673502464</v>
      </c>
      <c r="F166" s="27"/>
      <c r="G166" s="1" t="s">
        <v>11</v>
      </c>
      <c r="H166" s="1">
        <f>C7</f>
        <v>2.62</v>
      </c>
      <c r="I166" s="1" t="s">
        <v>12</v>
      </c>
      <c r="J166" s="1">
        <f>J155</f>
        <v>0.67007894956920955</v>
      </c>
      <c r="K166" s="2"/>
    </row>
    <row r="167" spans="2:14" x14ac:dyDescent="0.25">
      <c r="B167" s="27"/>
      <c r="C167" s="27">
        <f>D8</f>
        <v>3.36</v>
      </c>
      <c r="D167" s="27"/>
      <c r="E167" s="27">
        <f>P151</f>
        <v>4.2236908802013726</v>
      </c>
      <c r="F167" s="27"/>
      <c r="G167" s="1"/>
      <c r="H167" s="1">
        <f>C8</f>
        <v>4.08</v>
      </c>
      <c r="I167" s="1"/>
      <c r="J167" s="1">
        <f>J156</f>
        <v>0.70705392353000951</v>
      </c>
      <c r="K167" s="2"/>
    </row>
    <row r="169" spans="2:14" x14ac:dyDescent="0.25">
      <c r="B169" s="26" t="s">
        <v>47</v>
      </c>
      <c r="C169" s="27"/>
      <c r="D169" s="27"/>
      <c r="E169" s="27"/>
      <c r="F169" s="27"/>
    </row>
    <row r="170" spans="2:14" x14ac:dyDescent="0.25">
      <c r="B170" s="26" t="s">
        <v>93</v>
      </c>
      <c r="C170" s="27"/>
      <c r="D170" s="26" t="s">
        <v>94</v>
      </c>
      <c r="E170" s="27"/>
      <c r="F170" s="27"/>
      <c r="G170" s="32" t="s">
        <v>49</v>
      </c>
      <c r="H170" s="8"/>
      <c r="I170" s="8"/>
      <c r="J170" s="8"/>
      <c r="K170" s="8"/>
      <c r="L170" s="8"/>
      <c r="M170" s="8"/>
      <c r="N170" s="33"/>
    </row>
    <row r="171" spans="2:14" x14ac:dyDescent="0.25">
      <c r="B171" s="26" t="s">
        <v>95</v>
      </c>
      <c r="C171" s="48">
        <f>((H160*E159)-(C160*E159)-(H159*E160)+(C159*E160))/((J159*E160)-(J160*E159))</f>
        <v>0.2633819898943186</v>
      </c>
      <c r="D171" s="26" t="s">
        <v>95</v>
      </c>
      <c r="E171" s="48">
        <f>-((H166*E165)-(C166*E165)-(H165*E166)+(C165*E166))/((J165*E166)-(J166*E165))</f>
        <v>-0.28800425618194769</v>
      </c>
      <c r="F171" s="27"/>
    </row>
    <row r="172" spans="2:14" x14ac:dyDescent="0.25">
      <c r="B172" s="27"/>
      <c r="C172" s="27"/>
      <c r="D172" s="27"/>
      <c r="E172" s="27"/>
      <c r="F172" s="27"/>
    </row>
    <row r="173" spans="2:14" x14ac:dyDescent="0.25">
      <c r="B173" s="26" t="s">
        <v>73</v>
      </c>
      <c r="C173" s="27">
        <f>H159+($C$171*J159)</f>
        <v>0.35111369177579954</v>
      </c>
      <c r="D173" s="26" t="s">
        <v>73</v>
      </c>
      <c r="E173" s="27">
        <f>H165+($E$171*J165)</f>
        <v>1.1649155299996263</v>
      </c>
      <c r="F173" s="27"/>
    </row>
    <row r="174" spans="2:14" x14ac:dyDescent="0.25">
      <c r="B174" s="27"/>
      <c r="C174" s="27">
        <f>H160+($C$171*J160)</f>
        <v>3.85864342144817</v>
      </c>
      <c r="D174" s="27"/>
      <c r="E174" s="27">
        <f>H166+($E$171*J166)</f>
        <v>2.4270144105461391</v>
      </c>
      <c r="F174" s="27"/>
    </row>
    <row r="175" spans="2:14" x14ac:dyDescent="0.25">
      <c r="B175" s="27"/>
      <c r="C175" s="27">
        <f t="shared" ref="C175" si="40">H161+($C$171*J161)</f>
        <v>3.5580887007163975</v>
      </c>
      <c r="D175" s="27"/>
      <c r="E175" s="27">
        <f t="shared" ref="E175" si="41">H167+($E$171*J167)</f>
        <v>3.8763654606732119</v>
      </c>
      <c r="F175" s="27"/>
    </row>
    <row r="176" spans="2:14" x14ac:dyDescent="0.25">
      <c r="B176" s="2"/>
      <c r="C176" s="2"/>
      <c r="D176" s="2"/>
      <c r="E176" s="2"/>
      <c r="F176" s="2"/>
    </row>
    <row r="179" spans="2:5" s="15" customFormat="1" x14ac:dyDescent="0.25">
      <c r="B179" s="15" t="s">
        <v>96</v>
      </c>
    </row>
    <row r="181" spans="2:5" x14ac:dyDescent="0.25">
      <c r="B181" s="36" t="s">
        <v>97</v>
      </c>
      <c r="C181" s="37" t="s">
        <v>53</v>
      </c>
      <c r="D181" s="38">
        <f>C171+E171</f>
        <v>-2.4622266287629091E-2</v>
      </c>
      <c r="E181" s="38"/>
    </row>
    <row r="182" spans="2:5" x14ac:dyDescent="0.25">
      <c r="B182" s="38"/>
      <c r="C182" s="37" t="s">
        <v>54</v>
      </c>
      <c r="D182" s="38">
        <f>-E171-(2*C171)</f>
        <v>-0.23875972360668951</v>
      </c>
      <c r="E182" s="38"/>
    </row>
    <row r="183" spans="2:5" x14ac:dyDescent="0.25">
      <c r="B183" s="38"/>
      <c r="C183" s="37" t="s">
        <v>59</v>
      </c>
      <c r="D183" s="38">
        <f>C171</f>
        <v>0.2633819898943186</v>
      </c>
      <c r="E183" s="38"/>
    </row>
    <row r="184" spans="2:5" x14ac:dyDescent="0.25">
      <c r="B184" s="38"/>
      <c r="C184" s="37" t="s">
        <v>60</v>
      </c>
      <c r="D184" s="38">
        <v>0</v>
      </c>
      <c r="E184" s="38"/>
    </row>
    <row r="186" spans="2:5" x14ac:dyDescent="0.25">
      <c r="B186" s="37" t="s">
        <v>100</v>
      </c>
      <c r="C186" s="37"/>
      <c r="D186" s="38"/>
      <c r="E186" s="38"/>
    </row>
    <row r="187" spans="2:5" x14ac:dyDescent="0.25">
      <c r="B187" s="37" t="s">
        <v>98</v>
      </c>
      <c r="C187" s="39">
        <f>(2*D182)/(3*D181)</f>
        <v>6.4646018856151901</v>
      </c>
      <c r="D187" s="38"/>
      <c r="E187" s="38"/>
    </row>
    <row r="188" spans="2:5" x14ac:dyDescent="0.25">
      <c r="B188" s="37" t="s">
        <v>61</v>
      </c>
      <c r="C188" s="39">
        <f>(-$C$187/2)+(SQRT(((C187/2)^2)-(D183/(3*D181))))</f>
        <v>0.51114715500487451</v>
      </c>
      <c r="D188" s="37" t="s">
        <v>99</v>
      </c>
      <c r="E188" s="39">
        <f>(-$C$187/2)-(SQRT(((C187/2)^2)-(D183/(3*D181))))</f>
        <v>-6.9757490406200642</v>
      </c>
    </row>
    <row r="189" spans="2:5" x14ac:dyDescent="0.25">
      <c r="B189" s="37" t="s">
        <v>101</v>
      </c>
      <c r="C189" s="38">
        <f>($D$181*(C188^3))+($D$182*(C188^2))+($D$183*C188)</f>
        <v>6.89576063394753E-2</v>
      </c>
      <c r="D189" s="37" t="s">
        <v>102</v>
      </c>
      <c r="E189" s="38">
        <f>($D$181*(E188^3))+($D$182*(E188^2))+($D$183*E188)</f>
        <v>-5.0976260223662431</v>
      </c>
    </row>
    <row r="190" spans="2:5" x14ac:dyDescent="0.25">
      <c r="B190" s="37" t="s">
        <v>103</v>
      </c>
      <c r="C190" s="38">
        <f>(3*$D$181*C188^2)+(2*$D$182*C188)+D183</f>
        <v>0</v>
      </c>
      <c r="D190" s="37" t="s">
        <v>104</v>
      </c>
      <c r="E190" s="38">
        <f>(3*$D$181*E188^2)+(2*$D$182*E188)+D183</f>
        <v>0</v>
      </c>
    </row>
    <row r="191" spans="2:5" x14ac:dyDescent="0.25">
      <c r="B191" s="37" t="s">
        <v>105</v>
      </c>
      <c r="C191" s="38">
        <f>(6*$D$181*C188)+(2*$D$182)</f>
        <v>-0.55303305538954328</v>
      </c>
      <c r="D191" s="36" t="s">
        <v>106</v>
      </c>
      <c r="E191" s="38">
        <f>(6*$D$181*E188)+(2*$D$182)</f>
        <v>0.55303305538954328</v>
      </c>
    </row>
    <row r="195" spans="2:16" s="14" customFormat="1" x14ac:dyDescent="0.25">
      <c r="B195" s="15" t="s">
        <v>107</v>
      </c>
    </row>
    <row r="197" spans="2:16" x14ac:dyDescent="0.25">
      <c r="B197" s="37" t="s">
        <v>113</v>
      </c>
      <c r="C197" s="38"/>
      <c r="D197" s="38"/>
      <c r="E197" s="38"/>
      <c r="F197" s="38"/>
      <c r="G197" s="38"/>
      <c r="J197" s="37" t="s">
        <v>114</v>
      </c>
      <c r="K197" s="38"/>
      <c r="L197" s="38"/>
      <c r="M197" s="38"/>
      <c r="N197" s="38"/>
      <c r="O197" s="38"/>
    </row>
    <row r="198" spans="2:16" x14ac:dyDescent="0.25">
      <c r="B198" s="38"/>
      <c r="C198" s="38">
        <f>(H154*(1-$C$188))+(J154*$C$188)</f>
        <v>0.1918207743583934</v>
      </c>
      <c r="D198" s="37" t="s">
        <v>108</v>
      </c>
      <c r="E198" s="38">
        <f>SQRT(C198^2+C199^2+C200^2)</f>
        <v>0.99902505936908781</v>
      </c>
      <c r="F198" s="37" t="s">
        <v>109</v>
      </c>
      <c r="G198" s="38">
        <f>C198/$E$198</f>
        <v>0.19200797073051759</v>
      </c>
      <c r="J198" s="38"/>
      <c r="K198" s="38">
        <f>(H154*(1-$E$188))+(J154*$E$188)</f>
        <v>-0.3314032319461182</v>
      </c>
      <c r="L198" s="37" t="s">
        <v>108</v>
      </c>
      <c r="M198" s="38">
        <f>SQRT(K198^2+K199^2+K200^2)</f>
        <v>1.1974744060983384</v>
      </c>
      <c r="N198" s="37" t="s">
        <v>109</v>
      </c>
      <c r="O198" s="38">
        <f>K198/$E$198</f>
        <v>-0.33172664573139798</v>
      </c>
    </row>
    <row r="199" spans="2:16" x14ac:dyDescent="0.25">
      <c r="B199" s="38"/>
      <c r="C199" s="38">
        <f t="shared" ref="C199:C200" si="42">(H155*(1-$C$188))+(J155*$C$188)</f>
        <v>0.65552130158707955</v>
      </c>
      <c r="D199" s="38"/>
      <c r="E199" s="38"/>
      <c r="F199" s="38"/>
      <c r="G199" s="38">
        <f>C199/$E$198</f>
        <v>0.6561610196255333</v>
      </c>
      <c r="J199" s="38"/>
      <c r="K199" s="38">
        <f t="shared" ref="K199:K200" si="43">(H155*(1-$E$188))+(J155*$E$188)</f>
        <v>0.43256750186900117</v>
      </c>
      <c r="L199" s="38"/>
      <c r="M199" s="38"/>
      <c r="N199" s="38"/>
      <c r="O199" s="38">
        <f>K199/$E$198</f>
        <v>0.43298964106283744</v>
      </c>
    </row>
    <row r="200" spans="2:16" x14ac:dyDescent="0.25">
      <c r="B200" s="38"/>
      <c r="C200" s="38">
        <f t="shared" si="42"/>
        <v>0.72907316706729564</v>
      </c>
      <c r="D200" s="38"/>
      <c r="E200" s="38"/>
      <c r="F200" s="38"/>
      <c r="G200" s="38">
        <f>C200/$E$198</f>
        <v>0.72978466378783902</v>
      </c>
      <c r="J200" s="38"/>
      <c r="K200" s="38">
        <f t="shared" si="43"/>
        <v>1.0663030560975839</v>
      </c>
      <c r="L200" s="38"/>
      <c r="M200" s="38"/>
      <c r="N200" s="38"/>
      <c r="O200" s="38">
        <f>K200/$E$198</f>
        <v>1.067343652791837</v>
      </c>
    </row>
    <row r="203" spans="2:16" x14ac:dyDescent="0.25">
      <c r="B203" s="36" t="s">
        <v>111</v>
      </c>
      <c r="C203" s="38"/>
      <c r="D203" s="38"/>
      <c r="E203" s="36" t="s">
        <v>112</v>
      </c>
      <c r="F203" s="38"/>
      <c r="G203" s="38"/>
      <c r="H203" s="38"/>
      <c r="J203" s="36" t="s">
        <v>111</v>
      </c>
      <c r="K203" s="38"/>
      <c r="L203" s="38"/>
      <c r="M203" s="36" t="s">
        <v>112</v>
      </c>
      <c r="N203" s="38"/>
      <c r="O203" s="38"/>
      <c r="P203" s="38"/>
    </row>
    <row r="204" spans="2:16" x14ac:dyDescent="0.25">
      <c r="B204" s="37" t="s">
        <v>65</v>
      </c>
      <c r="C204" s="38">
        <f>C149+($C$188*E149)+(G198*$C$189)</f>
        <v>0.77298502745519204</v>
      </c>
      <c r="D204" s="38"/>
      <c r="E204" s="37" t="s">
        <v>65</v>
      </c>
      <c r="F204" s="38">
        <f>D6+((1-$C$188)*(C6-D6))+($C$189*G198)</f>
        <v>0.77298502745519193</v>
      </c>
      <c r="G204" s="38"/>
      <c r="H204" s="38" t="b">
        <f>IF(C204=F204,TRUE,FALSE)</f>
        <v>1</v>
      </c>
      <c r="J204" s="37" t="s">
        <v>65</v>
      </c>
      <c r="K204" s="38">
        <f>C149+($E$188*E149)+(O198*$E$189)</f>
        <v>9.3387074989630996</v>
      </c>
      <c r="L204" s="38"/>
      <c r="M204" s="37" t="s">
        <v>65</v>
      </c>
      <c r="N204" s="43">
        <f>D6+((1-$E$188)*(C6-D6))+($E$189*O198)</f>
        <v>9.3387074989630996</v>
      </c>
      <c r="O204" s="38"/>
      <c r="P204" s="38" t="b">
        <f>IF(K204=N204,TRUE,FALSE)</f>
        <v>1</v>
      </c>
    </row>
    <row r="205" spans="2:16" x14ac:dyDescent="0.25">
      <c r="B205" s="37" t="s">
        <v>11</v>
      </c>
      <c r="C205" s="38">
        <f t="shared" ref="C205:C206" si="44">C150+($C$188*E150)+(G199*$C$189)</f>
        <v>3.212174749141862</v>
      </c>
      <c r="D205" s="38"/>
      <c r="E205" s="37" t="s">
        <v>11</v>
      </c>
      <c r="F205" s="38">
        <f>D7+((1-$C$188)*(C7-D7))+($C$189*G199)</f>
        <v>3.212174749141862</v>
      </c>
      <c r="G205" s="38"/>
      <c r="H205" s="38" t="b">
        <f>IF(C205=F205,TRUE,FALSE)</f>
        <v>1</v>
      </c>
      <c r="J205" s="37" t="s">
        <v>11</v>
      </c>
      <c r="K205" s="38">
        <f t="shared" ref="K205:K206" si="45">C150+($E$188*E150)+(O199*$E$189)</f>
        <v>-7.0512707351604078</v>
      </c>
      <c r="L205" s="38"/>
      <c r="M205" s="37" t="s">
        <v>11</v>
      </c>
      <c r="N205" s="43">
        <f>D7+((1-$E$188)*(C7-D7))+($E$189*O199)</f>
        <v>-7.0512707351604078</v>
      </c>
      <c r="O205" s="38"/>
      <c r="P205" s="38" t="b">
        <f>IF(K205=N205,TRUE,FALSE)</f>
        <v>1</v>
      </c>
    </row>
    <row r="206" spans="2:16" x14ac:dyDescent="0.25">
      <c r="B206" s="37" t="s">
        <v>66</v>
      </c>
      <c r="C206" s="38">
        <f t="shared" si="44"/>
        <v>3.7622982519545585</v>
      </c>
      <c r="D206" s="38"/>
      <c r="E206" s="37" t="s">
        <v>66</v>
      </c>
      <c r="F206" s="38">
        <f>D8+((1-$C$188)*(C8-D8))+($C$189*G200)</f>
        <v>3.7622982519545585</v>
      </c>
      <c r="G206" s="38"/>
      <c r="H206" s="38" t="b">
        <f>IF(C206=F206,TRUE,FALSE)</f>
        <v>1</v>
      </c>
      <c r="J206" s="37" t="s">
        <v>66</v>
      </c>
      <c r="K206" s="38">
        <f t="shared" si="45"/>
        <v>3.6616205299673394</v>
      </c>
      <c r="L206" s="38"/>
      <c r="M206" s="37" t="s">
        <v>66</v>
      </c>
      <c r="N206" s="43">
        <f>D8+((1-$E$188)*(C8-D8))+($E$189*O200)</f>
        <v>3.6616205299673394</v>
      </c>
      <c r="O206" s="38"/>
      <c r="P206" s="38" t="b">
        <f>IF(K206=N206,TRUE,FALSE)</f>
        <v>1</v>
      </c>
    </row>
    <row r="207" spans="2:16" x14ac:dyDescent="0.25">
      <c r="C207" s="10"/>
      <c r="D207" s="10"/>
      <c r="E207" s="10"/>
      <c r="K207" s="10"/>
      <c r="L207" s="10"/>
      <c r="M207" s="10"/>
    </row>
    <row r="208" spans="2:16" x14ac:dyDescent="0.25">
      <c r="B208" s="37" t="s">
        <v>110</v>
      </c>
      <c r="C208" s="38"/>
      <c r="J208" s="37" t="s">
        <v>110</v>
      </c>
      <c r="K208" s="38"/>
    </row>
    <row r="209" spans="2:11" x14ac:dyDescent="0.25">
      <c r="B209" s="37" t="s">
        <v>65</v>
      </c>
      <c r="C209" s="47">
        <f>C204</f>
        <v>0.77298502745519204</v>
      </c>
      <c r="E209" s="6">
        <v>0.77264648270546132</v>
      </c>
      <c r="J209" s="37" t="s">
        <v>65</v>
      </c>
      <c r="K209" s="47">
        <f>K204</f>
        <v>9.3387074989630996</v>
      </c>
    </row>
    <row r="210" spans="2:11" x14ac:dyDescent="0.25">
      <c r="B210" s="37" t="s">
        <v>11</v>
      </c>
      <c r="C210" s="47">
        <f>C205</f>
        <v>3.212174749141862</v>
      </c>
      <c r="E210" s="6">
        <v>3.1621294329382188</v>
      </c>
      <c r="J210" s="37" t="s">
        <v>11</v>
      </c>
      <c r="K210" s="47">
        <f>K205</f>
        <v>-7.0512707351604078</v>
      </c>
    </row>
    <row r="211" spans="2:11" x14ac:dyDescent="0.25">
      <c r="B211" s="37" t="s">
        <v>66</v>
      </c>
      <c r="C211" s="47">
        <f>C206</f>
        <v>3.7622982519545585</v>
      </c>
      <c r="E211" s="6">
        <v>3.7287439501980839</v>
      </c>
      <c r="J211" s="37" t="s">
        <v>66</v>
      </c>
      <c r="K211" s="47">
        <f>K206</f>
        <v>3.6616205299673394</v>
      </c>
    </row>
  </sheetData>
  <mergeCells count="61">
    <mergeCell ref="B31:B33"/>
    <mergeCell ref="C31:C33"/>
    <mergeCell ref="E31:E33"/>
    <mergeCell ref="G31:G33"/>
    <mergeCell ref="B27:C27"/>
    <mergeCell ref="B28:B30"/>
    <mergeCell ref="C28:C30"/>
    <mergeCell ref="E28:E30"/>
    <mergeCell ref="G28:G30"/>
    <mergeCell ref="B34:B36"/>
    <mergeCell ref="C34:C36"/>
    <mergeCell ref="E34:E36"/>
    <mergeCell ref="G34:G36"/>
    <mergeCell ref="B37:B39"/>
    <mergeCell ref="C37:C39"/>
    <mergeCell ref="E37:E39"/>
    <mergeCell ref="G37:G39"/>
    <mergeCell ref="B40:B42"/>
    <mergeCell ref="C40:C42"/>
    <mergeCell ref="E40:E42"/>
    <mergeCell ref="G40:G42"/>
    <mergeCell ref="B43:B45"/>
    <mergeCell ref="C43:C45"/>
    <mergeCell ref="E43:E45"/>
    <mergeCell ref="G43:G45"/>
    <mergeCell ref="B46:B48"/>
    <mergeCell ref="C46:C48"/>
    <mergeCell ref="E46:E48"/>
    <mergeCell ref="G46:G48"/>
    <mergeCell ref="B49:B51"/>
    <mergeCell ref="C49:C51"/>
    <mergeCell ref="E49:E51"/>
    <mergeCell ref="G49:G51"/>
    <mergeCell ref="B52:B54"/>
    <mergeCell ref="C52:C54"/>
    <mergeCell ref="E52:E54"/>
    <mergeCell ref="G52:G54"/>
    <mergeCell ref="B55:B57"/>
    <mergeCell ref="C55:C57"/>
    <mergeCell ref="E55:E57"/>
    <mergeCell ref="G55:G57"/>
    <mergeCell ref="B110:B112"/>
    <mergeCell ref="B70:B72"/>
    <mergeCell ref="B73:B75"/>
    <mergeCell ref="B76:B78"/>
    <mergeCell ref="B79:B81"/>
    <mergeCell ref="B82:B84"/>
    <mergeCell ref="B85:B87"/>
    <mergeCell ref="B88:B90"/>
    <mergeCell ref="B91:B93"/>
    <mergeCell ref="B94:B96"/>
    <mergeCell ref="B97:B99"/>
    <mergeCell ref="B107:B109"/>
    <mergeCell ref="B131:B133"/>
    <mergeCell ref="B134:B136"/>
    <mergeCell ref="B113:B115"/>
    <mergeCell ref="B116:B118"/>
    <mergeCell ref="B119:B121"/>
    <mergeCell ref="B122:B124"/>
    <mergeCell ref="B125:B127"/>
    <mergeCell ref="B128:B13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Original</vt:lpstr>
      <vt:lpstr>Beispiel ohne Wichtung</vt:lpstr>
      <vt:lpstr>Beispiel Wichtung Schwerpunkt</vt:lpstr>
      <vt:lpstr>Beispiel Wichtung Umkreis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2017-01-23T09:16:36Z</dcterms:created>
  <dcterms:modified xsi:type="dcterms:W3CDTF">2017-04-05T11:51:23Z</dcterms:modified>
</cp:coreProperties>
</file>