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Annie\Desktop\Poynting\"/>
    </mc:Choice>
  </mc:AlternateContent>
  <bookViews>
    <workbookView xWindow="0" yWindow="0" windowWidth="15360" windowHeight="7455" tabRatio="593"/>
  </bookViews>
  <sheets>
    <sheet name="Final Database" sheetId="5" r:id="rId1"/>
    <sheet name="Attenuation" sheetId="2" r:id="rId2"/>
    <sheet name="Dimensions" sheetId="1" r:id="rId3"/>
    <sheet name="Poynting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5" l="1"/>
  <c r="W4" i="5" s="1"/>
  <c r="X4" i="5" s="1"/>
  <c r="Y4" i="5" s="1"/>
  <c r="U4" i="5"/>
  <c r="R4" i="5"/>
  <c r="S4" i="5" s="1"/>
  <c r="U3" i="5"/>
  <c r="V3" i="5" s="1"/>
  <c r="W3" i="5" s="1"/>
  <c r="X3" i="5" s="1"/>
  <c r="Y3" i="5" s="1"/>
  <c r="S3" i="5"/>
  <c r="R3" i="5"/>
  <c r="AP6" i="5"/>
  <c r="AQ6" i="5" s="1"/>
  <c r="AR6" i="5" s="1"/>
  <c r="AS6" i="5" s="1"/>
  <c r="AT6" i="5" s="1"/>
  <c r="AU6" i="5" s="1"/>
  <c r="AV6" i="5" s="1"/>
  <c r="AW6" i="5" s="1"/>
  <c r="AX6" i="5" s="1"/>
  <c r="AY6" i="5" s="1"/>
  <c r="AZ6" i="5" s="1"/>
  <c r="BA6" i="5" s="1"/>
  <c r="BB6" i="5" s="1"/>
  <c r="BC6" i="5" s="1"/>
  <c r="BD6" i="5" s="1"/>
  <c r="BE6" i="5" s="1"/>
  <c r="BF6" i="5" s="1"/>
  <c r="BG6" i="5" s="1"/>
  <c r="BH6" i="5" s="1"/>
  <c r="BI6" i="5" s="1"/>
  <c r="BJ6" i="5" s="1"/>
  <c r="BK6" i="5" s="1"/>
  <c r="BL6" i="5" s="1"/>
  <c r="BM6" i="5" s="1"/>
  <c r="BN6" i="5" s="1"/>
  <c r="BO6" i="5" s="1"/>
  <c r="BP6" i="5" s="1"/>
  <c r="BQ6" i="5" s="1"/>
  <c r="BR6" i="5" s="1"/>
  <c r="BS6" i="5" s="1"/>
  <c r="BT6" i="5" s="1"/>
  <c r="BU6" i="5" s="1"/>
  <c r="AK6" i="5"/>
  <c r="AL6" i="5" s="1"/>
  <c r="AM6" i="5" s="1"/>
  <c r="AN6" i="5" s="1"/>
  <c r="AI6" i="5"/>
  <c r="AF6" i="5"/>
  <c r="AG6" i="5" s="1"/>
  <c r="Z6" i="5"/>
  <c r="AA6" i="5" s="1"/>
  <c r="AB6" i="5" s="1"/>
  <c r="AC6" i="5" s="1"/>
  <c r="AD6" i="5" s="1"/>
  <c r="AA10" i="5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0" i="5" s="1"/>
  <c r="AM10" i="5" s="1"/>
  <c r="AN10" i="5" s="1"/>
  <c r="AO10" i="5" s="1"/>
  <c r="AP10" i="5" s="1"/>
  <c r="AQ10" i="5" s="1"/>
  <c r="AR10" i="5" s="1"/>
  <c r="AS10" i="5" s="1"/>
  <c r="AT10" i="5" s="1"/>
  <c r="AU10" i="5" s="1"/>
  <c r="AV10" i="5" s="1"/>
  <c r="AW10" i="5" s="1"/>
  <c r="AX10" i="5" s="1"/>
  <c r="AY10" i="5" s="1"/>
  <c r="AZ10" i="5" s="1"/>
  <c r="BA10" i="5" s="1"/>
  <c r="BB10" i="5" s="1"/>
  <c r="BC10" i="5" s="1"/>
  <c r="BD10" i="5" s="1"/>
  <c r="BE10" i="5" s="1"/>
  <c r="BF10" i="5" s="1"/>
  <c r="BG10" i="5" s="1"/>
  <c r="BH10" i="5" s="1"/>
  <c r="BI10" i="5" s="1"/>
  <c r="BJ10" i="5" s="1"/>
  <c r="BK10" i="5" s="1"/>
  <c r="BL10" i="5" s="1"/>
  <c r="BM10" i="5" s="1"/>
  <c r="R10" i="5"/>
  <c r="S10" i="5" s="1"/>
  <c r="T10" i="5" s="1"/>
  <c r="U10" i="5" s="1"/>
  <c r="V10" i="5" s="1"/>
  <c r="W10" i="5" s="1"/>
  <c r="X10" i="5" s="1"/>
  <c r="Y10" i="5" s="1"/>
  <c r="U9" i="5"/>
  <c r="V9" i="5" s="1"/>
  <c r="W9" i="5" s="1"/>
  <c r="X9" i="5" s="1"/>
  <c r="Y9" i="5" s="1"/>
  <c r="R9" i="5"/>
  <c r="S9" i="5" s="1"/>
  <c r="S11" i="5"/>
  <c r="R11" i="5"/>
  <c r="U11" i="5"/>
  <c r="V11" i="5" s="1"/>
  <c r="W11" i="5" s="1"/>
  <c r="Z5" i="5"/>
  <c r="AA5" i="5" s="1"/>
  <c r="AB5" i="5" s="1"/>
  <c r="AC5" i="5" s="1"/>
  <c r="AD5" i="5" s="1"/>
  <c r="AF5" i="5"/>
  <c r="AG5" i="5" s="1"/>
  <c r="AI5" i="5"/>
  <c r="AK5" i="5"/>
  <c r="AL5" i="5" s="1"/>
  <c r="AM5" i="5" s="1"/>
  <c r="AN5" i="5" s="1"/>
  <c r="AP5" i="5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BI5" i="5" s="1"/>
  <c r="BJ5" i="5" s="1"/>
  <c r="BK5" i="5" s="1"/>
  <c r="BL5" i="5" s="1"/>
  <c r="BM5" i="5" s="1"/>
  <c r="BN5" i="5" s="1"/>
  <c r="BO5" i="5" s="1"/>
  <c r="BP5" i="5" s="1"/>
  <c r="BQ5" i="5" s="1"/>
  <c r="BR5" i="5" s="1"/>
  <c r="BS5" i="5" s="1"/>
  <c r="BT5" i="5" s="1"/>
  <c r="BU5" i="5" s="1"/>
  <c r="Z7" i="5"/>
  <c r="AA7" i="5" s="1"/>
  <c r="AB7" i="5" s="1"/>
  <c r="AC7" i="5" s="1"/>
  <c r="AD7" i="5" s="1"/>
  <c r="AF7" i="5"/>
  <c r="AG7" i="5" s="1"/>
  <c r="AI7" i="5"/>
  <c r="AK7" i="5"/>
  <c r="AL7" i="5" s="1"/>
  <c r="AM7" i="5" s="1"/>
  <c r="AN7" i="5" s="1"/>
  <c r="AP7" i="5"/>
  <c r="AQ7" i="5" s="1"/>
  <c r="AR7" i="5" s="1"/>
  <c r="AS7" i="5" s="1"/>
  <c r="AT7" i="5" s="1"/>
  <c r="AU7" i="5" s="1"/>
  <c r="AV7" i="5" s="1"/>
  <c r="AW7" i="5" s="1"/>
  <c r="AX7" i="5" s="1"/>
  <c r="AY7" i="5" s="1"/>
  <c r="AZ7" i="5" s="1"/>
  <c r="BA7" i="5" s="1"/>
  <c r="BB7" i="5" s="1"/>
  <c r="BC7" i="5" s="1"/>
  <c r="BD7" i="5" s="1"/>
  <c r="BE7" i="5" s="1"/>
  <c r="BF7" i="5" s="1"/>
  <c r="BG7" i="5" s="1"/>
  <c r="BH7" i="5" s="1"/>
  <c r="BI7" i="5" s="1"/>
  <c r="BJ7" i="5" s="1"/>
  <c r="BK7" i="5" s="1"/>
  <c r="BL7" i="5" s="1"/>
  <c r="BM7" i="5" s="1"/>
  <c r="BN7" i="5" s="1"/>
  <c r="BO7" i="5" s="1"/>
  <c r="BP7" i="5" s="1"/>
  <c r="BQ7" i="5" s="1"/>
  <c r="BR7" i="5" s="1"/>
  <c r="BS7" i="5" s="1"/>
  <c r="BT7" i="5" s="1"/>
  <c r="BU7" i="5" s="1"/>
  <c r="BW7" i="5"/>
  <c r="BX7" i="5" s="1"/>
  <c r="BY7" i="5" s="1"/>
  <c r="BZ7" i="5" s="1"/>
  <c r="CA7" i="5" s="1"/>
  <c r="CB7" i="5" s="1"/>
  <c r="CC7" i="5" s="1"/>
  <c r="CD7" i="5" s="1"/>
  <c r="CE7" i="5" s="1"/>
  <c r="CF7" i="5" s="1"/>
  <c r="CG7" i="5" s="1"/>
  <c r="CH7" i="5" s="1"/>
  <c r="CI7" i="5" s="1"/>
  <c r="CJ7" i="5" s="1"/>
  <c r="CK7" i="5" s="1"/>
  <c r="CL7" i="5" s="1"/>
  <c r="CM7" i="5" s="1"/>
  <c r="CN7" i="5" s="1"/>
  <c r="CO7" i="5" s="1"/>
  <c r="CP7" i="5" s="1"/>
  <c r="CQ7" i="5" s="1"/>
  <c r="BW8" i="5"/>
  <c r="BX8" i="5" s="1"/>
  <c r="BY8" i="5" s="1"/>
  <c r="BZ8" i="5" s="1"/>
  <c r="CA8" i="5" s="1"/>
  <c r="CB8" i="5" s="1"/>
  <c r="CC8" i="5" s="1"/>
  <c r="CD8" i="5" s="1"/>
  <c r="CE8" i="5" s="1"/>
  <c r="CF8" i="5" s="1"/>
  <c r="CG8" i="5" s="1"/>
  <c r="CH8" i="5" s="1"/>
  <c r="CI8" i="5" s="1"/>
  <c r="CJ8" i="5" s="1"/>
  <c r="CK8" i="5" s="1"/>
  <c r="CL8" i="5" s="1"/>
  <c r="CM8" i="5" s="1"/>
  <c r="CN8" i="5" s="1"/>
  <c r="CO8" i="5" s="1"/>
  <c r="CP8" i="5" s="1"/>
  <c r="CQ8" i="5" s="1"/>
  <c r="AP8" i="5"/>
  <c r="AQ8" i="5" s="1"/>
  <c r="AR8" i="5" s="1"/>
  <c r="AS8" i="5" s="1"/>
  <c r="AT8" i="5" s="1"/>
  <c r="AU8" i="5" s="1"/>
  <c r="AV8" i="5" s="1"/>
  <c r="AW8" i="5" s="1"/>
  <c r="AX8" i="5" s="1"/>
  <c r="AY8" i="5" s="1"/>
  <c r="AZ8" i="5" s="1"/>
  <c r="BA8" i="5" s="1"/>
  <c r="BB8" i="5" s="1"/>
  <c r="BC8" i="5" s="1"/>
  <c r="BD8" i="5" s="1"/>
  <c r="BE8" i="5" s="1"/>
  <c r="BF8" i="5" s="1"/>
  <c r="BG8" i="5" s="1"/>
  <c r="BH8" i="5" s="1"/>
  <c r="BI8" i="5" s="1"/>
  <c r="BJ8" i="5" s="1"/>
  <c r="BK8" i="5" s="1"/>
  <c r="BL8" i="5" s="1"/>
  <c r="BM8" i="5" s="1"/>
  <c r="BN8" i="5" s="1"/>
  <c r="BO8" i="5" s="1"/>
  <c r="BP8" i="5" s="1"/>
  <c r="BQ8" i="5" s="1"/>
  <c r="BR8" i="5" s="1"/>
  <c r="BS8" i="5" s="1"/>
  <c r="BT8" i="5" s="1"/>
  <c r="BU8" i="5" s="1"/>
  <c r="AK8" i="5"/>
  <c r="AL8" i="5" s="1"/>
  <c r="AM8" i="5" s="1"/>
  <c r="AN8" i="5" s="1"/>
  <c r="AI8" i="5"/>
  <c r="AF8" i="5"/>
  <c r="AG8" i="5" s="1"/>
  <c r="Z8" i="5"/>
  <c r="AA8" i="5" s="1"/>
  <c r="AB8" i="5" s="1"/>
  <c r="AC8" i="5" s="1"/>
  <c r="AD8" i="5" s="1"/>
  <c r="D24" i="2"/>
  <c r="E24" i="2"/>
  <c r="F24" i="2"/>
  <c r="G24" i="2"/>
  <c r="H24" i="2"/>
  <c r="I24" i="2"/>
  <c r="J24" i="2"/>
  <c r="K24" i="2"/>
  <c r="L24" i="2"/>
  <c r="C24" i="2"/>
  <c r="BU13" i="5"/>
  <c r="BV13" i="5" s="1"/>
  <c r="BW13" i="5" s="1"/>
  <c r="BO13" i="5"/>
  <c r="BP13" i="5" s="1"/>
  <c r="BQ13" i="5" s="1"/>
  <c r="BJ13" i="5"/>
  <c r="BK13" i="5" s="1"/>
  <c r="BL13" i="5" s="1"/>
  <c r="BM13" i="5" s="1"/>
  <c r="BE13" i="5"/>
  <c r="BF13" i="5" s="1"/>
  <c r="BG13" i="5" s="1"/>
  <c r="AZ13" i="5"/>
  <c r="BA13" i="5" s="1"/>
  <c r="BB13" i="5" s="1"/>
  <c r="AU13" i="5"/>
  <c r="AV13" i="5" s="1"/>
  <c r="AW13" i="5" s="1"/>
  <c r="AX13" i="5" s="1"/>
  <c r="AS13" i="5"/>
  <c r="AM13" i="5"/>
  <c r="AN13" i="5" s="1"/>
  <c r="AO13" i="5" s="1"/>
  <c r="AP13" i="5" s="1"/>
  <c r="AQ13" i="5" s="1"/>
  <c r="AK13" i="5"/>
  <c r="AI13" i="5"/>
  <c r="AE13" i="5"/>
  <c r="AF13" i="5" s="1"/>
  <c r="AG13" i="5" s="1"/>
  <c r="AB13" i="5"/>
  <c r="Z13" i="5"/>
  <c r="BV12" i="5"/>
  <c r="BW12" i="5" s="1"/>
  <c r="BS12" i="5"/>
  <c r="BT12" i="5" s="1"/>
  <c r="BP12" i="5"/>
  <c r="BQ12" i="5" s="1"/>
  <c r="BM12" i="5"/>
  <c r="BN12" i="5" s="1"/>
  <c r="BJ12" i="5"/>
  <c r="BK12" i="5" s="1"/>
  <c r="BG12" i="5"/>
  <c r="BH12" i="5" s="1"/>
  <c r="BD12" i="5"/>
  <c r="BE12" i="5" s="1"/>
  <c r="BA12" i="5"/>
  <c r="BB12" i="5" s="1"/>
  <c r="AX12" i="5"/>
  <c r="AY12" i="5" s="1"/>
  <c r="AU12" i="5"/>
  <c r="AV12" i="5" s="1"/>
  <c r="AR12" i="5"/>
  <c r="AS12" i="5" s="1"/>
  <c r="AO12" i="5"/>
  <c r="AP12" i="5" s="1"/>
  <c r="AL12" i="5"/>
  <c r="AM12" i="5" s="1"/>
  <c r="AI12" i="5"/>
  <c r="AJ12" i="5" s="1"/>
  <c r="AF12" i="5"/>
  <c r="AG12" i="5" s="1"/>
  <c r="AC12" i="5"/>
  <c r="AD12" i="5" s="1"/>
  <c r="W12" i="5"/>
  <c r="X12" i="5" s="1"/>
  <c r="Z12" i="5"/>
  <c r="AA12" i="5" s="1"/>
  <c r="AC2" i="5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E19" i="2"/>
  <c r="F19" i="2" s="1"/>
  <c r="H19" i="2"/>
  <c r="I19" i="2"/>
  <c r="J19" i="2" s="1"/>
  <c r="E26" i="2"/>
  <c r="F26" i="2" s="1"/>
  <c r="H26" i="2"/>
  <c r="I26" i="2" s="1"/>
  <c r="J26" i="2" s="1"/>
  <c r="E27" i="2"/>
  <c r="F27" i="2"/>
  <c r="G27" i="2" s="1"/>
  <c r="H27" i="2" s="1"/>
  <c r="I27" i="2" s="1"/>
  <c r="J27" i="2" s="1"/>
  <c r="E28" i="2"/>
  <c r="F28" i="2"/>
  <c r="H28" i="2"/>
  <c r="I28" i="2"/>
  <c r="J28" i="2" s="1"/>
  <c r="AC13" i="5" l="1"/>
  <c r="AD13" i="5" s="1"/>
  <c r="AA13" i="5"/>
  <c r="BR13" i="5"/>
  <c r="BH13" i="5"/>
  <c r="BC13" i="5"/>
  <c r="D52" i="2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AI52" i="2" s="1"/>
  <c r="AJ52" i="2" s="1"/>
  <c r="AK52" i="2" s="1"/>
  <c r="AL52" i="2" s="1"/>
  <c r="AM52" i="2" s="1"/>
  <c r="AN52" i="2" s="1"/>
  <c r="AO52" i="2" s="1"/>
  <c r="AP52" i="2" s="1"/>
  <c r="AQ52" i="2" s="1"/>
  <c r="AR52" i="2" s="1"/>
  <c r="AS53" i="2"/>
  <c r="G51" i="2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AE51" i="2" s="1"/>
  <c r="AF51" i="2" s="1"/>
  <c r="AG51" i="2" s="1"/>
  <c r="AH51" i="2" s="1"/>
  <c r="AI51" i="2" s="1"/>
  <c r="AJ51" i="2" s="1"/>
  <c r="AK51" i="2" s="1"/>
  <c r="AL51" i="2" s="1"/>
  <c r="AM51" i="2" s="1"/>
  <c r="AN51" i="2" s="1"/>
  <c r="AO51" i="2" s="1"/>
  <c r="AP51" i="2" s="1"/>
  <c r="AQ51" i="2" s="1"/>
  <c r="AR51" i="2" s="1"/>
  <c r="AS51" i="2" s="1"/>
  <c r="M29" i="2"/>
  <c r="N29" i="2" s="1"/>
  <c r="P29" i="2"/>
  <c r="Q29" i="2" s="1"/>
  <c r="S29" i="2"/>
  <c r="T29" i="2" s="1"/>
  <c r="V29" i="2"/>
  <c r="W29" i="2" s="1"/>
  <c r="Y29" i="2"/>
  <c r="Z29" i="2" s="1"/>
  <c r="AB29" i="2"/>
  <c r="AC29" i="2" s="1"/>
  <c r="X25" i="2"/>
  <c r="Y25" i="2" s="1"/>
  <c r="Z25" i="2" s="1"/>
  <c r="AA25" i="2" s="1"/>
  <c r="V25" i="2"/>
  <c r="S25" i="2"/>
  <c r="T25" i="2" s="1"/>
  <c r="M25" i="2"/>
  <c r="N25" i="2" s="1"/>
  <c r="O25" i="2" s="1"/>
  <c r="P25" i="2" s="1"/>
  <c r="Q25" i="2" s="1"/>
  <c r="X23" i="2"/>
  <c r="Y23" i="2" s="1"/>
  <c r="Z23" i="2" s="1"/>
  <c r="AA23" i="2" s="1"/>
  <c r="V23" i="2"/>
  <c r="S23" i="2"/>
  <c r="T23" i="2" s="1"/>
  <c r="M23" i="2"/>
  <c r="N23" i="2" s="1"/>
  <c r="O23" i="2" s="1"/>
  <c r="P23" i="2" s="1"/>
  <c r="Q23" i="2" s="1"/>
  <c r="D46" i="2"/>
  <c r="C47" i="2" s="1"/>
  <c r="F43" i="2"/>
  <c r="G43" i="2" s="1"/>
  <c r="H43" i="2" s="1"/>
  <c r="I43" i="2" s="1"/>
  <c r="J43" i="2" s="1"/>
  <c r="K43" i="2" s="1"/>
  <c r="D43" i="2"/>
  <c r="K27" i="2"/>
  <c r="L27" i="2" s="1"/>
  <c r="D34" i="2"/>
  <c r="E34" i="2" s="1"/>
  <c r="W22" i="2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D40" i="2"/>
  <c r="E40" i="2" s="1"/>
  <c r="F40" i="2" s="1"/>
  <c r="G40" i="2" s="1"/>
  <c r="H40" i="2" s="1"/>
  <c r="I40" i="2" s="1"/>
  <c r="J40" i="2" s="1"/>
  <c r="K40" i="2" s="1"/>
  <c r="L40" i="2" s="1"/>
  <c r="L38" i="2"/>
  <c r="G37" i="2"/>
  <c r="F38" i="2" s="1"/>
  <c r="E37" i="2"/>
  <c r="D38" i="2" s="1"/>
  <c r="C53" i="2" l="1"/>
  <c r="D53" i="2"/>
  <c r="E53" i="2"/>
  <c r="C35" i="2"/>
  <c r="K26" i="2"/>
  <c r="L26" i="2" s="1"/>
  <c r="E46" i="2"/>
  <c r="D35" i="2"/>
  <c r="F34" i="2"/>
  <c r="E38" i="2"/>
  <c r="H37" i="2"/>
  <c r="F53" i="2" l="1"/>
  <c r="D47" i="2"/>
  <c r="F46" i="2"/>
  <c r="E35" i="2"/>
  <c r="G34" i="2"/>
  <c r="I37" i="2"/>
  <c r="G38" i="2"/>
  <c r="G53" i="2" l="1"/>
  <c r="G46" i="2"/>
  <c r="E47" i="2"/>
  <c r="H34" i="2"/>
  <c r="F35" i="2"/>
  <c r="J37" i="2"/>
  <c r="H38" i="2"/>
  <c r="H53" i="2" l="1"/>
  <c r="G47" i="2"/>
  <c r="F47" i="2"/>
  <c r="I34" i="2"/>
  <c r="G35" i="2"/>
  <c r="K37" i="2"/>
  <c r="I38" i="2"/>
  <c r="I53" i="2" l="1"/>
  <c r="J34" i="2"/>
  <c r="H35" i="2"/>
  <c r="J38" i="2"/>
  <c r="K38" i="2"/>
  <c r="J53" i="2" l="1"/>
  <c r="K34" i="2"/>
  <c r="I35" i="2"/>
  <c r="K53" i="2" l="1"/>
  <c r="K35" i="2"/>
  <c r="J35" i="2"/>
  <c r="L53" i="2" l="1"/>
  <c r="M18" i="2"/>
  <c r="L18" i="2"/>
  <c r="K18" i="2"/>
  <c r="J18" i="2"/>
  <c r="I18" i="2"/>
  <c r="H18" i="2"/>
  <c r="G18" i="2"/>
  <c r="F18" i="2"/>
  <c r="E18" i="2"/>
  <c r="D18" i="2"/>
  <c r="C18" i="2"/>
  <c r="M53" i="2" l="1"/>
  <c r="I13" i="2"/>
  <c r="H13" i="2"/>
  <c r="Y10" i="2"/>
  <c r="P10" i="2"/>
  <c r="H10" i="2"/>
  <c r="D10" i="2"/>
  <c r="P9" i="2"/>
  <c r="L9" i="2"/>
  <c r="H9" i="2"/>
  <c r="F9" i="2"/>
  <c r="N53" i="2" l="1"/>
  <c r="N11" i="2"/>
  <c r="L11" i="2"/>
  <c r="K11" i="2"/>
  <c r="H11" i="2"/>
  <c r="F11" i="2"/>
  <c r="C11" i="2"/>
  <c r="AC8" i="2"/>
  <c r="AB8" i="2"/>
  <c r="W8" i="2"/>
  <c r="T8" i="2"/>
  <c r="S8" i="2"/>
  <c r="R8" i="2"/>
  <c r="O8" i="2"/>
  <c r="M8" i="2"/>
  <c r="J8" i="2"/>
  <c r="I8" i="2"/>
  <c r="F8" i="2"/>
  <c r="E8" i="2"/>
  <c r="I7" i="2"/>
  <c r="J7" i="2"/>
  <c r="M7" i="2"/>
  <c r="O7" i="2"/>
  <c r="R7" i="2"/>
  <c r="S7" i="2"/>
  <c r="T7" i="2"/>
  <c r="W7" i="2"/>
  <c r="AB7" i="2"/>
  <c r="AC7" i="2"/>
  <c r="F7" i="2"/>
  <c r="E7" i="2"/>
  <c r="AB5" i="2"/>
  <c r="W5" i="2"/>
  <c r="AB21" i="2" s="1"/>
  <c r="T5" i="2"/>
  <c r="W21" i="2" s="1"/>
  <c r="S5" i="2"/>
  <c r="R5" i="2"/>
  <c r="O5" i="2"/>
  <c r="M5" i="2"/>
  <c r="J5" i="2"/>
  <c r="I5" i="2"/>
  <c r="F5" i="2"/>
  <c r="E5" i="2"/>
  <c r="P3" i="2"/>
  <c r="L3" i="2"/>
  <c r="H3" i="2"/>
  <c r="K19" i="2"/>
  <c r="L19" i="2" s="1"/>
  <c r="I46" i="2"/>
  <c r="O53" i="2" l="1"/>
  <c r="J46" i="2"/>
  <c r="K46" i="2" s="1"/>
  <c r="L46" i="2" s="1"/>
  <c r="M46" i="2" s="1"/>
  <c r="N46" i="2" s="1"/>
  <c r="O46" i="2" s="1"/>
  <c r="P46" i="2" s="1"/>
  <c r="P47" i="2" s="1"/>
  <c r="K47" i="2"/>
  <c r="J47" i="2"/>
  <c r="I47" i="2"/>
  <c r="H47" i="2"/>
  <c r="P53" i="2" l="1"/>
  <c r="O47" i="2"/>
  <c r="Q47" i="2"/>
  <c r="L47" i="2"/>
  <c r="N47" i="2"/>
  <c r="M47" i="2"/>
  <c r="Q53" i="2" l="1"/>
  <c r="R53" i="2" l="1"/>
  <c r="S53" i="2" l="1"/>
  <c r="T53" i="2" l="1"/>
  <c r="U53" i="2" l="1"/>
  <c r="V53" i="2" l="1"/>
  <c r="W53" i="2" l="1"/>
  <c r="X53" i="2" l="1"/>
  <c r="Y53" i="2" l="1"/>
  <c r="Z53" i="2" l="1"/>
  <c r="AA53" i="2" l="1"/>
  <c r="AB53" i="2" l="1"/>
  <c r="AC53" i="2" l="1"/>
  <c r="AD53" i="2" l="1"/>
  <c r="AE53" i="2" l="1"/>
  <c r="AF53" i="2" l="1"/>
  <c r="AG53" i="2" l="1"/>
  <c r="AH53" i="2" l="1"/>
  <c r="AI53" i="2" l="1"/>
  <c r="AJ53" i="2" l="1"/>
  <c r="AK53" i="2" l="1"/>
  <c r="AL53" i="2" l="1"/>
  <c r="AM53" i="2" l="1"/>
  <c r="AN53" i="2" l="1"/>
  <c r="AO53" i="2" l="1"/>
  <c r="AP53" i="2" l="1"/>
  <c r="AR53" i="2" l="1"/>
  <c r="AQ53" i="2"/>
</calcChain>
</file>

<file path=xl/sharedStrings.xml><?xml version="1.0" encoding="utf-8"?>
<sst xmlns="http://schemas.openxmlformats.org/spreadsheetml/2006/main" count="240" uniqueCount="173">
  <si>
    <t>Coax Cable</t>
  </si>
  <si>
    <t>RG 174</t>
  </si>
  <si>
    <t>RG 147 U</t>
  </si>
  <si>
    <t xml:space="preserve">LMR 195-FR </t>
  </si>
  <si>
    <t>HDF 195</t>
  </si>
  <si>
    <t>LMR 200</t>
  </si>
  <si>
    <t>LMR 400</t>
  </si>
  <si>
    <t>RG 316</t>
  </si>
  <si>
    <t>RG 58</t>
  </si>
  <si>
    <t>H 155A00</t>
  </si>
  <si>
    <t>Enviroflex 316_D</t>
  </si>
  <si>
    <t>Dacar 302</t>
  </si>
  <si>
    <t>Frequency (MHz)</t>
  </si>
  <si>
    <t>Attenuation (dB/m)</t>
  </si>
  <si>
    <t>Jacket</t>
  </si>
  <si>
    <t>Diameter (mm)</t>
  </si>
  <si>
    <t>013-A0001</t>
  </si>
  <si>
    <t>Cable RG58 #K#</t>
  </si>
  <si>
    <t>013-A0003</t>
  </si>
  <si>
    <t>Cable, Rg 6</t>
  </si>
  <si>
    <t>013-A0006</t>
  </si>
  <si>
    <t>Cable Rigid Bare Copper Jacket</t>
  </si>
  <si>
    <t>013-A0007</t>
  </si>
  <si>
    <t>Cable, LMR 195</t>
  </si>
  <si>
    <t>013-A0008</t>
  </si>
  <si>
    <t>Cable, 4 Pair CAT5E</t>
  </si>
  <si>
    <t>013-A0010</t>
  </si>
  <si>
    <t>Cable, LMR 400</t>
  </si>
  <si>
    <t>013-A0011</t>
  </si>
  <si>
    <t>Cable RG316 (2.5mmPTFE)**</t>
  </si>
  <si>
    <t>013-A0014</t>
  </si>
  <si>
    <t>Cable RG174</t>
  </si>
  <si>
    <t>013-A0015</t>
  </si>
  <si>
    <t>Cable Earthing Wire 6 x 1mm</t>
  </si>
  <si>
    <t>013-A0015-01</t>
  </si>
  <si>
    <t>Cab.,Earth.Wire,one single</t>
  </si>
  <si>
    <t>013-A0027</t>
  </si>
  <si>
    <t>Cable HDF 195 ~</t>
  </si>
  <si>
    <t>013-A0028</t>
  </si>
  <si>
    <t>Cable, HDF 195, white ~</t>
  </si>
  <si>
    <t>013-A0031</t>
  </si>
  <si>
    <t>Cab,Rigid Bare Copper Jacket</t>
  </si>
  <si>
    <t>013-A0032</t>
  </si>
  <si>
    <t>Cable RG223 Cable</t>
  </si>
  <si>
    <t>013-A0036</t>
  </si>
  <si>
    <t>Cable, flex.,CAT5,FTPshield,</t>
  </si>
  <si>
    <t>013-A0038</t>
  </si>
  <si>
    <t>Cab. PAN-Wire 2.5mm^2 Flex blk</t>
  </si>
  <si>
    <t>013-A0044</t>
  </si>
  <si>
    <t>Cable, RG 59</t>
  </si>
  <si>
    <t>013-A0045</t>
  </si>
  <si>
    <t>Cable, RG178U</t>
  </si>
  <si>
    <t>013-A0059</t>
  </si>
  <si>
    <t>RG6u Cable</t>
  </si>
  <si>
    <t>013-A0060</t>
  </si>
  <si>
    <t>PAN Wire 0.75mm sq. Black</t>
  </si>
  <si>
    <t>013-A0061</t>
  </si>
  <si>
    <t>PAN Wire 0.75mm sq. Red</t>
  </si>
  <si>
    <t>013-A0062</t>
  </si>
  <si>
    <t>Cabtyre 1.5mm sq. White</t>
  </si>
  <si>
    <t>013-A0160</t>
  </si>
  <si>
    <t>Cable, Enviroflex 400 #</t>
  </si>
  <si>
    <t>013-A0160-01</t>
  </si>
  <si>
    <t>Pre cut Enviroflex 400 1m</t>
  </si>
  <si>
    <t>013-A0173</t>
  </si>
  <si>
    <t>Cable,RG58 OMNICONNECT</t>
  </si>
  <si>
    <t>013-A0176</t>
  </si>
  <si>
    <t>Cable,Rip Cord Red/Black 0.5mm</t>
  </si>
  <si>
    <t>013-A0196</t>
  </si>
  <si>
    <t>Panel wire 2.5mmx3 core Black</t>
  </si>
  <si>
    <t>013-A0227</t>
  </si>
  <si>
    <t>UT141 FORM cable</t>
  </si>
  <si>
    <t>013-A1059</t>
  </si>
  <si>
    <t>CABLE RG58 Cab-Tech RG58CU</t>
  </si>
  <si>
    <t>013-A1060</t>
  </si>
  <si>
    <t>Cable, Self Fluxing Copper</t>
  </si>
  <si>
    <t>013-A1061</t>
  </si>
  <si>
    <t>4mm GP Wire Green/Yellow</t>
  </si>
  <si>
    <t>013-A1061-01</t>
  </si>
  <si>
    <t>5m GP WIRE Green/Yellow</t>
  </si>
  <si>
    <t>013-A1062</t>
  </si>
  <si>
    <t>RIPCORD 0.5mmx2C Black/White</t>
  </si>
  <si>
    <t>013-A1063</t>
  </si>
  <si>
    <t>UTP Cat6 pr 100r Solid Cable</t>
  </si>
  <si>
    <t>013-A1064</t>
  </si>
  <si>
    <t>SUCOFEED 1/2 HFCAB Heliax</t>
  </si>
  <si>
    <t>013-A1065</t>
  </si>
  <si>
    <t>6mm Flex panel wire red 100m</t>
  </si>
  <si>
    <t>013-A1066</t>
  </si>
  <si>
    <t>6mm Flex panel wire black</t>
  </si>
  <si>
    <t>013-A1067</t>
  </si>
  <si>
    <t>6mm Flex panel wire GRN/YEL</t>
  </si>
  <si>
    <t>013-A1068</t>
  </si>
  <si>
    <t>25mm Flex panel wire red</t>
  </si>
  <si>
    <t>013-A1069</t>
  </si>
  <si>
    <t>25mm Flex panel wire blue</t>
  </si>
  <si>
    <t>013-A1070</t>
  </si>
  <si>
    <t>1.5mmx2C Rip Cord red/black</t>
  </si>
  <si>
    <t>013-A1071</t>
  </si>
  <si>
    <t>2.5mmx2C Rip Cord red/black</t>
  </si>
  <si>
    <t>013-A1072</t>
  </si>
  <si>
    <t>3Core x 2.5mm cabtyre black</t>
  </si>
  <si>
    <t>013-A1073</t>
  </si>
  <si>
    <t>3Core x 4mm cabtyre black</t>
  </si>
  <si>
    <t>013-A1074</t>
  </si>
  <si>
    <t>COIL GP WIRE 2.5MM RED</t>
  </si>
  <si>
    <t>013-A1075</t>
  </si>
  <si>
    <t>COIL GP WIRE 2.5MM BLACK</t>
  </si>
  <si>
    <t>013-A1076</t>
  </si>
  <si>
    <t>COIL GP WIRE 2.5MM GRN/YEL</t>
  </si>
  <si>
    <t>013-A1077</t>
  </si>
  <si>
    <t>XPOL2-V2 UT-85 31.86mm cable</t>
  </si>
  <si>
    <t>013-A1078</t>
  </si>
  <si>
    <t>Panel wire 0.5mm black</t>
  </si>
  <si>
    <t>013-A1079</t>
  </si>
  <si>
    <t>Panel wire 0.5mm red</t>
  </si>
  <si>
    <t>013-A1080</t>
  </si>
  <si>
    <t>Panel wire 1.5mm x 3core black</t>
  </si>
  <si>
    <t>013-A1081</t>
  </si>
  <si>
    <t>Panel wire 16mm green/yellow</t>
  </si>
  <si>
    <t>013-A1082</t>
  </si>
  <si>
    <t>1.5mm Rip Cord reb/black</t>
  </si>
  <si>
    <t>013-A1083</t>
  </si>
  <si>
    <t>Panel wire 2.5MM Red</t>
  </si>
  <si>
    <t>013-A1084</t>
  </si>
  <si>
    <t>Panel wire 2.5MM Black</t>
  </si>
  <si>
    <t>013-A1085</t>
  </si>
  <si>
    <t>Panel wire 2.5MM grn/yel</t>
  </si>
  <si>
    <t>013-A1086</t>
  </si>
  <si>
    <t>Panel wire 2.5mm green/yellow</t>
  </si>
  <si>
    <t>013-A1088</t>
  </si>
  <si>
    <t>16mm welding cable red</t>
  </si>
  <si>
    <t>013-A1089</t>
  </si>
  <si>
    <t>16mm welding cable black</t>
  </si>
  <si>
    <t>013-A1090</t>
  </si>
  <si>
    <t>Grey flat ribbon cable</t>
  </si>
  <si>
    <t>013-A1091</t>
  </si>
  <si>
    <t>Armoured cable 4mm 3 core</t>
  </si>
  <si>
    <t>013-A1092</t>
  </si>
  <si>
    <t>CBE Cable</t>
  </si>
  <si>
    <t>013-A2003</t>
  </si>
  <si>
    <t>ECW PU .8mm</t>
  </si>
  <si>
    <t>013-A2014</t>
  </si>
  <si>
    <t>ECW 1.00mm PU</t>
  </si>
  <si>
    <t>Tolerance(Jacket)</t>
  </si>
  <si>
    <t>±0,08</t>
  </si>
  <si>
    <t>Dielectric</t>
  </si>
  <si>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0,2</t>
    </r>
  </si>
  <si>
    <t>Bend Radius</t>
  </si>
  <si>
    <t>Interpolated Values: Linear Relationship Assumption</t>
  </si>
  <si>
    <t>NULL</t>
  </si>
  <si>
    <t>Inner Conductor</t>
  </si>
  <si>
    <t>Shield (Outer Conductor #1)</t>
  </si>
  <si>
    <t>Shield (Outer Conductor #2)</t>
  </si>
  <si>
    <t xml:space="preserve">One Time </t>
  </si>
  <si>
    <t>Repeated</t>
  </si>
  <si>
    <t>Installation</t>
  </si>
  <si>
    <t>Manufacturer</t>
  </si>
  <si>
    <t>Model Number</t>
  </si>
  <si>
    <t xml:space="preserve">Coax Cable </t>
  </si>
  <si>
    <t>RG 174_U</t>
  </si>
  <si>
    <t xml:space="preserve">LMR 195_FR </t>
  </si>
  <si>
    <t>Huber &amp; Sunher</t>
  </si>
  <si>
    <t>Static</t>
  </si>
  <si>
    <t>Dynamic</t>
  </si>
  <si>
    <t>Bend Radius(mm)</t>
  </si>
  <si>
    <t>LEONI Dacar</t>
  </si>
  <si>
    <t>LEONI Dacar 302</t>
  </si>
  <si>
    <t>Times Microwave Systems</t>
  </si>
  <si>
    <t>Pasternack</t>
  </si>
  <si>
    <t>Belden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</si>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</sst>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49" fontId="1" fillId="0" borderId="1" xfId="0" applyNumberFormat="1" applyFont="1" applyBorder="1"/>
    <xf numFmtId="49" fontId="1" fillId="0" borderId="2" xfId="0" applyNumberFormat="1" applyFont="1" applyBorder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 applyFill="1"/>
    <xf numFmtId="0" fontId="0" fillId="5" borderId="0" xfId="0" applyFill="1"/>
    <xf numFmtId="0" fontId="0" fillId="6" borderId="0" xfId="0" applyFill="1"/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tabSelected="1" topLeftCell="E1" zoomScaleNormal="100" workbookViewId="0">
      <selection activeCell="P12" sqref="P12"/>
    </sheetView>
  </sheetViews>
  <sheetFormatPr defaultRowHeight="15" x14ac:dyDescent="0.25"/>
  <cols>
    <col min="1" max="1" width="17.85546875" customWidth="1"/>
    <col min="2" max="2" width="30" customWidth="1"/>
    <col min="3" max="3" width="18.28515625" customWidth="1"/>
    <col min="4" max="4" width="17.85546875" customWidth="1"/>
    <col min="5" max="5" width="27.7109375" customWidth="1"/>
    <col min="6" max="6" width="27.85546875" customWidth="1"/>
    <col min="7" max="7" width="12" customWidth="1"/>
    <col min="8" max="8" width="19.42578125" customWidth="1"/>
    <col min="9" max="9" width="11.7109375" customWidth="1"/>
    <col min="10" max="10" width="10.85546875" customWidth="1"/>
    <col min="11" max="11" width="12.28515625" customWidth="1"/>
    <col min="14" max="15" width="13.7109375" customWidth="1"/>
    <col min="26" max="27" width="11" bestFit="1" customWidth="1"/>
  </cols>
  <sheetData>
    <row r="1" spans="1:96" ht="21" x14ac:dyDescent="0.35">
      <c r="A1" s="15" t="s">
        <v>159</v>
      </c>
      <c r="B1" s="15"/>
      <c r="C1" s="15" t="s">
        <v>15</v>
      </c>
      <c r="D1" s="16"/>
      <c r="E1" s="16"/>
      <c r="F1" s="16"/>
      <c r="G1" s="16"/>
      <c r="H1" s="16"/>
      <c r="I1" s="15" t="s">
        <v>165</v>
      </c>
      <c r="J1" s="16"/>
      <c r="K1" s="16"/>
      <c r="L1" s="16"/>
      <c r="M1" s="16"/>
      <c r="N1" s="14"/>
      <c r="O1" s="14"/>
      <c r="P1" s="15" t="s">
        <v>12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</row>
    <row r="2" spans="1:96" ht="15.75" x14ac:dyDescent="0.25">
      <c r="A2" s="13" t="s">
        <v>158</v>
      </c>
      <c r="B2" s="13" t="s">
        <v>157</v>
      </c>
      <c r="C2" s="13" t="s">
        <v>151</v>
      </c>
      <c r="D2" s="13" t="s">
        <v>146</v>
      </c>
      <c r="E2" s="13" t="s">
        <v>152</v>
      </c>
      <c r="F2" s="13" t="s">
        <v>153</v>
      </c>
      <c r="G2" s="13" t="s">
        <v>14</v>
      </c>
      <c r="H2" s="13" t="s">
        <v>144</v>
      </c>
      <c r="I2" s="13" t="s">
        <v>154</v>
      </c>
      <c r="J2" s="13" t="s">
        <v>155</v>
      </c>
      <c r="K2" s="13" t="s">
        <v>156</v>
      </c>
      <c r="L2" s="13" t="s">
        <v>163</v>
      </c>
      <c r="M2" s="13" t="s">
        <v>164</v>
      </c>
      <c r="N2" s="13" t="s">
        <v>171</v>
      </c>
      <c r="O2" s="13" t="s">
        <v>172</v>
      </c>
      <c r="P2" s="13">
        <v>50</v>
      </c>
      <c r="Q2" s="13">
        <v>100</v>
      </c>
      <c r="R2" s="13">
        <v>200</v>
      </c>
      <c r="S2" s="13">
        <v>300</v>
      </c>
      <c r="T2" s="13">
        <v>400</v>
      </c>
      <c r="U2" s="13">
        <v>500</v>
      </c>
      <c r="V2" s="13">
        <v>600</v>
      </c>
      <c r="W2" s="13">
        <v>700</v>
      </c>
      <c r="X2" s="13">
        <v>800</v>
      </c>
      <c r="Y2" s="13">
        <v>900</v>
      </c>
      <c r="Z2" s="13">
        <v>1000</v>
      </c>
      <c r="AA2" s="13">
        <v>1100</v>
      </c>
      <c r="AB2" s="13">
        <v>1200</v>
      </c>
      <c r="AC2" s="13">
        <f>AB2+100</f>
        <v>1300</v>
      </c>
      <c r="AD2" s="13">
        <f t="shared" ref="AD2:CO2" si="0">AC2+100</f>
        <v>1400</v>
      </c>
      <c r="AE2" s="13">
        <f t="shared" si="0"/>
        <v>1500</v>
      </c>
      <c r="AF2" s="13">
        <f t="shared" si="0"/>
        <v>1600</v>
      </c>
      <c r="AG2" s="13">
        <f t="shared" si="0"/>
        <v>1700</v>
      </c>
      <c r="AH2" s="13">
        <f t="shared" si="0"/>
        <v>1800</v>
      </c>
      <c r="AI2" s="13">
        <f t="shared" si="0"/>
        <v>1900</v>
      </c>
      <c r="AJ2" s="13">
        <f t="shared" si="0"/>
        <v>2000</v>
      </c>
      <c r="AK2" s="13">
        <f t="shared" si="0"/>
        <v>2100</v>
      </c>
      <c r="AL2" s="13">
        <f t="shared" si="0"/>
        <v>2200</v>
      </c>
      <c r="AM2" s="13">
        <f t="shared" si="0"/>
        <v>2300</v>
      </c>
      <c r="AN2" s="13">
        <f t="shared" si="0"/>
        <v>2400</v>
      </c>
      <c r="AO2" s="13">
        <f t="shared" si="0"/>
        <v>2500</v>
      </c>
      <c r="AP2" s="13">
        <f t="shared" si="0"/>
        <v>2600</v>
      </c>
      <c r="AQ2" s="13">
        <f t="shared" si="0"/>
        <v>2700</v>
      </c>
      <c r="AR2" s="13">
        <f t="shared" si="0"/>
        <v>2800</v>
      </c>
      <c r="AS2" s="13">
        <f t="shared" si="0"/>
        <v>2900</v>
      </c>
      <c r="AT2" s="13">
        <f t="shared" si="0"/>
        <v>3000</v>
      </c>
      <c r="AU2" s="13">
        <f t="shared" si="0"/>
        <v>3100</v>
      </c>
      <c r="AV2" s="13">
        <f t="shared" si="0"/>
        <v>3200</v>
      </c>
      <c r="AW2" s="13">
        <f t="shared" si="0"/>
        <v>3300</v>
      </c>
      <c r="AX2" s="13">
        <f t="shared" si="0"/>
        <v>3400</v>
      </c>
      <c r="AY2" s="13">
        <f t="shared" si="0"/>
        <v>3500</v>
      </c>
      <c r="AZ2" s="13">
        <f t="shared" si="0"/>
        <v>3600</v>
      </c>
      <c r="BA2" s="13">
        <f t="shared" si="0"/>
        <v>3700</v>
      </c>
      <c r="BB2" s="13">
        <f t="shared" si="0"/>
        <v>3800</v>
      </c>
      <c r="BC2" s="13">
        <f t="shared" si="0"/>
        <v>3900</v>
      </c>
      <c r="BD2" s="13">
        <f t="shared" si="0"/>
        <v>4000</v>
      </c>
      <c r="BE2" s="13">
        <f t="shared" si="0"/>
        <v>4100</v>
      </c>
      <c r="BF2" s="13">
        <f t="shared" si="0"/>
        <v>4200</v>
      </c>
      <c r="BG2" s="13">
        <f t="shared" si="0"/>
        <v>4300</v>
      </c>
      <c r="BH2" s="13">
        <f>BG2+100</f>
        <v>4400</v>
      </c>
      <c r="BI2" s="13">
        <f t="shared" si="0"/>
        <v>4500</v>
      </c>
      <c r="BJ2" s="13">
        <f t="shared" si="0"/>
        <v>4600</v>
      </c>
      <c r="BK2" s="13">
        <f t="shared" si="0"/>
        <v>4700</v>
      </c>
      <c r="BL2" s="13">
        <f t="shared" si="0"/>
        <v>4800</v>
      </c>
      <c r="BM2" s="13">
        <f t="shared" si="0"/>
        <v>4900</v>
      </c>
      <c r="BN2" s="13">
        <f t="shared" si="0"/>
        <v>5000</v>
      </c>
      <c r="BO2" s="13">
        <f t="shared" si="0"/>
        <v>5100</v>
      </c>
      <c r="BP2" s="13">
        <f t="shared" si="0"/>
        <v>5200</v>
      </c>
      <c r="BQ2" s="13">
        <f t="shared" si="0"/>
        <v>5300</v>
      </c>
      <c r="BR2" s="13">
        <f t="shared" si="0"/>
        <v>5400</v>
      </c>
      <c r="BS2" s="13">
        <f t="shared" si="0"/>
        <v>5500</v>
      </c>
      <c r="BT2" s="13">
        <f t="shared" si="0"/>
        <v>5600</v>
      </c>
      <c r="BU2" s="13">
        <f t="shared" si="0"/>
        <v>5700</v>
      </c>
      <c r="BV2" s="13">
        <f t="shared" si="0"/>
        <v>5800</v>
      </c>
      <c r="BW2" s="13">
        <f t="shared" si="0"/>
        <v>5900</v>
      </c>
      <c r="BX2" s="13">
        <f t="shared" si="0"/>
        <v>6000</v>
      </c>
      <c r="BY2" s="13">
        <f t="shared" si="0"/>
        <v>6100</v>
      </c>
      <c r="BZ2" s="13">
        <f t="shared" si="0"/>
        <v>6200</v>
      </c>
      <c r="CA2" s="13">
        <f t="shared" si="0"/>
        <v>6300</v>
      </c>
      <c r="CB2" s="13">
        <f t="shared" si="0"/>
        <v>6400</v>
      </c>
      <c r="CC2" s="13">
        <f t="shared" si="0"/>
        <v>6500</v>
      </c>
      <c r="CD2" s="13">
        <f t="shared" si="0"/>
        <v>6600</v>
      </c>
      <c r="CE2" s="13">
        <f t="shared" si="0"/>
        <v>6700</v>
      </c>
      <c r="CF2" s="13">
        <f t="shared" si="0"/>
        <v>6800</v>
      </c>
      <c r="CG2" s="13">
        <f t="shared" si="0"/>
        <v>6900</v>
      </c>
      <c r="CH2" s="13">
        <f t="shared" si="0"/>
        <v>7000</v>
      </c>
      <c r="CI2" s="13">
        <f t="shared" si="0"/>
        <v>7100</v>
      </c>
      <c r="CJ2" s="13">
        <f t="shared" si="0"/>
        <v>7200</v>
      </c>
      <c r="CK2" s="13">
        <f t="shared" si="0"/>
        <v>7300</v>
      </c>
      <c r="CL2" s="13">
        <f t="shared" si="0"/>
        <v>7400</v>
      </c>
      <c r="CM2" s="13">
        <f t="shared" si="0"/>
        <v>7500</v>
      </c>
      <c r="CN2" s="13">
        <f t="shared" si="0"/>
        <v>7600</v>
      </c>
      <c r="CO2" s="13">
        <f t="shared" si="0"/>
        <v>7700</v>
      </c>
      <c r="CP2" s="13">
        <f t="shared" ref="CP2:CR2" si="1">CO2+100</f>
        <v>7800</v>
      </c>
      <c r="CQ2" s="13">
        <f t="shared" si="1"/>
        <v>7900</v>
      </c>
      <c r="CR2" s="13">
        <f t="shared" si="1"/>
        <v>8000</v>
      </c>
    </row>
    <row r="3" spans="1:96" x14ac:dyDescent="0.25">
      <c r="A3" t="s">
        <v>1</v>
      </c>
      <c r="B3" t="s">
        <v>169</v>
      </c>
      <c r="C3">
        <v>0.41</v>
      </c>
      <c r="D3">
        <v>1.52</v>
      </c>
      <c r="E3">
        <v>2.06</v>
      </c>
      <c r="F3">
        <v>0</v>
      </c>
      <c r="G3">
        <v>2.79</v>
      </c>
      <c r="H3">
        <v>0</v>
      </c>
      <c r="I3">
        <v>6.35</v>
      </c>
      <c r="J3">
        <v>25.4</v>
      </c>
      <c r="K3">
        <v>0</v>
      </c>
      <c r="L3">
        <v>0</v>
      </c>
      <c r="M3">
        <v>0</v>
      </c>
      <c r="N3">
        <v>100</v>
      </c>
      <c r="O3">
        <v>1000</v>
      </c>
      <c r="P3">
        <v>0</v>
      </c>
      <c r="Q3" s="11">
        <v>0.27560000000000001</v>
      </c>
      <c r="R3">
        <f>Q3+($T$3-$Q$3)/3</f>
        <v>0.39153333333333334</v>
      </c>
      <c r="S3">
        <f>R3+($T$3-$Q$3)/3</f>
        <v>0.50746666666666662</v>
      </c>
      <c r="T3" s="11">
        <v>0.62339999999999995</v>
      </c>
      <c r="U3">
        <f>T3+($Z$3-$T$3)/6</f>
        <v>0.69448333333333334</v>
      </c>
      <c r="V3">
        <f t="shared" ref="V3:Y4" si="2">U3+($Z$3-$T$3)/6</f>
        <v>0.76556666666666673</v>
      </c>
      <c r="W3">
        <f t="shared" si="2"/>
        <v>0.83665000000000012</v>
      </c>
      <c r="X3">
        <f t="shared" si="2"/>
        <v>0.9077333333333335</v>
      </c>
      <c r="Y3">
        <f t="shared" si="2"/>
        <v>0.97881666666666689</v>
      </c>
      <c r="Z3" s="11">
        <v>1.0499000000000001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</row>
    <row r="4" spans="1:96" x14ac:dyDescent="0.25">
      <c r="A4" t="s">
        <v>160</v>
      </c>
      <c r="B4" t="s">
        <v>169</v>
      </c>
      <c r="C4">
        <v>0.51</v>
      </c>
      <c r="D4">
        <v>1.52</v>
      </c>
      <c r="E4">
        <v>2.06</v>
      </c>
      <c r="F4">
        <v>0</v>
      </c>
      <c r="G4">
        <v>2.4900000000000002</v>
      </c>
      <c r="H4">
        <v>0</v>
      </c>
      <c r="I4">
        <v>6.35</v>
      </c>
      <c r="J4">
        <v>25.4</v>
      </c>
      <c r="K4">
        <v>0</v>
      </c>
      <c r="L4">
        <v>0</v>
      </c>
      <c r="M4">
        <v>0</v>
      </c>
      <c r="N4">
        <v>100</v>
      </c>
      <c r="O4">
        <v>1000</v>
      </c>
      <c r="P4">
        <v>0</v>
      </c>
      <c r="Q4" s="11">
        <v>0.27560000000000001</v>
      </c>
      <c r="R4">
        <f>Q4+($T$3-$Q$3)/3</f>
        <v>0.39153333333333334</v>
      </c>
      <c r="S4">
        <f>R4+($T$3-$Q$3)/3</f>
        <v>0.50746666666666662</v>
      </c>
      <c r="T4" s="11">
        <v>0.62339999999999995</v>
      </c>
      <c r="U4">
        <f>T4+($Z$3-$T$3)/6</f>
        <v>0.69448333333333334</v>
      </c>
      <c r="V4">
        <f t="shared" si="2"/>
        <v>0.76556666666666673</v>
      </c>
      <c r="W4">
        <f t="shared" si="2"/>
        <v>0.83665000000000012</v>
      </c>
      <c r="X4">
        <f t="shared" si="2"/>
        <v>0.9077333333333335</v>
      </c>
      <c r="Y4">
        <f t="shared" si="2"/>
        <v>0.97881666666666689</v>
      </c>
      <c r="Z4" s="11">
        <v>1.0499000000000001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25">
      <c r="A5" t="s">
        <v>161</v>
      </c>
      <c r="B5" t="s">
        <v>168</v>
      </c>
      <c r="C5">
        <v>0.94</v>
      </c>
      <c r="D5">
        <v>2.79</v>
      </c>
      <c r="E5">
        <v>2.95</v>
      </c>
      <c r="F5">
        <v>3.53</v>
      </c>
      <c r="G5">
        <v>4.95</v>
      </c>
      <c r="H5">
        <v>0</v>
      </c>
      <c r="I5">
        <v>0</v>
      </c>
      <c r="J5">
        <v>50.8</v>
      </c>
      <c r="K5">
        <v>12.7</v>
      </c>
      <c r="L5">
        <v>0</v>
      </c>
      <c r="M5">
        <v>0</v>
      </c>
      <c r="N5">
        <v>50</v>
      </c>
      <c r="O5">
        <v>5800</v>
      </c>
      <c r="P5" s="11">
        <v>8.4000000000000005E-2</v>
      </c>
      <c r="Q5" s="9">
        <v>0.115</v>
      </c>
      <c r="R5" s="9">
        <v>0.1681</v>
      </c>
      <c r="S5" s="9">
        <v>0.2029</v>
      </c>
      <c r="T5" s="9">
        <v>0.23760000000000001</v>
      </c>
      <c r="U5" s="9">
        <v>0.26719999999999999</v>
      </c>
      <c r="V5" s="9">
        <v>0.91669999999999996</v>
      </c>
      <c r="W5" s="9">
        <v>0.31609999999999999</v>
      </c>
      <c r="X5" s="9">
        <v>0.34060000000000001</v>
      </c>
      <c r="Y5" s="11">
        <v>0.36499999999999999</v>
      </c>
      <c r="Z5">
        <f>Y5+($AE$5-$Y$5)/6</f>
        <v>0.38366666666666666</v>
      </c>
      <c r="AA5">
        <f t="shared" ref="AA5:AD6" si="3">Z5+($AE$5-$Y$5)/6</f>
        <v>0.40233333333333332</v>
      </c>
      <c r="AB5">
        <f t="shared" si="3"/>
        <v>0.42099999999999999</v>
      </c>
      <c r="AC5">
        <f t="shared" si="3"/>
        <v>0.43966666666666665</v>
      </c>
      <c r="AD5">
        <f t="shared" si="3"/>
        <v>0.45833333333333331</v>
      </c>
      <c r="AE5" s="11">
        <v>0.47699999999999998</v>
      </c>
      <c r="AF5">
        <f>AE5+($AH$5-$AE$5)/3</f>
        <v>0.49299999999999999</v>
      </c>
      <c r="AG5">
        <f>AF5+($AH$5-$AE$5)/3</f>
        <v>0.50900000000000001</v>
      </c>
      <c r="AH5" s="11">
        <v>0.52500000000000002</v>
      </c>
      <c r="AI5">
        <f>AH5+(AJ5-AH5)/2</f>
        <v>0.53950000000000009</v>
      </c>
      <c r="AJ5" s="11">
        <v>0.55400000000000005</v>
      </c>
      <c r="AK5">
        <f>AJ5+($AO$5-$AJ$5)/5</f>
        <v>0.56800000000000006</v>
      </c>
      <c r="AL5">
        <f t="shared" ref="AL5:AN6" si="4">AK5+($AO$5-$AJ$5)/5</f>
        <v>0.58200000000000007</v>
      </c>
      <c r="AM5">
        <f t="shared" si="4"/>
        <v>0.59600000000000009</v>
      </c>
      <c r="AN5">
        <f t="shared" si="4"/>
        <v>0.6100000000000001</v>
      </c>
      <c r="AO5" s="11">
        <v>0.624</v>
      </c>
      <c r="AP5">
        <f>AO5+($BV$5-$AO$5)/33</f>
        <v>0.63481818181818184</v>
      </c>
      <c r="AQ5">
        <f t="shared" ref="AQ5:BU6" si="5">AP5+($BV$5-$AO$5)/33</f>
        <v>0.64563636363636367</v>
      </c>
      <c r="AR5">
        <f t="shared" si="5"/>
        <v>0.65645454545454551</v>
      </c>
      <c r="AS5">
        <f t="shared" si="5"/>
        <v>0.66727272727272735</v>
      </c>
      <c r="AT5">
        <f t="shared" si="5"/>
        <v>0.67809090909090919</v>
      </c>
      <c r="AU5">
        <f t="shared" si="5"/>
        <v>0.68890909090909103</v>
      </c>
      <c r="AV5">
        <f t="shared" si="5"/>
        <v>0.69972727272727286</v>
      </c>
      <c r="AW5">
        <f t="shared" si="5"/>
        <v>0.7105454545454547</v>
      </c>
      <c r="AX5">
        <f t="shared" si="5"/>
        <v>0.72136363636363654</v>
      </c>
      <c r="AY5">
        <f t="shared" si="5"/>
        <v>0.73218181818181838</v>
      </c>
      <c r="AZ5">
        <f t="shared" si="5"/>
        <v>0.74300000000000022</v>
      </c>
      <c r="BA5">
        <f t="shared" si="5"/>
        <v>0.75381818181818205</v>
      </c>
      <c r="BB5">
        <f t="shared" si="5"/>
        <v>0.76463636363636389</v>
      </c>
      <c r="BC5">
        <f t="shared" si="5"/>
        <v>0.77545454545454573</v>
      </c>
      <c r="BD5">
        <f t="shared" si="5"/>
        <v>0.78627272727272757</v>
      </c>
      <c r="BE5">
        <f t="shared" si="5"/>
        <v>0.79709090909090941</v>
      </c>
      <c r="BF5">
        <f t="shared" si="5"/>
        <v>0.80790909090909124</v>
      </c>
      <c r="BG5">
        <f t="shared" si="5"/>
        <v>0.81872727272727308</v>
      </c>
      <c r="BH5">
        <f t="shared" si="5"/>
        <v>0.82954545454545492</v>
      </c>
      <c r="BI5">
        <f t="shared" si="5"/>
        <v>0.84036363636363676</v>
      </c>
      <c r="BJ5">
        <f t="shared" si="5"/>
        <v>0.85118181818181859</v>
      </c>
      <c r="BK5">
        <f t="shared" si="5"/>
        <v>0.86200000000000043</v>
      </c>
      <c r="BL5">
        <f t="shared" si="5"/>
        <v>0.87281818181818227</v>
      </c>
      <c r="BM5">
        <f t="shared" si="5"/>
        <v>0.88363636363636411</v>
      </c>
      <c r="BN5">
        <f t="shared" si="5"/>
        <v>0.89445454545454595</v>
      </c>
      <c r="BO5">
        <f t="shared" si="5"/>
        <v>0.90527272727272778</v>
      </c>
      <c r="BP5">
        <f t="shared" si="5"/>
        <v>0.91609090909090962</v>
      </c>
      <c r="BQ5">
        <f t="shared" si="5"/>
        <v>0.92690909090909146</v>
      </c>
      <c r="BR5">
        <f t="shared" si="5"/>
        <v>0.9377272727272733</v>
      </c>
      <c r="BS5">
        <f t="shared" si="5"/>
        <v>0.94854545454545514</v>
      </c>
      <c r="BT5">
        <f t="shared" si="5"/>
        <v>0.95936363636363697</v>
      </c>
      <c r="BU5">
        <f t="shared" si="5"/>
        <v>0.97018181818181881</v>
      </c>
      <c r="BV5" s="11">
        <v>0.98099999999999998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25">
      <c r="A6" t="s">
        <v>4</v>
      </c>
      <c r="B6">
        <v>0</v>
      </c>
      <c r="C6">
        <v>0.95</v>
      </c>
      <c r="D6">
        <v>2.84</v>
      </c>
      <c r="E6">
        <v>2.96</v>
      </c>
      <c r="F6">
        <v>3.54</v>
      </c>
      <c r="G6">
        <v>4.95</v>
      </c>
      <c r="H6">
        <v>0</v>
      </c>
      <c r="I6">
        <v>0</v>
      </c>
      <c r="J6">
        <v>50.8</v>
      </c>
      <c r="K6">
        <v>12.7</v>
      </c>
      <c r="L6">
        <v>0</v>
      </c>
      <c r="M6">
        <v>0</v>
      </c>
      <c r="N6">
        <v>50</v>
      </c>
      <c r="O6">
        <v>5800</v>
      </c>
      <c r="P6" s="11">
        <v>8.4000000000000005E-2</v>
      </c>
      <c r="Q6" s="9">
        <v>0.115</v>
      </c>
      <c r="R6" s="9">
        <v>0.1681</v>
      </c>
      <c r="S6" s="9">
        <v>0.2029</v>
      </c>
      <c r="T6" s="9">
        <v>0.23760000000000001</v>
      </c>
      <c r="U6" s="9">
        <v>0.26719999999999999</v>
      </c>
      <c r="V6" s="9">
        <v>0.91669999999999996</v>
      </c>
      <c r="W6" s="9">
        <v>0.31609999999999999</v>
      </c>
      <c r="X6" s="9">
        <v>0.34060000000000001</v>
      </c>
      <c r="Y6" s="11">
        <v>0.36499999999999999</v>
      </c>
      <c r="Z6">
        <f>Y6+($AE$5-$Y$5)/6</f>
        <v>0.38366666666666666</v>
      </c>
      <c r="AA6">
        <f t="shared" si="3"/>
        <v>0.40233333333333332</v>
      </c>
      <c r="AB6">
        <f t="shared" si="3"/>
        <v>0.42099999999999999</v>
      </c>
      <c r="AC6">
        <f t="shared" si="3"/>
        <v>0.43966666666666665</v>
      </c>
      <c r="AD6">
        <f t="shared" si="3"/>
        <v>0.45833333333333331</v>
      </c>
      <c r="AE6" s="11">
        <v>0.47699999999999998</v>
      </c>
      <c r="AF6">
        <f>AE6+($AH$5-$AE$5)/3</f>
        <v>0.49299999999999999</v>
      </c>
      <c r="AG6">
        <f>AF6+($AH$5-$AE$5)/3</f>
        <v>0.50900000000000001</v>
      </c>
      <c r="AH6" s="11">
        <v>0.52500000000000002</v>
      </c>
      <c r="AI6">
        <f>AH6+(AJ6-AH6)/2</f>
        <v>0.53950000000000009</v>
      </c>
      <c r="AJ6" s="11">
        <v>0.55400000000000005</v>
      </c>
      <c r="AK6">
        <f>AJ6+($AO$5-$AJ$5)/5</f>
        <v>0.56800000000000006</v>
      </c>
      <c r="AL6">
        <f t="shared" si="4"/>
        <v>0.58200000000000007</v>
      </c>
      <c r="AM6">
        <f t="shared" si="4"/>
        <v>0.59600000000000009</v>
      </c>
      <c r="AN6">
        <f t="shared" si="4"/>
        <v>0.6100000000000001</v>
      </c>
      <c r="AO6" s="11">
        <v>0.624</v>
      </c>
      <c r="AP6">
        <f>AO6+($BV$5-$AO$5)/33</f>
        <v>0.63481818181818184</v>
      </c>
      <c r="AQ6">
        <f t="shared" si="5"/>
        <v>0.64563636363636367</v>
      </c>
      <c r="AR6">
        <f t="shared" si="5"/>
        <v>0.65645454545454551</v>
      </c>
      <c r="AS6">
        <f t="shared" si="5"/>
        <v>0.66727272727272735</v>
      </c>
      <c r="AT6">
        <f t="shared" si="5"/>
        <v>0.67809090909090919</v>
      </c>
      <c r="AU6">
        <f t="shared" si="5"/>
        <v>0.68890909090909103</v>
      </c>
      <c r="AV6">
        <f t="shared" si="5"/>
        <v>0.69972727272727286</v>
      </c>
      <c r="AW6">
        <f t="shared" si="5"/>
        <v>0.7105454545454547</v>
      </c>
      <c r="AX6">
        <f t="shared" si="5"/>
        <v>0.72136363636363654</v>
      </c>
      <c r="AY6">
        <f t="shared" si="5"/>
        <v>0.73218181818181838</v>
      </c>
      <c r="AZ6">
        <f t="shared" si="5"/>
        <v>0.74300000000000022</v>
      </c>
      <c r="BA6">
        <f t="shared" si="5"/>
        <v>0.75381818181818205</v>
      </c>
      <c r="BB6">
        <f t="shared" si="5"/>
        <v>0.76463636363636389</v>
      </c>
      <c r="BC6">
        <f t="shared" si="5"/>
        <v>0.77545454545454573</v>
      </c>
      <c r="BD6">
        <f t="shared" si="5"/>
        <v>0.78627272727272757</v>
      </c>
      <c r="BE6">
        <f t="shared" si="5"/>
        <v>0.79709090909090941</v>
      </c>
      <c r="BF6">
        <f t="shared" si="5"/>
        <v>0.80790909090909124</v>
      </c>
      <c r="BG6">
        <f t="shared" si="5"/>
        <v>0.81872727272727308</v>
      </c>
      <c r="BH6">
        <f t="shared" si="5"/>
        <v>0.82954545454545492</v>
      </c>
      <c r="BI6">
        <f t="shared" si="5"/>
        <v>0.84036363636363676</v>
      </c>
      <c r="BJ6">
        <f t="shared" si="5"/>
        <v>0.85118181818181859</v>
      </c>
      <c r="BK6">
        <f t="shared" si="5"/>
        <v>0.86200000000000043</v>
      </c>
      <c r="BL6">
        <f t="shared" si="5"/>
        <v>0.87281818181818227</v>
      </c>
      <c r="BM6">
        <f t="shared" si="5"/>
        <v>0.88363636363636411</v>
      </c>
      <c r="BN6">
        <f t="shared" si="5"/>
        <v>0.89445454545454595</v>
      </c>
      <c r="BO6">
        <f t="shared" si="5"/>
        <v>0.90527272727272778</v>
      </c>
      <c r="BP6">
        <f t="shared" si="5"/>
        <v>0.91609090909090962</v>
      </c>
      <c r="BQ6">
        <f t="shared" si="5"/>
        <v>0.92690909090909146</v>
      </c>
      <c r="BR6">
        <f t="shared" si="5"/>
        <v>0.9377272727272733</v>
      </c>
      <c r="BS6">
        <f t="shared" si="5"/>
        <v>0.94854545454545514</v>
      </c>
      <c r="BT6">
        <f t="shared" si="5"/>
        <v>0.95936363636363697</v>
      </c>
      <c r="BU6">
        <f t="shared" si="5"/>
        <v>0.97018181818181881</v>
      </c>
      <c r="BV6" s="11">
        <v>0.98099999999999998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25">
      <c r="A7" t="s">
        <v>5</v>
      </c>
      <c r="B7" t="s">
        <v>168</v>
      </c>
      <c r="C7">
        <v>1.1200000000000001</v>
      </c>
      <c r="D7">
        <v>2.95</v>
      </c>
      <c r="E7">
        <v>3.07</v>
      </c>
      <c r="F7">
        <v>3.66</v>
      </c>
      <c r="G7">
        <v>4.95</v>
      </c>
      <c r="H7">
        <v>0</v>
      </c>
      <c r="I7">
        <v>0</v>
      </c>
      <c r="J7">
        <v>50.8</v>
      </c>
      <c r="K7">
        <v>12.7</v>
      </c>
      <c r="L7">
        <v>0</v>
      </c>
      <c r="M7">
        <v>0</v>
      </c>
      <c r="N7">
        <v>50</v>
      </c>
      <c r="O7">
        <v>8000</v>
      </c>
      <c r="P7" s="11">
        <v>7.4999999999999997E-2</v>
      </c>
      <c r="Q7" s="9">
        <v>0.10299999999999999</v>
      </c>
      <c r="R7" s="9">
        <v>0.151</v>
      </c>
      <c r="S7" s="9">
        <v>0.18179999999999999</v>
      </c>
      <c r="T7" s="9">
        <v>0.21260000000000001</v>
      </c>
      <c r="U7" s="9">
        <v>0.2389</v>
      </c>
      <c r="V7" s="9">
        <v>0.26067000000000001</v>
      </c>
      <c r="W7" s="9">
        <v>0.28239999999999998</v>
      </c>
      <c r="X7" s="9">
        <v>0.30420000000000003</v>
      </c>
      <c r="Y7" s="11">
        <v>0.32600000000000001</v>
      </c>
      <c r="Z7">
        <f>Y7+($AE$7-$Y$7)/6</f>
        <v>0.34233333333333332</v>
      </c>
      <c r="AA7">
        <f t="shared" ref="AA7:AD7" si="6">Z7+($AE$7-$Y$7)/6</f>
        <v>0.35866666666666663</v>
      </c>
      <c r="AB7">
        <f t="shared" si="6"/>
        <v>0.37499999999999994</v>
      </c>
      <c r="AC7">
        <f t="shared" si="6"/>
        <v>0.39133333333333326</v>
      </c>
      <c r="AD7">
        <f t="shared" si="6"/>
        <v>0.40766666666666657</v>
      </c>
      <c r="AE7" s="11">
        <v>0.42399999999999999</v>
      </c>
      <c r="AF7">
        <f>AE7+($AH$7-$AE$7)/3</f>
        <v>0.438</v>
      </c>
      <c r="AG7">
        <f>AF7+($AH$7-$AE$7)/3</f>
        <v>0.45200000000000001</v>
      </c>
      <c r="AH7" s="11">
        <v>0.46600000000000003</v>
      </c>
      <c r="AI7">
        <f>AH7+(AJ7-AH7)/2</f>
        <v>0.47950000000000004</v>
      </c>
      <c r="AJ7" s="11">
        <v>0.49299999999999999</v>
      </c>
      <c r="AK7">
        <f>AJ7+($AO$7-$AJ$7)/5</f>
        <v>0.50519999999999998</v>
      </c>
      <c r="AL7">
        <f t="shared" ref="AL7:AN7" si="7">AK7+($AO$7-$AJ$7)/5</f>
        <v>0.51739999999999997</v>
      </c>
      <c r="AM7">
        <f t="shared" si="7"/>
        <v>0.52959999999999996</v>
      </c>
      <c r="AN7">
        <f t="shared" si="7"/>
        <v>0.54179999999999995</v>
      </c>
      <c r="AO7" s="11">
        <v>0.55400000000000005</v>
      </c>
      <c r="AP7">
        <f>AO7+($BV$7-$AO$7)/33</f>
        <v>0.56342424242424249</v>
      </c>
      <c r="AQ7">
        <f t="shared" ref="AQ7:BU7" si="8">AP7+($BV$7-$AO$7)/33</f>
        <v>0.57284848484848494</v>
      </c>
      <c r="AR7">
        <f t="shared" si="8"/>
        <v>0.58227272727272739</v>
      </c>
      <c r="AS7">
        <f t="shared" si="8"/>
        <v>0.59169696969696983</v>
      </c>
      <c r="AT7">
        <f t="shared" si="8"/>
        <v>0.60112121212121228</v>
      </c>
      <c r="AU7">
        <f t="shared" si="8"/>
        <v>0.61054545454545472</v>
      </c>
      <c r="AV7">
        <f t="shared" si="8"/>
        <v>0.61996969696969717</v>
      </c>
      <c r="AW7">
        <f t="shared" si="8"/>
        <v>0.62939393939393962</v>
      </c>
      <c r="AX7">
        <f t="shared" si="8"/>
        <v>0.63881818181818206</v>
      </c>
      <c r="AY7">
        <f t="shared" si="8"/>
        <v>0.64824242424242451</v>
      </c>
      <c r="AZ7">
        <f t="shared" si="8"/>
        <v>0.65766666666666695</v>
      </c>
      <c r="BA7">
        <f t="shared" si="8"/>
        <v>0.6670909090909094</v>
      </c>
      <c r="BB7">
        <f t="shared" si="8"/>
        <v>0.67651515151515185</v>
      </c>
      <c r="BC7">
        <f t="shared" si="8"/>
        <v>0.68593939393939429</v>
      </c>
      <c r="BD7">
        <f t="shared" si="8"/>
        <v>0.69536363636363674</v>
      </c>
      <c r="BE7">
        <f t="shared" si="8"/>
        <v>0.70478787878787919</v>
      </c>
      <c r="BF7">
        <f t="shared" si="8"/>
        <v>0.71421212121212163</v>
      </c>
      <c r="BG7">
        <f t="shared" si="8"/>
        <v>0.72363636363636408</v>
      </c>
      <c r="BH7">
        <f t="shared" si="8"/>
        <v>0.73306060606060652</v>
      </c>
      <c r="BI7">
        <f t="shared" si="8"/>
        <v>0.74248484848484897</v>
      </c>
      <c r="BJ7">
        <f t="shared" si="8"/>
        <v>0.75190909090909142</v>
      </c>
      <c r="BK7">
        <f t="shared" si="8"/>
        <v>0.76133333333333386</v>
      </c>
      <c r="BL7">
        <f t="shared" si="8"/>
        <v>0.77075757575757631</v>
      </c>
      <c r="BM7">
        <f t="shared" si="8"/>
        <v>0.78018181818181875</v>
      </c>
      <c r="BN7">
        <f t="shared" si="8"/>
        <v>0.7896060606060612</v>
      </c>
      <c r="BO7">
        <f t="shared" si="8"/>
        <v>0.79903030303030365</v>
      </c>
      <c r="BP7">
        <f t="shared" si="8"/>
        <v>0.80845454545454609</v>
      </c>
      <c r="BQ7">
        <f t="shared" si="8"/>
        <v>0.81787878787878854</v>
      </c>
      <c r="BR7">
        <f t="shared" si="8"/>
        <v>0.82730303030303098</v>
      </c>
      <c r="BS7">
        <f t="shared" si="8"/>
        <v>0.83672727272727343</v>
      </c>
      <c r="BT7">
        <f t="shared" si="8"/>
        <v>0.84615151515151588</v>
      </c>
      <c r="BU7">
        <f t="shared" si="8"/>
        <v>0.85557575757575832</v>
      </c>
      <c r="BV7" s="11">
        <v>0.86499999999999999</v>
      </c>
      <c r="BW7">
        <f>BV7+($CR$7-$BV$7)/22</f>
        <v>0.87240909090909091</v>
      </c>
      <c r="BX7">
        <f t="shared" ref="BX7:CQ7" si="9">BW7+($CR$7-$BV$7)/22</f>
        <v>0.87981818181818183</v>
      </c>
      <c r="BY7">
        <f t="shared" si="9"/>
        <v>0.88722727272727275</v>
      </c>
      <c r="BZ7">
        <f t="shared" si="9"/>
        <v>0.89463636363636367</v>
      </c>
      <c r="CA7">
        <f t="shared" si="9"/>
        <v>0.90204545454545459</v>
      </c>
      <c r="CB7">
        <f t="shared" si="9"/>
        <v>0.90945454545454552</v>
      </c>
      <c r="CC7">
        <f t="shared" si="9"/>
        <v>0.91686363636363644</v>
      </c>
      <c r="CD7">
        <f t="shared" si="9"/>
        <v>0.92427272727272736</v>
      </c>
      <c r="CE7">
        <f t="shared" si="9"/>
        <v>0.93168181818181828</v>
      </c>
      <c r="CF7">
        <f t="shared" si="9"/>
        <v>0.9390909090909092</v>
      </c>
      <c r="CG7">
        <f t="shared" si="9"/>
        <v>0.94650000000000012</v>
      </c>
      <c r="CH7">
        <f t="shared" si="9"/>
        <v>0.95390909090909104</v>
      </c>
      <c r="CI7">
        <f t="shared" si="9"/>
        <v>0.96131818181818196</v>
      </c>
      <c r="CJ7">
        <f t="shared" si="9"/>
        <v>0.96872727272727288</v>
      </c>
      <c r="CK7">
        <f t="shared" si="9"/>
        <v>0.9761363636363638</v>
      </c>
      <c r="CL7">
        <f t="shared" si="9"/>
        <v>0.98354545454545472</v>
      </c>
      <c r="CM7">
        <f t="shared" si="9"/>
        <v>0.99095454545454564</v>
      </c>
      <c r="CN7">
        <f t="shared" si="9"/>
        <v>0.99836363636363656</v>
      </c>
      <c r="CO7">
        <f t="shared" si="9"/>
        <v>1.0057727272727275</v>
      </c>
      <c r="CP7">
        <f t="shared" si="9"/>
        <v>1.0131818181818184</v>
      </c>
      <c r="CQ7">
        <f t="shared" si="9"/>
        <v>1.0205909090909093</v>
      </c>
      <c r="CR7" s="11">
        <v>1.028</v>
      </c>
    </row>
    <row r="8" spans="1:96" s="9" customFormat="1" x14ac:dyDescent="0.25">
      <c r="A8" s="9" t="s">
        <v>6</v>
      </c>
      <c r="B8" s="9" t="s">
        <v>168</v>
      </c>
      <c r="C8" s="9">
        <v>2.74</v>
      </c>
      <c r="D8" s="9">
        <v>7.24</v>
      </c>
      <c r="E8" s="9">
        <v>7.39</v>
      </c>
      <c r="F8" s="9">
        <v>8.1300000000000008</v>
      </c>
      <c r="G8" s="9">
        <v>10.29</v>
      </c>
      <c r="H8">
        <v>0</v>
      </c>
      <c r="I8">
        <v>0</v>
      </c>
      <c r="J8" s="9">
        <v>101.6</v>
      </c>
      <c r="K8" s="9">
        <v>25.4</v>
      </c>
      <c r="L8">
        <v>0</v>
      </c>
      <c r="M8">
        <v>0</v>
      </c>
      <c r="N8" s="9">
        <v>50</v>
      </c>
      <c r="O8" s="9">
        <v>8000</v>
      </c>
      <c r="P8" s="11">
        <v>2.9000000000000001E-2</v>
      </c>
      <c r="Q8" s="9">
        <v>3.95E-2</v>
      </c>
      <c r="R8" s="9">
        <v>5.7860000000000002E-2</v>
      </c>
      <c r="S8" s="9">
        <v>7.0300000000000001E-2</v>
      </c>
      <c r="T8" s="9">
        <v>8.2799999999999999E-2</v>
      </c>
      <c r="U8" s="9">
        <v>9.3299999999999994E-2</v>
      </c>
      <c r="V8" s="9">
        <v>0.10199999999999999</v>
      </c>
      <c r="W8" s="9">
        <v>0.11070000000000001</v>
      </c>
      <c r="X8" s="9">
        <v>0.1193</v>
      </c>
      <c r="Y8" s="11">
        <v>0.128</v>
      </c>
      <c r="Z8" s="9">
        <f>Y8+($AE$8-$Y$8)/6</f>
        <v>0.13466666666666666</v>
      </c>
      <c r="AA8" s="9">
        <f t="shared" ref="AA8:AD8" si="10">Z8+($AE$8-$Y$8)/6</f>
        <v>0.14133333333333331</v>
      </c>
      <c r="AB8" s="9">
        <f t="shared" si="10"/>
        <v>0.14799999999999996</v>
      </c>
      <c r="AC8" s="9">
        <f t="shared" si="10"/>
        <v>0.15466666666666662</v>
      </c>
      <c r="AD8" s="9">
        <f t="shared" si="10"/>
        <v>0.16133333333333327</v>
      </c>
      <c r="AE8" s="11">
        <v>0.16800000000000001</v>
      </c>
      <c r="AF8" s="9">
        <f>AE8+($AH$8-$AE$8)/3</f>
        <v>0.17400000000000002</v>
      </c>
      <c r="AG8" s="9">
        <f>AF8+($AH$8-$AE$8)/3</f>
        <v>0.18000000000000002</v>
      </c>
      <c r="AH8" s="11">
        <v>0.186</v>
      </c>
      <c r="AI8" s="9">
        <f>AH8+(AJ8-AH8)/2</f>
        <v>0.191</v>
      </c>
      <c r="AJ8" s="11">
        <v>0.19600000000000001</v>
      </c>
      <c r="AK8" s="9">
        <f>AJ8+($AO$8-$AJ$8)/5</f>
        <v>0.20120000000000002</v>
      </c>
      <c r="AL8" s="9">
        <f t="shared" ref="AL8:AN8" si="11">AK8+($AO$8-$AJ$8)/5</f>
        <v>0.20640000000000003</v>
      </c>
      <c r="AM8" s="9">
        <f t="shared" si="11"/>
        <v>0.21160000000000004</v>
      </c>
      <c r="AN8" s="9">
        <f t="shared" si="11"/>
        <v>0.21680000000000005</v>
      </c>
      <c r="AO8" s="11">
        <v>0.222</v>
      </c>
      <c r="AP8" s="9">
        <f>AO8+($BV$8-$AO$8)/33</f>
        <v>0.22603030303030303</v>
      </c>
      <c r="AQ8" s="9">
        <f t="shared" ref="AQ8:BU8" si="12">AP8+($BV$8-$AO$8)/33</f>
        <v>0.23006060606060605</v>
      </c>
      <c r="AR8" s="9">
        <f t="shared" si="12"/>
        <v>0.23409090909090907</v>
      </c>
      <c r="AS8" s="9">
        <f t="shared" si="12"/>
        <v>0.23812121212121209</v>
      </c>
      <c r="AT8" s="9">
        <f t="shared" si="12"/>
        <v>0.24215151515151512</v>
      </c>
      <c r="AU8" s="9">
        <f t="shared" si="12"/>
        <v>0.24618181818181814</v>
      </c>
      <c r="AV8" s="9">
        <f t="shared" si="12"/>
        <v>0.25021212121212116</v>
      </c>
      <c r="AW8" s="9">
        <f t="shared" si="12"/>
        <v>0.25424242424242421</v>
      </c>
      <c r="AX8" s="9">
        <f t="shared" si="12"/>
        <v>0.25827272727272726</v>
      </c>
      <c r="AY8" s="9">
        <f t="shared" si="12"/>
        <v>0.26230303030303032</v>
      </c>
      <c r="AZ8" s="9">
        <f t="shared" si="12"/>
        <v>0.26633333333333337</v>
      </c>
      <c r="BA8" s="9">
        <f t="shared" si="12"/>
        <v>0.27036363636363642</v>
      </c>
      <c r="BB8" s="9">
        <f t="shared" si="12"/>
        <v>0.27439393939393947</v>
      </c>
      <c r="BC8" s="9">
        <f t="shared" si="12"/>
        <v>0.27842424242424252</v>
      </c>
      <c r="BD8" s="9">
        <f t="shared" si="12"/>
        <v>0.28245454545454557</v>
      </c>
      <c r="BE8" s="9">
        <f t="shared" si="12"/>
        <v>0.28648484848484862</v>
      </c>
      <c r="BF8" s="9">
        <f t="shared" si="12"/>
        <v>0.29051515151515167</v>
      </c>
      <c r="BG8" s="9">
        <f t="shared" si="12"/>
        <v>0.29454545454545472</v>
      </c>
      <c r="BH8" s="9">
        <f t="shared" si="12"/>
        <v>0.29857575757575777</v>
      </c>
      <c r="BI8" s="9">
        <f t="shared" si="12"/>
        <v>0.30260606060606082</v>
      </c>
      <c r="BJ8" s="9">
        <f t="shared" si="12"/>
        <v>0.30663636363636387</v>
      </c>
      <c r="BK8" s="9">
        <f t="shared" si="12"/>
        <v>0.31066666666666692</v>
      </c>
      <c r="BL8" s="9">
        <f t="shared" si="12"/>
        <v>0.31469696969696997</v>
      </c>
      <c r="BM8" s="9">
        <f t="shared" si="12"/>
        <v>0.31872727272727303</v>
      </c>
      <c r="BN8" s="9">
        <f t="shared" si="12"/>
        <v>0.32275757575757608</v>
      </c>
      <c r="BO8" s="9">
        <f t="shared" si="12"/>
        <v>0.32678787878787913</v>
      </c>
      <c r="BP8" s="9">
        <f t="shared" si="12"/>
        <v>0.33081818181818218</v>
      </c>
      <c r="BQ8" s="9">
        <f t="shared" si="12"/>
        <v>0.33484848484848523</v>
      </c>
      <c r="BR8" s="9">
        <f t="shared" si="12"/>
        <v>0.33887878787878828</v>
      </c>
      <c r="BS8" s="9">
        <f t="shared" si="12"/>
        <v>0.34290909090909133</v>
      </c>
      <c r="BT8" s="9">
        <f t="shared" si="12"/>
        <v>0.34693939393939438</v>
      </c>
      <c r="BU8" s="9">
        <f t="shared" si="12"/>
        <v>0.35096969696969743</v>
      </c>
      <c r="BV8" s="11">
        <v>0.35499999999999998</v>
      </c>
      <c r="BW8" s="9">
        <f>BV8+($CR$8-$BV$8)/22</f>
        <v>0.35827272727272724</v>
      </c>
      <c r="BX8" s="9">
        <f t="shared" ref="BX8:CQ8" si="13">BW8+($CR$8-$BV$8)/22</f>
        <v>0.3615454545454545</v>
      </c>
      <c r="BY8" s="9">
        <f t="shared" si="13"/>
        <v>0.36481818181818176</v>
      </c>
      <c r="BZ8" s="9">
        <f t="shared" si="13"/>
        <v>0.36809090909090902</v>
      </c>
      <c r="CA8" s="9">
        <f t="shared" si="13"/>
        <v>0.37136363636363628</v>
      </c>
      <c r="CB8" s="9">
        <f t="shared" si="13"/>
        <v>0.37463636363636355</v>
      </c>
      <c r="CC8" s="9">
        <f t="shared" si="13"/>
        <v>0.37790909090909081</v>
      </c>
      <c r="CD8" s="9">
        <f t="shared" si="13"/>
        <v>0.38118181818181807</v>
      </c>
      <c r="CE8" s="9">
        <f t="shared" si="13"/>
        <v>0.38445454545454533</v>
      </c>
      <c r="CF8" s="9">
        <f t="shared" si="13"/>
        <v>0.38772727272727259</v>
      </c>
      <c r="CG8" s="9">
        <f t="shared" si="13"/>
        <v>0.39099999999999985</v>
      </c>
      <c r="CH8" s="9">
        <f t="shared" si="13"/>
        <v>0.39427272727272711</v>
      </c>
      <c r="CI8" s="9">
        <f t="shared" si="13"/>
        <v>0.39754545454545437</v>
      </c>
      <c r="CJ8" s="9">
        <f t="shared" si="13"/>
        <v>0.40081818181818163</v>
      </c>
      <c r="CK8" s="9">
        <f t="shared" si="13"/>
        <v>0.40409090909090889</v>
      </c>
      <c r="CL8" s="9">
        <f t="shared" si="13"/>
        <v>0.40736363636363615</v>
      </c>
      <c r="CM8" s="9">
        <f t="shared" si="13"/>
        <v>0.41063636363636341</v>
      </c>
      <c r="CN8" s="9">
        <f t="shared" si="13"/>
        <v>0.41390909090909067</v>
      </c>
      <c r="CO8" s="9">
        <f t="shared" si="13"/>
        <v>0.41718181818181793</v>
      </c>
      <c r="CP8" s="9">
        <f t="shared" si="13"/>
        <v>0.42045454545454519</v>
      </c>
      <c r="CQ8" s="9">
        <f t="shared" si="13"/>
        <v>0.42372727272727245</v>
      </c>
      <c r="CR8" s="11">
        <v>0.42699999999999999</v>
      </c>
    </row>
    <row r="9" spans="1:96" x14ac:dyDescent="0.25">
      <c r="A9" t="s">
        <v>7</v>
      </c>
      <c r="B9" s="9" t="s">
        <v>169</v>
      </c>
      <c r="C9" s="9">
        <v>0.51</v>
      </c>
      <c r="D9" s="9">
        <v>1.52</v>
      </c>
      <c r="E9" s="9">
        <v>2.06</v>
      </c>
      <c r="F9">
        <v>0</v>
      </c>
      <c r="G9" s="9">
        <v>2.4900000000000002</v>
      </c>
      <c r="H9">
        <v>0</v>
      </c>
      <c r="I9" s="9">
        <v>14.99</v>
      </c>
      <c r="J9">
        <v>0</v>
      </c>
      <c r="K9">
        <v>0</v>
      </c>
      <c r="L9">
        <v>0</v>
      </c>
      <c r="M9">
        <v>0</v>
      </c>
      <c r="N9" s="9">
        <v>50</v>
      </c>
      <c r="O9" s="9">
        <v>1000</v>
      </c>
      <c r="P9" s="11">
        <v>0.24610000000000001</v>
      </c>
      <c r="Q9" s="11">
        <v>0.3609</v>
      </c>
      <c r="R9">
        <f>Q9+($T$9-$Q$9)/3</f>
        <v>0.47026666666666667</v>
      </c>
      <c r="S9">
        <f>R9+($T$9-$Q$9)/3</f>
        <v>0.57963333333333333</v>
      </c>
      <c r="T9" s="11">
        <v>0.68899999999999995</v>
      </c>
      <c r="U9">
        <f>T9+($Z$9-$T$9)/6</f>
        <v>0.89131666666666665</v>
      </c>
      <c r="V9">
        <f>U9+($Z$9-$T$9)/6</f>
        <v>1.0936333333333335</v>
      </c>
      <c r="W9">
        <f>V9+($Z$9-$T$9)/6</f>
        <v>1.2959500000000002</v>
      </c>
      <c r="X9">
        <f>W9+($Z$9-$T$9)/6</f>
        <v>1.4982666666666669</v>
      </c>
      <c r="Y9">
        <f>X9+($Z$9-$T$9)/6</f>
        <v>1.7005833333333336</v>
      </c>
      <c r="Z9" s="11">
        <v>1.9029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 x14ac:dyDescent="0.25">
      <c r="A10" t="s">
        <v>8</v>
      </c>
      <c r="B10" s="9" t="s">
        <v>169</v>
      </c>
      <c r="C10">
        <v>0.91</v>
      </c>
      <c r="D10" s="9">
        <v>2.95</v>
      </c>
      <c r="E10">
        <v>0</v>
      </c>
      <c r="F10">
        <v>0</v>
      </c>
      <c r="G10" s="9">
        <v>4.95</v>
      </c>
      <c r="H10">
        <v>0</v>
      </c>
      <c r="I10" s="9">
        <v>0</v>
      </c>
      <c r="J10">
        <v>49.78</v>
      </c>
      <c r="K10">
        <v>24.78</v>
      </c>
      <c r="L10">
        <v>0</v>
      </c>
      <c r="M10">
        <v>0</v>
      </c>
      <c r="N10" s="9">
        <v>100</v>
      </c>
      <c r="O10" s="9">
        <v>5000</v>
      </c>
      <c r="P10">
        <v>0</v>
      </c>
      <c r="Q10" s="11">
        <v>0.1608</v>
      </c>
      <c r="R10">
        <f>Q10+($Z$10-$Q$10)/9</f>
        <v>0.21584444444444445</v>
      </c>
      <c r="S10">
        <f t="shared" ref="S10:Y10" si="14">R10+($Z$10-$Q$10)/9</f>
        <v>0.2708888888888889</v>
      </c>
      <c r="T10">
        <f t="shared" si="14"/>
        <v>0.32593333333333335</v>
      </c>
      <c r="U10">
        <f t="shared" si="14"/>
        <v>0.3809777777777778</v>
      </c>
      <c r="V10">
        <f t="shared" si="14"/>
        <v>0.43602222222222226</v>
      </c>
      <c r="W10">
        <f t="shared" si="14"/>
        <v>0.49106666666666671</v>
      </c>
      <c r="X10">
        <f t="shared" si="14"/>
        <v>0.5461111111111111</v>
      </c>
      <c r="Y10">
        <f t="shared" si="14"/>
        <v>0.60115555555555555</v>
      </c>
      <c r="Z10" s="11">
        <v>0.65620000000000001</v>
      </c>
      <c r="AA10">
        <f>Z10+($BN$10-$Z$10)/40</f>
        <v>0.68900749999999999</v>
      </c>
      <c r="AB10">
        <f t="shared" ref="AB10:BM10" si="15">AA10+($BN$10-$Z$10)/40</f>
        <v>0.72181499999999998</v>
      </c>
      <c r="AC10">
        <f t="shared" si="15"/>
        <v>0.75462249999999997</v>
      </c>
      <c r="AD10">
        <f t="shared" si="15"/>
        <v>0.78742999999999996</v>
      </c>
      <c r="AE10">
        <f t="shared" si="15"/>
        <v>0.82023749999999995</v>
      </c>
      <c r="AF10">
        <f t="shared" si="15"/>
        <v>0.85304499999999994</v>
      </c>
      <c r="AG10">
        <f t="shared" si="15"/>
        <v>0.88585249999999993</v>
      </c>
      <c r="AH10">
        <f t="shared" si="15"/>
        <v>0.91865999999999992</v>
      </c>
      <c r="AI10">
        <f t="shared" si="15"/>
        <v>0.95146749999999991</v>
      </c>
      <c r="AJ10">
        <f t="shared" si="15"/>
        <v>0.9842749999999999</v>
      </c>
      <c r="AK10">
        <f t="shared" si="15"/>
        <v>1.0170824999999999</v>
      </c>
      <c r="AL10">
        <f t="shared" si="15"/>
        <v>1.04989</v>
      </c>
      <c r="AM10">
        <f t="shared" si="15"/>
        <v>1.0826975000000001</v>
      </c>
      <c r="AN10">
        <f t="shared" si="15"/>
        <v>1.1155050000000002</v>
      </c>
      <c r="AO10">
        <f t="shared" si="15"/>
        <v>1.1483125000000003</v>
      </c>
      <c r="AP10">
        <f t="shared" si="15"/>
        <v>1.1811200000000004</v>
      </c>
      <c r="AQ10">
        <f t="shared" si="15"/>
        <v>1.2139275000000005</v>
      </c>
      <c r="AR10">
        <f t="shared" si="15"/>
        <v>1.2467350000000006</v>
      </c>
      <c r="AS10">
        <f t="shared" si="15"/>
        <v>1.2795425000000007</v>
      </c>
      <c r="AT10">
        <f t="shared" si="15"/>
        <v>1.3123500000000008</v>
      </c>
      <c r="AU10">
        <f t="shared" si="15"/>
        <v>1.3451575000000009</v>
      </c>
      <c r="AV10">
        <f t="shared" si="15"/>
        <v>1.377965000000001</v>
      </c>
      <c r="AW10">
        <f t="shared" si="15"/>
        <v>1.4107725000000011</v>
      </c>
      <c r="AX10">
        <f t="shared" si="15"/>
        <v>1.4435800000000012</v>
      </c>
      <c r="AY10">
        <f t="shared" si="15"/>
        <v>1.4763875000000013</v>
      </c>
      <c r="AZ10">
        <f t="shared" si="15"/>
        <v>1.5091950000000014</v>
      </c>
      <c r="BA10">
        <f t="shared" si="15"/>
        <v>1.5420025000000015</v>
      </c>
      <c r="BB10">
        <f t="shared" si="15"/>
        <v>1.5748100000000016</v>
      </c>
      <c r="BC10">
        <f t="shared" si="15"/>
        <v>1.6076175000000017</v>
      </c>
      <c r="BD10">
        <f t="shared" si="15"/>
        <v>1.6404250000000018</v>
      </c>
      <c r="BE10">
        <f t="shared" si="15"/>
        <v>1.6732325000000019</v>
      </c>
      <c r="BF10">
        <f t="shared" si="15"/>
        <v>1.706040000000002</v>
      </c>
      <c r="BG10">
        <f t="shared" si="15"/>
        <v>1.7388475000000021</v>
      </c>
      <c r="BH10">
        <f t="shared" si="15"/>
        <v>1.7716550000000022</v>
      </c>
      <c r="BI10">
        <f t="shared" si="15"/>
        <v>1.8044625000000023</v>
      </c>
      <c r="BJ10">
        <f t="shared" si="15"/>
        <v>1.8372700000000024</v>
      </c>
      <c r="BK10">
        <f t="shared" si="15"/>
        <v>1.8700775000000025</v>
      </c>
      <c r="BL10">
        <f t="shared" si="15"/>
        <v>1.9028850000000026</v>
      </c>
      <c r="BM10">
        <f t="shared" si="15"/>
        <v>1.9356925000000027</v>
      </c>
      <c r="BN10" s="11">
        <v>1.9684999999999999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1:96" x14ac:dyDescent="0.25">
      <c r="A11" t="s">
        <v>9</v>
      </c>
      <c r="B11" s="9" t="s">
        <v>170</v>
      </c>
      <c r="C11">
        <v>1.41</v>
      </c>
      <c r="D11">
        <v>3.9</v>
      </c>
      <c r="E11">
        <v>4.5</v>
      </c>
      <c r="F11">
        <v>0</v>
      </c>
      <c r="G11">
        <v>5.4</v>
      </c>
      <c r="H11" t="s">
        <v>147</v>
      </c>
      <c r="I11" s="9">
        <v>0</v>
      </c>
      <c r="J11">
        <v>0</v>
      </c>
      <c r="K11">
        <v>54</v>
      </c>
      <c r="L11">
        <v>0</v>
      </c>
      <c r="M11">
        <v>0</v>
      </c>
      <c r="N11" s="9">
        <v>50</v>
      </c>
      <c r="O11" s="9">
        <v>800</v>
      </c>
      <c r="P11" s="11">
        <v>6.9000000000000006E-2</v>
      </c>
      <c r="Q11" s="11">
        <v>9.0999999999999998E-2</v>
      </c>
      <c r="R11">
        <f>Q11+($T$11-$Q$11)/3</f>
        <v>0.12066666666666666</v>
      </c>
      <c r="S11">
        <f>R11+($T$11-$Q$11)/3</f>
        <v>0.15033333333333332</v>
      </c>
      <c r="T11" s="11">
        <v>0.18</v>
      </c>
      <c r="U11">
        <f>T11+($X$11-$T$11)/4</f>
        <v>0.20024999999999998</v>
      </c>
      <c r="V11">
        <f t="shared" ref="V11:W11" si="16">U11+($X$11-$T$11)/4</f>
        <v>0.22049999999999997</v>
      </c>
      <c r="W11">
        <f t="shared" si="16"/>
        <v>0.24074999999999996</v>
      </c>
      <c r="X11" s="11">
        <v>0.26100000000000001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</row>
    <row r="12" spans="1:96" x14ac:dyDescent="0.25">
      <c r="A12" t="s">
        <v>10</v>
      </c>
      <c r="B12" t="s">
        <v>162</v>
      </c>
      <c r="C12">
        <v>0.54</v>
      </c>
      <c r="D12">
        <v>1.53</v>
      </c>
      <c r="E12">
        <v>1.99</v>
      </c>
      <c r="F12">
        <v>2.44</v>
      </c>
      <c r="G12">
        <v>3.16</v>
      </c>
      <c r="H12" s="6" t="s">
        <v>145</v>
      </c>
      <c r="I12" s="9">
        <v>0</v>
      </c>
      <c r="J12">
        <v>30</v>
      </c>
      <c r="K12">
        <v>0</v>
      </c>
      <c r="L12">
        <v>5</v>
      </c>
      <c r="M12">
        <v>30</v>
      </c>
      <c r="N12" s="9">
        <v>600</v>
      </c>
      <c r="O12" s="9">
        <v>6000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11">
        <v>0.63</v>
      </c>
      <c r="W12">
        <f>V12+($Y$12-$V$12)/3</f>
        <v>0.68</v>
      </c>
      <c r="X12">
        <f>W12+($Y$12-$V$12)/3</f>
        <v>0.73000000000000009</v>
      </c>
      <c r="Y12" s="11">
        <v>0.78</v>
      </c>
      <c r="Z12">
        <f>Y12+($AB$12-$Y$12)/3</f>
        <v>0.82666666666666666</v>
      </c>
      <c r="AA12">
        <f>Z12+($AB$12-$Y$12)/3</f>
        <v>0.87333333333333329</v>
      </c>
      <c r="AB12" s="11">
        <v>0.92</v>
      </c>
      <c r="AC12">
        <f>AB12+($AE$12-$AB$12)/3</f>
        <v>0.96000000000000008</v>
      </c>
      <c r="AD12">
        <f>AC12+($AE$12-$AB$12)/3</f>
        <v>1</v>
      </c>
      <c r="AE12" s="11">
        <v>1.04</v>
      </c>
      <c r="AF12">
        <f>AE12+($AH$12-$AE$12)/3</f>
        <v>1.0733333333333333</v>
      </c>
      <c r="AG12">
        <f>AF12+($AH$12-$AE$12)/3</f>
        <v>1.1066666666666665</v>
      </c>
      <c r="AH12" s="11">
        <v>1.1399999999999999</v>
      </c>
      <c r="AI12">
        <f>AH12+($AK$12-$AH$12)/3</f>
        <v>1.1766666666666665</v>
      </c>
      <c r="AJ12">
        <f>AI12+($AK$12-$AH$12)/3</f>
        <v>1.2133333333333332</v>
      </c>
      <c r="AK12" s="11">
        <v>1.25</v>
      </c>
      <c r="AL12">
        <f>AK12+($AN$12-$AK$12)/3</f>
        <v>1.28</v>
      </c>
      <c r="AM12">
        <f>AL12+($AN$12-$AK$12)/3</f>
        <v>1.31</v>
      </c>
      <c r="AN12" s="11">
        <v>1.34</v>
      </c>
      <c r="AO12">
        <f>AN12+($AQ$12-$AN$12)/3</f>
        <v>1.37</v>
      </c>
      <c r="AP12">
        <f>AO12+($AQ$12-$AN$12)/3</f>
        <v>1.4000000000000001</v>
      </c>
      <c r="AQ12" s="11">
        <v>1.43</v>
      </c>
      <c r="AR12">
        <f>AQ12+($AT$12-$AQ$12)/3</f>
        <v>1.46</v>
      </c>
      <c r="AS12">
        <f>AR12+($AT$12-$AQ$12)/3</f>
        <v>1.49</v>
      </c>
      <c r="AT12" s="11">
        <v>1.52</v>
      </c>
      <c r="AU12">
        <f>AT12+($AW$12-$AT$12)/3</f>
        <v>1.55</v>
      </c>
      <c r="AV12">
        <f>AU12+($AW$12-$AT$12)/3</f>
        <v>1.58</v>
      </c>
      <c r="AW12" s="11">
        <v>1.61</v>
      </c>
      <c r="AX12">
        <f>AW12+($AZ$12-$AW$12)/3</f>
        <v>1.6366666666666667</v>
      </c>
      <c r="AY12">
        <f>AX12+($AZ$12-$AW$12)/3</f>
        <v>1.6633333333333333</v>
      </c>
      <c r="AZ12" s="11">
        <v>1.69</v>
      </c>
      <c r="BA12">
        <f>AZ12+($BC$12-$AZ$12)/3</f>
        <v>1.7166666666666666</v>
      </c>
      <c r="BB12">
        <f>BA12+($BC$12-$AZ$12)/3</f>
        <v>1.7433333333333332</v>
      </c>
      <c r="BC12" s="11">
        <v>1.77</v>
      </c>
      <c r="BD12">
        <f>BC12+($BF$12-$BC$12)/3</f>
        <v>1.7933333333333334</v>
      </c>
      <c r="BE12">
        <f>BD12+($BF$12-$BC$12)/3</f>
        <v>1.8166666666666669</v>
      </c>
      <c r="BF12" s="11">
        <v>1.84</v>
      </c>
      <c r="BG12">
        <f>BF12+($BI$12-$BF$12)/3</f>
        <v>1.8666666666666667</v>
      </c>
      <c r="BH12">
        <f>BG12+($BI$12-$BF$12)/3</f>
        <v>1.8933333333333333</v>
      </c>
      <c r="BI12" s="11">
        <v>1.92</v>
      </c>
      <c r="BJ12">
        <f>BI12+($BL$12-$BI$12)/3</f>
        <v>1.9433333333333334</v>
      </c>
      <c r="BK12">
        <f>BJ12+($BL$12-$BI$12)/3</f>
        <v>1.9666666666666668</v>
      </c>
      <c r="BL12" s="11">
        <v>1.99</v>
      </c>
      <c r="BM12">
        <f>BL12+($BO$12-$BL$12)/3</f>
        <v>2.0133333333333332</v>
      </c>
      <c r="BN12">
        <f>BM12+($BO$12-$BL$12)/3</f>
        <v>2.0366666666666666</v>
      </c>
      <c r="BO12" s="11">
        <v>2.06</v>
      </c>
      <c r="BP12">
        <f>BO12+($BR$12-$BO$12)/3</f>
        <v>2.0833333333333335</v>
      </c>
      <c r="BQ12">
        <f>BP12+($BR$12-$BO$12)/3</f>
        <v>2.1066666666666669</v>
      </c>
      <c r="BR12" s="11">
        <v>2.13</v>
      </c>
      <c r="BS12">
        <f>BR12+($BU$12-$BR$12)/3</f>
        <v>2.1533333333333333</v>
      </c>
      <c r="BT12">
        <f>BS12+($BU$12-$BR$12)/3</f>
        <v>2.1766666666666667</v>
      </c>
      <c r="BU12" s="11">
        <v>2.2000000000000002</v>
      </c>
      <c r="BV12">
        <f>BU12+($BX$12-$BU$12)/3</f>
        <v>2.2233333333333336</v>
      </c>
      <c r="BW12">
        <f>BV12+($BX$12-$BU$12)/3</f>
        <v>2.246666666666667</v>
      </c>
      <c r="BX12" s="11">
        <v>2.27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5">
      <c r="A13" t="s">
        <v>167</v>
      </c>
      <c r="B13" t="s">
        <v>166</v>
      </c>
      <c r="C13">
        <v>0.81</v>
      </c>
      <c r="D13" s="12">
        <v>555</v>
      </c>
      <c r="E13" s="12">
        <v>555</v>
      </c>
      <c r="F13" s="12">
        <v>2.5</v>
      </c>
      <c r="G13" s="12">
        <v>3.2</v>
      </c>
      <c r="H13" s="12">
        <v>0</v>
      </c>
      <c r="I13" s="12">
        <v>555</v>
      </c>
      <c r="J13" s="12">
        <v>555</v>
      </c>
      <c r="K13" s="12">
        <v>555</v>
      </c>
      <c r="L13" s="12">
        <v>555</v>
      </c>
      <c r="M13" s="12">
        <v>55</v>
      </c>
      <c r="N13" s="12">
        <v>1000</v>
      </c>
      <c r="O13" s="12">
        <v>6000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1">
        <f>48.9/100</f>
        <v>0.48899999999999999</v>
      </c>
      <c r="AA13">
        <f>Z13+(AB13-Z13)/2</f>
        <v>0.51249999999999996</v>
      </c>
      <c r="AB13" s="11">
        <f>53.6/100</f>
        <v>0.53600000000000003</v>
      </c>
      <c r="AC13">
        <f>AB13+($AE$13-$AB$13)/3</f>
        <v>0.55900000000000005</v>
      </c>
      <c r="AD13">
        <f>AC13+($AE$13-$AB$13)/3</f>
        <v>0.58200000000000007</v>
      </c>
      <c r="AE13" s="11">
        <f>60.5/100</f>
        <v>0.60499999999999998</v>
      </c>
      <c r="AF13">
        <f>AE13+($AH$13-$AE$13)/3</f>
        <v>0.6243333333333333</v>
      </c>
      <c r="AG13">
        <f>AF13+($AH$13-$AE$13)/3</f>
        <v>0.64366666666666661</v>
      </c>
      <c r="AH13" s="11">
        <v>0.66300000000000003</v>
      </c>
      <c r="AI13">
        <f>AH13+(AJ13-AH13)/2</f>
        <v>0.68399999999999994</v>
      </c>
      <c r="AJ13" s="11">
        <v>0.70499999999999996</v>
      </c>
      <c r="AK13">
        <f>AJ13+(AL13-AJ13)/2</f>
        <v>0.72249999999999992</v>
      </c>
      <c r="AL13" s="11">
        <v>0.74</v>
      </c>
      <c r="AM13">
        <f>AL13+($AR$13-$AL$13)/6</f>
        <v>0.7573333333333333</v>
      </c>
      <c r="AN13">
        <f t="shared" ref="AN13:AQ13" si="17">AM13+($AR$13-$AL$13)/6</f>
        <v>0.77466666666666661</v>
      </c>
      <c r="AO13">
        <f t="shared" si="17"/>
        <v>0.79199999999999993</v>
      </c>
      <c r="AP13">
        <f t="shared" si="17"/>
        <v>0.80933333333333324</v>
      </c>
      <c r="AQ13">
        <f t="shared" si="17"/>
        <v>0.82666666666666655</v>
      </c>
      <c r="AR13" s="11">
        <v>0.84399999999999997</v>
      </c>
      <c r="AS13">
        <f>AR13+(AT13-AR13)/2</f>
        <v>0.86250000000000004</v>
      </c>
      <c r="AT13" s="11">
        <v>0.88100000000000001</v>
      </c>
      <c r="AU13">
        <f>AT13+($AY$13-$AT$13)/5</f>
        <v>0.89800000000000002</v>
      </c>
      <c r="AV13">
        <f t="shared" ref="AV13:AX13" si="18">AU13+($AY$13-$AT$13)/5</f>
        <v>0.91500000000000004</v>
      </c>
      <c r="AW13">
        <f t="shared" si="18"/>
        <v>0.93200000000000005</v>
      </c>
      <c r="AX13">
        <f t="shared" si="18"/>
        <v>0.94900000000000007</v>
      </c>
      <c r="AY13" s="11">
        <v>0.96599999999999997</v>
      </c>
      <c r="AZ13">
        <f>AY13+($BD$13-$AY$13)/5</f>
        <v>0.98119999999999996</v>
      </c>
      <c r="BA13">
        <f t="shared" ref="BA13:BC13" si="19">AZ13+($BD$13-$AY$13)/5</f>
        <v>0.99639999999999995</v>
      </c>
      <c r="BB13">
        <f t="shared" si="19"/>
        <v>1.0116000000000001</v>
      </c>
      <c r="BC13">
        <f t="shared" si="19"/>
        <v>1.0268000000000002</v>
      </c>
      <c r="BD13" s="11">
        <v>1.042</v>
      </c>
      <c r="BE13">
        <f>BD13+($BI$13-$BD$13)/5</f>
        <v>1.0582</v>
      </c>
      <c r="BF13">
        <f t="shared" ref="BF13:BH13" si="20">BE13+($BI$13-$BD$13)/5</f>
        <v>1.0744</v>
      </c>
      <c r="BG13">
        <f t="shared" si="20"/>
        <v>1.0906</v>
      </c>
      <c r="BH13">
        <f t="shared" si="20"/>
        <v>1.1068</v>
      </c>
      <c r="BI13" s="11">
        <v>1.123</v>
      </c>
      <c r="BJ13">
        <f>BI13+($BN$13-$BI$13)/5</f>
        <v>1.1392</v>
      </c>
      <c r="BK13">
        <f t="shared" ref="BK13:BM13" si="21">BJ13+($BN$13-$BI$13)/5</f>
        <v>1.1554</v>
      </c>
      <c r="BL13">
        <f t="shared" si="21"/>
        <v>1.1716</v>
      </c>
      <c r="BM13">
        <f t="shared" si="21"/>
        <v>1.1878</v>
      </c>
      <c r="BN13" s="11">
        <v>1.204</v>
      </c>
      <c r="BO13">
        <f>BN13+($BS$13-$BN$13)/5</f>
        <v>1.2187999999999999</v>
      </c>
      <c r="BP13">
        <f t="shared" ref="BP13:BR13" si="22">BO13+($BS$13-$BN$13)/5</f>
        <v>1.2335999999999998</v>
      </c>
      <c r="BQ13">
        <f t="shared" si="22"/>
        <v>1.2483999999999997</v>
      </c>
      <c r="BR13">
        <f t="shared" si="22"/>
        <v>1.2631999999999997</v>
      </c>
      <c r="BS13" s="11">
        <v>1.278</v>
      </c>
      <c r="BT13" s="11">
        <v>1.2929999999999999</v>
      </c>
      <c r="BU13">
        <f>BT13+($BX$13-$BT$13)/4</f>
        <v>1.3069999999999999</v>
      </c>
      <c r="BV13">
        <f t="shared" ref="BV13:BW13" si="23">BU13+($BX$13-$BT$13)/4</f>
        <v>1.321</v>
      </c>
      <c r="BW13">
        <f t="shared" si="23"/>
        <v>1.335</v>
      </c>
      <c r="BX13" s="11">
        <v>1.349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</sheetData>
  <mergeCells count="4">
    <mergeCell ref="C1:H1"/>
    <mergeCell ref="A1:B1"/>
    <mergeCell ref="I1:M1"/>
    <mergeCell ref="P1:C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3"/>
  <sheetViews>
    <sheetView topLeftCell="G5" zoomScale="89" zoomScaleNormal="89" workbookViewId="0">
      <selection activeCell="K21" sqref="D21:K21"/>
    </sheetView>
  </sheetViews>
  <sheetFormatPr defaultRowHeight="15" x14ac:dyDescent="0.25"/>
  <cols>
    <col min="1" max="2" width="22" customWidth="1"/>
    <col min="3" max="4" width="10.5703125" customWidth="1"/>
    <col min="5" max="12" width="10" bestFit="1" customWidth="1"/>
    <col min="13" max="14" width="11" bestFit="1" customWidth="1"/>
    <col min="30" max="30" width="13" customWidth="1"/>
    <col min="31" max="31" width="11.85546875" customWidth="1"/>
  </cols>
  <sheetData>
    <row r="1" spans="1:32" x14ac:dyDescent="0.25">
      <c r="A1" t="s">
        <v>13</v>
      </c>
      <c r="B1" t="s">
        <v>157</v>
      </c>
      <c r="E1" s="16" t="s">
        <v>12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D1" s="1"/>
      <c r="AE1" s="1"/>
      <c r="AF1" s="1"/>
    </row>
    <row r="2" spans="1:32" x14ac:dyDescent="0.25">
      <c r="A2" t="s">
        <v>0</v>
      </c>
      <c r="C2">
        <v>5</v>
      </c>
      <c r="D2">
        <v>10</v>
      </c>
      <c r="E2">
        <v>30</v>
      </c>
      <c r="F2">
        <v>50</v>
      </c>
      <c r="G2">
        <v>60</v>
      </c>
      <c r="H2">
        <v>100</v>
      </c>
      <c r="I2">
        <v>150</v>
      </c>
      <c r="J2">
        <v>220</v>
      </c>
      <c r="K2">
        <v>230</v>
      </c>
      <c r="L2">
        <v>400</v>
      </c>
      <c r="M2">
        <v>450</v>
      </c>
      <c r="N2">
        <v>800</v>
      </c>
      <c r="O2">
        <v>900</v>
      </c>
      <c r="P2">
        <v>1000</v>
      </c>
      <c r="Q2">
        <v>1200</v>
      </c>
      <c r="R2">
        <v>1500</v>
      </c>
      <c r="S2">
        <v>1800</v>
      </c>
      <c r="T2">
        <v>2000</v>
      </c>
      <c r="U2">
        <v>2100</v>
      </c>
      <c r="V2">
        <v>2400</v>
      </c>
      <c r="W2">
        <v>2500</v>
      </c>
      <c r="X2">
        <v>2700</v>
      </c>
      <c r="Y2">
        <v>5000</v>
      </c>
      <c r="Z2">
        <v>5100</v>
      </c>
      <c r="AA2">
        <v>5400</v>
      </c>
      <c r="AB2">
        <v>5800</v>
      </c>
      <c r="AC2">
        <v>8000</v>
      </c>
    </row>
    <row r="3" spans="1:32" x14ac:dyDescent="0.25">
      <c r="A3" t="s">
        <v>1</v>
      </c>
      <c r="H3">
        <f>27.56/100</f>
        <v>0.27560000000000001</v>
      </c>
      <c r="L3">
        <f>62.34/100</f>
        <v>0.62340000000000007</v>
      </c>
      <c r="P3">
        <f>104.99/100</f>
        <v>1.0499000000000001</v>
      </c>
    </row>
    <row r="4" spans="1:32" x14ac:dyDescent="0.25">
      <c r="A4" s="7" t="s">
        <v>2</v>
      </c>
      <c r="B4" s="7"/>
    </row>
    <row r="5" spans="1:32" x14ac:dyDescent="0.25">
      <c r="A5" t="s">
        <v>3</v>
      </c>
      <c r="E5">
        <f>6.5/100</f>
        <v>6.5000000000000002E-2</v>
      </c>
      <c r="F5">
        <f>8.4/100</f>
        <v>8.4000000000000005E-2</v>
      </c>
      <c r="I5">
        <f>14.6/100</f>
        <v>0.14599999999999999</v>
      </c>
      <c r="J5">
        <f>17.7/100</f>
        <v>0.17699999999999999</v>
      </c>
      <c r="M5">
        <f>25.5/100</f>
        <v>0.255</v>
      </c>
      <c r="O5">
        <f>36.5/100</f>
        <v>0.36499999999999999</v>
      </c>
      <c r="R5">
        <f>47.7/100</f>
        <v>0.47700000000000004</v>
      </c>
      <c r="S5">
        <f>52.5/100</f>
        <v>0.52500000000000002</v>
      </c>
      <c r="T5">
        <f>55.4/100</f>
        <v>0.55399999999999994</v>
      </c>
      <c r="W5">
        <f>62.4/100</f>
        <v>0.624</v>
      </c>
      <c r="AB5">
        <f>98.1/100</f>
        <v>0.98099999999999998</v>
      </c>
    </row>
    <row r="6" spans="1:32" x14ac:dyDescent="0.25">
      <c r="A6" t="s">
        <v>4</v>
      </c>
      <c r="M6">
        <v>0.25</v>
      </c>
      <c r="O6">
        <v>0.35</v>
      </c>
      <c r="T6">
        <v>0.53</v>
      </c>
      <c r="W6">
        <v>0.6</v>
      </c>
    </row>
    <row r="7" spans="1:32" x14ac:dyDescent="0.25">
      <c r="A7" s="9" t="s">
        <v>5</v>
      </c>
      <c r="B7" s="9"/>
      <c r="C7" s="9"/>
      <c r="D7" s="9"/>
      <c r="E7" s="9">
        <f>5.8/100</f>
        <v>5.7999999999999996E-2</v>
      </c>
      <c r="F7" s="9">
        <f>7.5/100</f>
        <v>7.4999999999999997E-2</v>
      </c>
      <c r="G7" s="9"/>
      <c r="H7" s="9"/>
      <c r="I7" s="9">
        <f>13.1/100</f>
        <v>0.13100000000000001</v>
      </c>
      <c r="J7" s="9">
        <f>15.9/100</f>
        <v>0.159</v>
      </c>
      <c r="K7" s="9"/>
      <c r="L7" s="9"/>
      <c r="M7" s="9">
        <f>22.8/100</f>
        <v>0.22800000000000001</v>
      </c>
      <c r="N7" s="9"/>
      <c r="O7" s="9">
        <f>32.6/100</f>
        <v>0.32600000000000001</v>
      </c>
      <c r="P7" s="9"/>
      <c r="Q7" s="9"/>
      <c r="R7" s="9">
        <f>42.4/100</f>
        <v>0.42399999999999999</v>
      </c>
      <c r="S7" s="9">
        <f>46.6/100</f>
        <v>0.46600000000000003</v>
      </c>
      <c r="T7" s="9">
        <f>49.3/100</f>
        <v>0.49299999999999999</v>
      </c>
      <c r="U7" s="9"/>
      <c r="V7" s="9"/>
      <c r="W7" s="9">
        <f>55.4/100</f>
        <v>0.55399999999999994</v>
      </c>
      <c r="X7" s="9"/>
      <c r="Y7" s="9"/>
      <c r="Z7" s="9"/>
      <c r="AA7" s="9"/>
      <c r="AB7" s="9">
        <f>86.5/100</f>
        <v>0.86499999999999999</v>
      </c>
      <c r="AC7" s="9">
        <f>102.8/100</f>
        <v>1.028</v>
      </c>
    </row>
    <row r="8" spans="1:32" x14ac:dyDescent="0.25">
      <c r="A8" s="9" t="s">
        <v>6</v>
      </c>
      <c r="B8" s="9"/>
      <c r="C8" s="9"/>
      <c r="D8" s="9"/>
      <c r="E8" s="9">
        <f>2.2/100</f>
        <v>2.2000000000000002E-2</v>
      </c>
      <c r="F8" s="9">
        <f>2.9/100</f>
        <v>2.8999999999999998E-2</v>
      </c>
      <c r="G8" s="9"/>
      <c r="H8" s="9"/>
      <c r="I8" s="9">
        <f>5/100</f>
        <v>0.05</v>
      </c>
      <c r="J8" s="9">
        <f>6.1/100</f>
        <v>6.0999999999999999E-2</v>
      </c>
      <c r="K8" s="9"/>
      <c r="L8" s="9"/>
      <c r="M8" s="9">
        <f>8.9/100</f>
        <v>8.900000000000001E-2</v>
      </c>
      <c r="N8" s="9"/>
      <c r="O8" s="9">
        <f>12.8/100</f>
        <v>0.128</v>
      </c>
      <c r="P8" s="9"/>
      <c r="Q8" s="9"/>
      <c r="R8" s="9">
        <f>16.8/100</f>
        <v>0.16800000000000001</v>
      </c>
      <c r="S8" s="9">
        <f>18.6/100</f>
        <v>0.18600000000000003</v>
      </c>
      <c r="T8" s="9">
        <f>19.6/100</f>
        <v>0.19600000000000001</v>
      </c>
      <c r="U8" s="9"/>
      <c r="V8" s="9"/>
      <c r="W8" s="9">
        <f>22.2/100</f>
        <v>0.222</v>
      </c>
      <c r="X8" s="9"/>
      <c r="Y8" s="9"/>
      <c r="Z8" s="9"/>
      <c r="AA8" s="9"/>
      <c r="AB8" s="9">
        <f>35.5/100</f>
        <v>0.35499999999999998</v>
      </c>
      <c r="AC8" s="9">
        <f>42.7/100</f>
        <v>0.42700000000000005</v>
      </c>
    </row>
    <row r="9" spans="1:32" x14ac:dyDescent="0.25">
      <c r="A9" s="9" t="s">
        <v>7</v>
      </c>
      <c r="B9" s="9"/>
      <c r="C9" s="9"/>
      <c r="D9" s="9"/>
      <c r="E9" s="9"/>
      <c r="F9" s="9">
        <f>24.61/100</f>
        <v>0.24609999999999999</v>
      </c>
      <c r="G9" s="9"/>
      <c r="H9" s="9">
        <f>36.09/100</f>
        <v>0.36090000000000005</v>
      </c>
      <c r="I9" s="9"/>
      <c r="J9" s="9"/>
      <c r="K9" s="9"/>
      <c r="L9" s="9">
        <f>68.9/100</f>
        <v>0.68900000000000006</v>
      </c>
      <c r="M9" s="9"/>
      <c r="N9" s="9"/>
      <c r="O9" s="9"/>
      <c r="P9" s="9">
        <f>190.29/100</f>
        <v>1.9028999999999998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2" x14ac:dyDescent="0.25">
      <c r="A10" t="s">
        <v>8</v>
      </c>
      <c r="D10">
        <f>4.59/100</f>
        <v>4.5899999999999996E-2</v>
      </c>
      <c r="H10">
        <f>16.08/100</f>
        <v>0.16079999999999997</v>
      </c>
      <c r="P10">
        <f>65.62/100</f>
        <v>0.65620000000000001</v>
      </c>
      <c r="Y10">
        <f>196.85/100</f>
        <v>1.9684999999999999</v>
      </c>
    </row>
    <row r="11" spans="1:32" x14ac:dyDescent="0.25">
      <c r="A11" t="s">
        <v>9</v>
      </c>
      <c r="C11">
        <f>2.5/100</f>
        <v>2.5000000000000001E-2</v>
      </c>
      <c r="F11">
        <f>6.9/100</f>
        <v>6.9000000000000006E-2</v>
      </c>
      <c r="H11">
        <f>9.1/100</f>
        <v>9.0999999999999998E-2</v>
      </c>
      <c r="K11">
        <f>13.4/100</f>
        <v>0.13400000000000001</v>
      </c>
      <c r="L11">
        <f>18/100</f>
        <v>0.18</v>
      </c>
      <c r="N11">
        <f>26.1/100</f>
        <v>0.26100000000000001</v>
      </c>
    </row>
    <row r="12" spans="1:32" x14ac:dyDescent="0.25">
      <c r="A12" s="8" t="s">
        <v>10</v>
      </c>
      <c r="B12" s="8"/>
      <c r="C12" s="8"/>
      <c r="D12" s="8"/>
      <c r="E12" s="8"/>
      <c r="F12" s="8"/>
      <c r="G12" s="8">
        <v>0.63</v>
      </c>
      <c r="H12" s="8"/>
      <c r="I12" s="8"/>
      <c r="J12" s="8"/>
      <c r="K12" s="8"/>
      <c r="L12" s="8"/>
      <c r="M12" s="8"/>
      <c r="N12" s="8"/>
      <c r="O12" s="8">
        <v>0.78</v>
      </c>
      <c r="P12" s="8"/>
      <c r="Q12" s="8">
        <v>0.92</v>
      </c>
      <c r="R12" s="8">
        <v>1.04</v>
      </c>
      <c r="S12" s="8">
        <v>1.1399999999999999</v>
      </c>
      <c r="T12" s="8"/>
      <c r="U12" s="8">
        <v>1.25</v>
      </c>
      <c r="V12" s="8">
        <v>1.34</v>
      </c>
      <c r="W12" s="8"/>
      <c r="X12" s="8">
        <v>1.43</v>
      </c>
      <c r="Y12" s="8"/>
      <c r="Z12" s="8">
        <v>2.06</v>
      </c>
      <c r="AA12" s="8">
        <v>2.13</v>
      </c>
      <c r="AB12" s="8"/>
    </row>
    <row r="13" spans="1:32" x14ac:dyDescent="0.25">
      <c r="A13" t="s">
        <v>11</v>
      </c>
      <c r="H13">
        <f>48.9/100</f>
        <v>0.48899999999999999</v>
      </c>
      <c r="I13">
        <f>60.5/100</f>
        <v>0.60499999999999998</v>
      </c>
      <c r="J13">
        <v>0.74</v>
      </c>
      <c r="L13">
        <v>1.042</v>
      </c>
      <c r="M13">
        <v>1.123</v>
      </c>
    </row>
    <row r="16" spans="1:32" x14ac:dyDescent="0.25">
      <c r="A16" t="s">
        <v>149</v>
      </c>
    </row>
    <row r="17" spans="1:85" x14ac:dyDescent="0.25">
      <c r="A17" t="s">
        <v>13</v>
      </c>
      <c r="C17" t="s">
        <v>12</v>
      </c>
    </row>
    <row r="18" spans="1:85" x14ac:dyDescent="0.25">
      <c r="A18" t="s">
        <v>0</v>
      </c>
      <c r="B18" t="s">
        <v>157</v>
      </c>
      <c r="C18">
        <f>50</f>
        <v>50</v>
      </c>
      <c r="D18">
        <f>100</f>
        <v>100</v>
      </c>
      <c r="E18">
        <f>200</f>
        <v>200</v>
      </c>
      <c r="F18">
        <f>300</f>
        <v>300</v>
      </c>
      <c r="G18">
        <f>400</f>
        <v>400</v>
      </c>
      <c r="H18">
        <f>500</f>
        <v>500</v>
      </c>
      <c r="I18">
        <f>600</f>
        <v>600</v>
      </c>
      <c r="J18">
        <f>700</f>
        <v>700</v>
      </c>
      <c r="K18">
        <f>800</f>
        <v>800</v>
      </c>
      <c r="L18">
        <f>900</f>
        <v>900</v>
      </c>
      <c r="M18">
        <f>1000</f>
        <v>1000</v>
      </c>
      <c r="N18">
        <v>1100</v>
      </c>
      <c r="O18">
        <v>1200</v>
      </c>
      <c r="P18">
        <v>1300</v>
      </c>
      <c r="Q18">
        <v>1400</v>
      </c>
      <c r="R18">
        <v>1500</v>
      </c>
      <c r="S18">
        <v>1600</v>
      </c>
      <c r="T18">
        <v>1700</v>
      </c>
      <c r="U18">
        <v>1800</v>
      </c>
      <c r="V18">
        <v>1900</v>
      </c>
      <c r="W18">
        <v>2000</v>
      </c>
      <c r="X18">
        <v>2100</v>
      </c>
      <c r="Y18">
        <v>2200</v>
      </c>
      <c r="Z18">
        <v>2300</v>
      </c>
      <c r="AA18">
        <v>2400</v>
      </c>
      <c r="AB18">
        <v>2500</v>
      </c>
      <c r="AC18">
        <v>2600</v>
      </c>
      <c r="AD18">
        <v>2700</v>
      </c>
      <c r="AE18">
        <v>2800</v>
      </c>
      <c r="AF18">
        <v>2900</v>
      </c>
      <c r="AG18">
        <v>3000</v>
      </c>
      <c r="AH18">
        <v>3100</v>
      </c>
      <c r="AI18">
        <v>3200</v>
      </c>
      <c r="AJ18">
        <v>3300</v>
      </c>
      <c r="AK18">
        <v>3400</v>
      </c>
      <c r="AL18">
        <v>3500</v>
      </c>
      <c r="AM18">
        <v>3600</v>
      </c>
      <c r="AN18">
        <v>3700</v>
      </c>
      <c r="AO18">
        <v>3800</v>
      </c>
      <c r="AP18">
        <v>3900</v>
      </c>
      <c r="AQ18">
        <v>4000</v>
      </c>
    </row>
    <row r="19" spans="1:85" s="9" customFormat="1" x14ac:dyDescent="0.25">
      <c r="A19" s="9" t="s">
        <v>1</v>
      </c>
      <c r="C19" s="9" t="s">
        <v>150</v>
      </c>
      <c r="D19" s="9">
        <v>0.27560000000000001</v>
      </c>
      <c r="E19" s="9">
        <f>D19+(G19-D19)/3</f>
        <v>0.39153333333333334</v>
      </c>
      <c r="F19" s="9">
        <f>E19+(G19-D19)/3</f>
        <v>0.50746666666666662</v>
      </c>
      <c r="G19" s="9">
        <v>0.62339999999999995</v>
      </c>
      <c r="H19" s="9">
        <f>G19+($M$19-$G$19)/6</f>
        <v>0.69448333333333334</v>
      </c>
      <c r="I19" s="9">
        <f t="shared" ref="I19:L19" si="0">H19+($M$19-$G$19)/6</f>
        <v>0.76556666666666673</v>
      </c>
      <c r="J19" s="9">
        <f t="shared" si="0"/>
        <v>0.83665000000000012</v>
      </c>
      <c r="K19" s="9">
        <f t="shared" si="0"/>
        <v>0.9077333333333335</v>
      </c>
      <c r="L19" s="9">
        <f t="shared" si="0"/>
        <v>0.97881666666666689</v>
      </c>
      <c r="M19" s="9">
        <v>1.0499000000000001</v>
      </c>
    </row>
    <row r="20" spans="1:85" x14ac:dyDescent="0.25">
      <c r="A20" s="7" t="s">
        <v>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85" x14ac:dyDescent="0.25">
      <c r="A21" s="7" t="s">
        <v>3</v>
      </c>
      <c r="B21" s="7"/>
      <c r="C21" s="7">
        <v>8.4000000000000005E-2</v>
      </c>
      <c r="D21" s="7">
        <v>0.115</v>
      </c>
      <c r="E21" s="7">
        <v>0.1681</v>
      </c>
      <c r="F21" s="7">
        <v>0.2029</v>
      </c>
      <c r="G21" s="7">
        <v>0.23760000000000001</v>
      </c>
      <c r="H21" s="7">
        <v>0.26719999999999999</v>
      </c>
      <c r="I21" s="7">
        <v>0.91669999999999996</v>
      </c>
      <c r="J21" s="7">
        <v>0.31609999999999999</v>
      </c>
      <c r="K21" s="7">
        <v>0.34060000000000001</v>
      </c>
      <c r="L21" s="7">
        <v>0.36499999999999999</v>
      </c>
      <c r="M21" s="7"/>
      <c r="N21" s="7"/>
      <c r="O21" s="7"/>
      <c r="P21" s="7"/>
      <c r="Q21" s="7"/>
      <c r="R21">
        <v>0.47699999999999998</v>
      </c>
      <c r="W21">
        <f>T5</f>
        <v>0.55399999999999994</v>
      </c>
      <c r="AB21">
        <f>W5</f>
        <v>0.624</v>
      </c>
    </row>
    <row r="22" spans="1:85" x14ac:dyDescent="0.25">
      <c r="A22" s="9" t="s">
        <v>4</v>
      </c>
      <c r="B22" s="9"/>
      <c r="C22" s="9" t="s">
        <v>150</v>
      </c>
      <c r="D22" s="9" t="s">
        <v>150</v>
      </c>
      <c r="E22" s="9" t="s">
        <v>150</v>
      </c>
      <c r="F22" s="9" t="s">
        <v>150</v>
      </c>
      <c r="G22" s="9" t="s">
        <v>150</v>
      </c>
      <c r="H22" s="9">
        <v>0.2611</v>
      </c>
      <c r="I22" s="9">
        <v>0.2833</v>
      </c>
      <c r="J22" s="9">
        <v>0.30559999999999998</v>
      </c>
      <c r="K22" s="9">
        <v>0.32779999999999998</v>
      </c>
      <c r="L22" s="9">
        <v>0.35</v>
      </c>
      <c r="M22" s="10">
        <f t="shared" ref="M22:V22" si="1">L22+($W$22-$L$22)/11</f>
        <v>0.36636363636363634</v>
      </c>
      <c r="N22" s="10">
        <f t="shared" si="1"/>
        <v>0.38272727272727269</v>
      </c>
      <c r="O22" s="10">
        <f t="shared" si="1"/>
        <v>0.39909090909090905</v>
      </c>
      <c r="P22" s="10">
        <f t="shared" si="1"/>
        <v>0.41545454545454541</v>
      </c>
      <c r="Q22" s="10">
        <f t="shared" si="1"/>
        <v>0.43181818181818177</v>
      </c>
      <c r="R22" s="10">
        <f t="shared" si="1"/>
        <v>0.44818181818181813</v>
      </c>
      <c r="S22" s="10">
        <f t="shared" si="1"/>
        <v>0.46454545454545448</v>
      </c>
      <c r="T22" s="10">
        <f t="shared" si="1"/>
        <v>0.48090909090909084</v>
      </c>
      <c r="U22" s="10">
        <f t="shared" si="1"/>
        <v>0.4972727272727272</v>
      </c>
      <c r="V22" s="10">
        <f t="shared" si="1"/>
        <v>0.51363636363636356</v>
      </c>
      <c r="W22" s="9">
        <f>0.53</f>
        <v>0.53</v>
      </c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</row>
    <row r="23" spans="1:85" x14ac:dyDescent="0.25">
      <c r="A23" s="9" t="s">
        <v>5</v>
      </c>
      <c r="B23" s="9"/>
      <c r="C23" s="9">
        <v>7.4999999999999997E-2</v>
      </c>
      <c r="D23" s="9">
        <v>0.10299999999999999</v>
      </c>
      <c r="E23" s="9">
        <v>0.151</v>
      </c>
      <c r="F23" s="9">
        <v>0.18179999999999999</v>
      </c>
      <c r="G23" s="9">
        <v>0.21260000000000001</v>
      </c>
      <c r="H23" s="9">
        <v>0.2389</v>
      </c>
      <c r="I23" s="9">
        <v>0.26067000000000001</v>
      </c>
      <c r="J23" s="9">
        <v>0.28239999999999998</v>
      </c>
      <c r="K23" s="9">
        <v>0.30420000000000003</v>
      </c>
      <c r="L23" s="9">
        <v>0.32600000000000001</v>
      </c>
      <c r="M23" s="9">
        <f>L23+($R$23-$L$23)/6</f>
        <v>0.34233333333333332</v>
      </c>
      <c r="N23" s="9">
        <f t="shared" ref="N23:Q23" si="2">M23+($R$23-$L$23)/6</f>
        <v>0.35866666666666663</v>
      </c>
      <c r="O23" s="9">
        <f t="shared" si="2"/>
        <v>0.37499999999999994</v>
      </c>
      <c r="P23" s="9">
        <f t="shared" si="2"/>
        <v>0.39133333333333326</v>
      </c>
      <c r="Q23" s="9">
        <f t="shared" si="2"/>
        <v>0.40766666666666657</v>
      </c>
      <c r="R23" s="9">
        <v>0.42399999999999999</v>
      </c>
      <c r="S23" s="9">
        <f>R23+($U$23-$R$23)/3</f>
        <v>0.438</v>
      </c>
      <c r="T23" s="9">
        <f>S23+($U$23-$R$23)/3</f>
        <v>0.45200000000000001</v>
      </c>
      <c r="U23" s="9">
        <v>0.46600000000000003</v>
      </c>
      <c r="V23" s="9">
        <f>U23+(W23-U23)/2</f>
        <v>0.47950000000000004</v>
      </c>
      <c r="W23" s="9">
        <v>0.49299999999999999</v>
      </c>
      <c r="X23" s="9">
        <f>W23+($AB$23-$W$23)/5</f>
        <v>0.50519999999999998</v>
      </c>
      <c r="Y23" s="9">
        <f t="shared" ref="Y23:AA23" si="3">X23+($AB$23-$W$23)/5</f>
        <v>0.51739999999999997</v>
      </c>
      <c r="Z23" s="9">
        <f t="shared" si="3"/>
        <v>0.52959999999999996</v>
      </c>
      <c r="AA23" s="9">
        <f t="shared" si="3"/>
        <v>0.54179999999999995</v>
      </c>
      <c r="AB23" s="9">
        <v>0.55400000000000005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</row>
    <row r="24" spans="1:85" x14ac:dyDescent="0.25">
      <c r="A24" s="9"/>
      <c r="B24" s="9"/>
      <c r="C24" s="9">
        <f>D25-C25</f>
        <v>1.0499999999999999E-2</v>
      </c>
      <c r="D24" s="9">
        <f t="shared" ref="D24:L24" si="4">E25-D25</f>
        <v>1.8360000000000001E-2</v>
      </c>
      <c r="E24" s="9">
        <f t="shared" si="4"/>
        <v>1.244E-2</v>
      </c>
      <c r="F24" s="9">
        <f t="shared" si="4"/>
        <v>1.2499999999999997E-2</v>
      </c>
      <c r="G24" s="9">
        <f t="shared" si="4"/>
        <v>1.0499999999999995E-2</v>
      </c>
      <c r="H24" s="9">
        <f t="shared" si="4"/>
        <v>8.6999999999999994E-3</v>
      </c>
      <c r="I24" s="9">
        <f t="shared" si="4"/>
        <v>8.7000000000000133E-3</v>
      </c>
      <c r="J24" s="9">
        <f t="shared" si="4"/>
        <v>8.5999999999999965E-3</v>
      </c>
      <c r="K24" s="9">
        <f t="shared" si="4"/>
        <v>8.6999999999999994E-3</v>
      </c>
      <c r="L24" s="9">
        <f t="shared" si="4"/>
        <v>6.6666666666666541E-3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</row>
    <row r="25" spans="1:85" x14ac:dyDescent="0.25">
      <c r="A25" s="9" t="s">
        <v>6</v>
      </c>
      <c r="B25" s="9"/>
      <c r="C25" s="9">
        <v>2.9000000000000001E-2</v>
      </c>
      <c r="D25" s="9">
        <v>3.95E-2</v>
      </c>
      <c r="E25" s="9">
        <v>5.7860000000000002E-2</v>
      </c>
      <c r="F25" s="9">
        <v>7.0300000000000001E-2</v>
      </c>
      <c r="G25" s="9">
        <v>8.2799999999999999E-2</v>
      </c>
      <c r="H25" s="9">
        <v>9.3299999999999994E-2</v>
      </c>
      <c r="I25" s="9">
        <v>0.10199999999999999</v>
      </c>
      <c r="J25" s="9">
        <v>0.11070000000000001</v>
      </c>
      <c r="K25" s="9">
        <v>0.1193</v>
      </c>
      <c r="L25" s="9">
        <v>0.128</v>
      </c>
      <c r="M25" s="9">
        <f>L25+($R$25-$L$25)/6</f>
        <v>0.13466666666666666</v>
      </c>
      <c r="N25" s="9">
        <f t="shared" ref="N25:Q25" si="5">M25+($R$25-$L$25)/6</f>
        <v>0.14133333333333331</v>
      </c>
      <c r="O25" s="9">
        <f t="shared" si="5"/>
        <v>0.14799999999999996</v>
      </c>
      <c r="P25" s="9">
        <f t="shared" si="5"/>
        <v>0.15466666666666662</v>
      </c>
      <c r="Q25" s="9">
        <f t="shared" si="5"/>
        <v>0.16133333333333327</v>
      </c>
      <c r="R25" s="9">
        <v>0.16800000000000001</v>
      </c>
      <c r="S25" s="9">
        <f>R25+($U$25-$R$25)/3</f>
        <v>0.17400000000000002</v>
      </c>
      <c r="T25" s="9">
        <f>S25+($U$25-$R$25)/3</f>
        <v>0.18000000000000002</v>
      </c>
      <c r="U25" s="9">
        <v>0.186</v>
      </c>
      <c r="V25" s="9">
        <f>U25+(W25-U25)/2</f>
        <v>0.191</v>
      </c>
      <c r="W25" s="9">
        <v>0.19600000000000001</v>
      </c>
      <c r="X25" s="9">
        <f>W25+($AB$25-$W$25)/5</f>
        <v>0.20120000000000002</v>
      </c>
      <c r="Y25" s="9">
        <f t="shared" ref="Y25:AA25" si="6">X25+($AB$25-$W$25)/5</f>
        <v>0.20640000000000003</v>
      </c>
      <c r="Z25" s="9">
        <f t="shared" si="6"/>
        <v>0.21160000000000004</v>
      </c>
      <c r="AA25" s="9">
        <f t="shared" si="6"/>
        <v>0.21680000000000005</v>
      </c>
      <c r="AB25" s="9">
        <v>0.222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</row>
    <row r="26" spans="1:85" s="9" customFormat="1" x14ac:dyDescent="0.25">
      <c r="A26" s="9" t="s">
        <v>7</v>
      </c>
      <c r="C26" s="9">
        <v>0.24610000000000001</v>
      </c>
      <c r="D26" s="9">
        <v>0.3609</v>
      </c>
      <c r="E26" s="9">
        <f>D26+($G$26-$D$26)/3</f>
        <v>0.47026666666666667</v>
      </c>
      <c r="F26" s="9">
        <f>E26+($G$26-$D$26)/3</f>
        <v>0.57963333333333333</v>
      </c>
      <c r="G26" s="9">
        <v>0.68899999999999995</v>
      </c>
      <c r="H26" s="9">
        <f>G26+($M$26-$G$26)/6</f>
        <v>0.89131666666666665</v>
      </c>
      <c r="I26" s="9">
        <f t="shared" ref="I26:L26" si="7">H26+($M$26-$G$26)/6</f>
        <v>1.0936333333333335</v>
      </c>
      <c r="J26" s="9">
        <f t="shared" si="7"/>
        <v>1.2959500000000002</v>
      </c>
      <c r="K26" s="9">
        <f t="shared" si="7"/>
        <v>1.4982666666666669</v>
      </c>
      <c r="L26" s="9">
        <f t="shared" si="7"/>
        <v>1.7005833333333336</v>
      </c>
      <c r="M26" s="9">
        <v>1.9029</v>
      </c>
    </row>
    <row r="27" spans="1:85" x14ac:dyDescent="0.25">
      <c r="A27" s="9" t="s">
        <v>8</v>
      </c>
      <c r="B27" s="9"/>
      <c r="C27" s="9" t="s">
        <v>150</v>
      </c>
      <c r="D27" s="9">
        <v>0.1608</v>
      </c>
      <c r="E27" s="9">
        <f>D27+($M$27-$D$27)/9</f>
        <v>0.21584444444444445</v>
      </c>
      <c r="F27" s="9">
        <f t="shared" ref="F27:L27" si="8">E27+($M$27-$D$27)/9</f>
        <v>0.2708888888888889</v>
      </c>
      <c r="G27" s="9">
        <f t="shared" si="8"/>
        <v>0.32593333333333335</v>
      </c>
      <c r="H27" s="9">
        <f t="shared" si="8"/>
        <v>0.3809777777777778</v>
      </c>
      <c r="I27" s="9">
        <f t="shared" si="8"/>
        <v>0.43602222222222226</v>
      </c>
      <c r="J27" s="9">
        <f t="shared" si="8"/>
        <v>0.49106666666666671</v>
      </c>
      <c r="K27" s="9">
        <f t="shared" si="8"/>
        <v>0.5461111111111111</v>
      </c>
      <c r="L27" s="9">
        <f t="shared" si="8"/>
        <v>0.60115555555555555</v>
      </c>
      <c r="M27" s="9">
        <v>0.65620000000000001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</row>
    <row r="28" spans="1:85" x14ac:dyDescent="0.25">
      <c r="A28" s="9" t="s">
        <v>9</v>
      </c>
      <c r="B28" s="9"/>
      <c r="C28" s="9">
        <v>6.9000000000000006E-2</v>
      </c>
      <c r="D28" s="9">
        <v>9.0999999999999998E-2</v>
      </c>
      <c r="E28" s="9">
        <f>D28+($G$28-$D$28)/3</f>
        <v>0.12066666666666666</v>
      </c>
      <c r="F28" s="9">
        <f>E28+($G$28-$D$28)/3</f>
        <v>0.15033333333333332</v>
      </c>
      <c r="G28" s="9">
        <v>0.18</v>
      </c>
      <c r="H28" s="9">
        <f>G28+($K$28-$G$28)/4</f>
        <v>0.20024999999999998</v>
      </c>
      <c r="I28" s="9">
        <f t="shared" ref="I28:J28" si="9">H28+($K$28-$G$28)/4</f>
        <v>0.22049999999999997</v>
      </c>
      <c r="J28" s="9">
        <f t="shared" si="9"/>
        <v>0.24074999999999996</v>
      </c>
      <c r="K28" s="9">
        <v>0.26100000000000001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x14ac:dyDescent="0.25">
      <c r="A29" s="9" t="s">
        <v>10</v>
      </c>
      <c r="B29" s="9"/>
      <c r="C29" s="9" t="s">
        <v>150</v>
      </c>
      <c r="D29" s="9">
        <v>0.6371</v>
      </c>
      <c r="E29" s="9">
        <v>0.65500000000000003</v>
      </c>
      <c r="F29" s="9">
        <v>0.67290000000000005</v>
      </c>
      <c r="G29" s="9">
        <v>0.69069999999999998</v>
      </c>
      <c r="H29" s="9">
        <v>0.70860000000000001</v>
      </c>
      <c r="I29" s="9">
        <v>0.72640000000000005</v>
      </c>
      <c r="J29" s="9">
        <v>0.74429999999999996</v>
      </c>
      <c r="K29" s="9">
        <v>0.7621</v>
      </c>
      <c r="L29" s="9">
        <v>0.78</v>
      </c>
      <c r="M29" s="9">
        <f>L29+($O$29-$L$29)/3</f>
        <v>0.82666666666666666</v>
      </c>
      <c r="N29" s="9">
        <f>M29+($O$29-$L$29)/3</f>
        <v>0.87333333333333329</v>
      </c>
      <c r="O29" s="9">
        <v>0.92</v>
      </c>
      <c r="P29" s="9">
        <f>O29+($R$29-$O$29)/3</f>
        <v>0.96000000000000008</v>
      </c>
      <c r="Q29" s="9">
        <f>P29+($R$29-$O$29)/3</f>
        <v>1</v>
      </c>
      <c r="R29" s="9">
        <v>1.04</v>
      </c>
      <c r="S29" s="9">
        <f>R29+($U$29-$R$29)/3</f>
        <v>1.0733333333333333</v>
      </c>
      <c r="T29" s="9">
        <f>S29+($U$29-$R$29)/3</f>
        <v>1.1066666666666665</v>
      </c>
      <c r="U29" s="9">
        <v>1.1399999999999999</v>
      </c>
      <c r="V29" s="9">
        <f>U29+($X$29-$U$29)/3</f>
        <v>1.1766666666666665</v>
      </c>
      <c r="W29" s="9">
        <f>V29+($X$29-$U$29)/3</f>
        <v>1.2133333333333332</v>
      </c>
      <c r="X29" s="9">
        <v>1.25</v>
      </c>
      <c r="Y29" s="9">
        <f>X29+($AA$29-$X$29)/3</f>
        <v>1.28</v>
      </c>
      <c r="Z29" s="9">
        <f>Y29+($AA$29-$X$29)/3</f>
        <v>1.31</v>
      </c>
      <c r="AA29" s="9">
        <v>1.34</v>
      </c>
      <c r="AB29" s="9">
        <f>AA29+($AD$29-$AA$29)/3</f>
        <v>1.37</v>
      </c>
      <c r="AC29" s="9">
        <f>AB29+($AD$29-$AA$29)/3</f>
        <v>1.4000000000000001</v>
      </c>
      <c r="AD29" s="9">
        <v>1.43</v>
      </c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x14ac:dyDescent="0.25">
      <c r="A30" t="s">
        <v>11</v>
      </c>
      <c r="C30" t="s">
        <v>150</v>
      </c>
      <c r="D30">
        <v>0.48899999999999999</v>
      </c>
      <c r="E30">
        <v>0.69240000000000002</v>
      </c>
      <c r="F30">
        <v>0.86719999999999997</v>
      </c>
      <c r="G30">
        <v>1.042</v>
      </c>
    </row>
    <row r="33" spans="3:17" x14ac:dyDescent="0.25">
      <c r="C33">
        <v>450</v>
      </c>
      <c r="D33">
        <v>500</v>
      </c>
      <c r="E33">
        <v>550</v>
      </c>
      <c r="F33">
        <v>600</v>
      </c>
      <c r="G33">
        <v>650</v>
      </c>
      <c r="H33">
        <v>700</v>
      </c>
      <c r="I33">
        <v>750</v>
      </c>
      <c r="J33">
        <v>800</v>
      </c>
      <c r="K33">
        <v>850</v>
      </c>
      <c r="L33">
        <v>900</v>
      </c>
    </row>
    <row r="34" spans="3:17" x14ac:dyDescent="0.25">
      <c r="C34">
        <v>0.25</v>
      </c>
      <c r="D34">
        <f>C34+($L$34-$C$34)/9</f>
        <v>0.26111111111111113</v>
      </c>
      <c r="E34">
        <f t="shared" ref="E34:K34" si="10">D34+($L$34-$C$34)/9</f>
        <v>0.27222222222222225</v>
      </c>
      <c r="F34">
        <f t="shared" si="10"/>
        <v>0.28333333333333338</v>
      </c>
      <c r="G34">
        <f t="shared" si="10"/>
        <v>0.29444444444444451</v>
      </c>
      <c r="H34">
        <f t="shared" si="10"/>
        <v>0.30555555555555564</v>
      </c>
      <c r="I34">
        <f t="shared" si="10"/>
        <v>0.31666666666666676</v>
      </c>
      <c r="J34">
        <f t="shared" si="10"/>
        <v>0.32777777777777789</v>
      </c>
      <c r="K34">
        <f t="shared" si="10"/>
        <v>0.33888888888888902</v>
      </c>
      <c r="L34">
        <v>0.35</v>
      </c>
    </row>
    <row r="35" spans="3:17" x14ac:dyDescent="0.25">
      <c r="C35">
        <f>D34-C34</f>
        <v>1.1111111111111127E-2</v>
      </c>
      <c r="D35">
        <f t="shared" ref="D35:K35" si="11">E34-D34</f>
        <v>1.1111111111111127E-2</v>
      </c>
      <c r="E35">
        <f t="shared" si="11"/>
        <v>1.1111111111111127E-2</v>
      </c>
      <c r="F35">
        <f t="shared" si="11"/>
        <v>1.1111111111111127E-2</v>
      </c>
      <c r="G35">
        <f t="shared" si="11"/>
        <v>1.1111111111111127E-2</v>
      </c>
      <c r="H35">
        <f t="shared" si="11"/>
        <v>1.1111111111111127E-2</v>
      </c>
      <c r="I35">
        <f t="shared" si="11"/>
        <v>1.1111111111111127E-2</v>
      </c>
      <c r="J35">
        <f t="shared" si="11"/>
        <v>1.1111111111111127E-2</v>
      </c>
      <c r="K35">
        <f t="shared" si="11"/>
        <v>1.1111111111110961E-2</v>
      </c>
    </row>
    <row r="36" spans="3:17" x14ac:dyDescent="0.25">
      <c r="D36">
        <v>50</v>
      </c>
      <c r="E36">
        <v>100</v>
      </c>
      <c r="F36">
        <v>150</v>
      </c>
      <c r="G36">
        <v>200</v>
      </c>
      <c r="H36">
        <v>250</v>
      </c>
      <c r="I36">
        <v>300</v>
      </c>
      <c r="J36">
        <v>350</v>
      </c>
      <c r="K36">
        <v>400</v>
      </c>
      <c r="L36">
        <v>450</v>
      </c>
      <c r="M36">
        <v>500</v>
      </c>
    </row>
    <row r="37" spans="3:17" x14ac:dyDescent="0.25">
      <c r="D37">
        <v>8.4000000000000005E-2</v>
      </c>
      <c r="E37">
        <f>D37+(F37-D37)/2</f>
        <v>0.11499999999999999</v>
      </c>
      <c r="F37">
        <v>0.14599999999999999</v>
      </c>
      <c r="G37">
        <f>F37+($L$37-$F$37)/6</f>
        <v>0.16416666666666666</v>
      </c>
      <c r="H37">
        <f>G37+($L$37-$F$37)/6</f>
        <v>0.18233333333333332</v>
      </c>
      <c r="I37">
        <f>H37+($L$37-$F$37)/6</f>
        <v>0.20049999999999998</v>
      </c>
      <c r="J37">
        <f>I37+($L$37-$F$37)/6</f>
        <v>0.21866666666666665</v>
      </c>
      <c r="K37">
        <f>J37+($L$37-$F$37)/6</f>
        <v>0.23683333333333331</v>
      </c>
      <c r="L37">
        <v>0.255</v>
      </c>
    </row>
    <row r="38" spans="3:17" x14ac:dyDescent="0.25">
      <c r="D38">
        <f>E37-D37</f>
        <v>3.0999999999999986E-2</v>
      </c>
      <c r="E38">
        <f t="shared" ref="E38:L38" si="12">F37-E37</f>
        <v>3.1E-2</v>
      </c>
      <c r="F38">
        <f t="shared" si="12"/>
        <v>1.8166666666666664E-2</v>
      </c>
      <c r="G38">
        <f t="shared" si="12"/>
        <v>1.8166666666666664E-2</v>
      </c>
      <c r="H38">
        <f t="shared" si="12"/>
        <v>1.8166666666666664E-2</v>
      </c>
      <c r="I38">
        <f t="shared" si="12"/>
        <v>1.8166666666666664E-2</v>
      </c>
      <c r="J38">
        <f t="shared" si="12"/>
        <v>1.8166666666666664E-2</v>
      </c>
      <c r="K38">
        <f t="shared" si="12"/>
        <v>1.8166666666666692E-2</v>
      </c>
      <c r="L38">
        <f t="shared" si="12"/>
        <v>-0.255</v>
      </c>
    </row>
    <row r="39" spans="3:17" x14ac:dyDescent="0.25">
      <c r="C39">
        <v>450</v>
      </c>
      <c r="D39">
        <v>500</v>
      </c>
      <c r="E39">
        <v>550</v>
      </c>
      <c r="F39">
        <v>600</v>
      </c>
      <c r="G39">
        <v>650</v>
      </c>
      <c r="H39">
        <v>700</v>
      </c>
      <c r="I39">
        <v>750</v>
      </c>
      <c r="J39">
        <v>800</v>
      </c>
      <c r="K39">
        <v>850</v>
      </c>
      <c r="L39">
        <v>900</v>
      </c>
    </row>
    <row r="40" spans="3:17" x14ac:dyDescent="0.25">
      <c r="C40">
        <v>0.255</v>
      </c>
      <c r="D40">
        <f t="shared" ref="D40:L40" si="13">C40+($L$21-$C$40)/8</f>
        <v>0.26874999999999999</v>
      </c>
      <c r="E40">
        <f t="shared" si="13"/>
        <v>0.28249999999999997</v>
      </c>
      <c r="F40">
        <f t="shared" si="13"/>
        <v>0.29624999999999996</v>
      </c>
      <c r="G40">
        <f t="shared" si="13"/>
        <v>0.30999999999999994</v>
      </c>
      <c r="H40">
        <f t="shared" si="13"/>
        <v>0.32374999999999993</v>
      </c>
      <c r="I40">
        <f t="shared" si="13"/>
        <v>0.33749999999999991</v>
      </c>
      <c r="J40">
        <f t="shared" si="13"/>
        <v>0.3512499999999999</v>
      </c>
      <c r="K40">
        <f t="shared" si="13"/>
        <v>0.36499999999999988</v>
      </c>
      <c r="L40">
        <f t="shared" si="13"/>
        <v>0.37874999999999986</v>
      </c>
    </row>
    <row r="42" spans="3:17" x14ac:dyDescent="0.25">
      <c r="C42">
        <v>50</v>
      </c>
      <c r="D42">
        <v>100</v>
      </c>
      <c r="E42">
        <v>150</v>
      </c>
      <c r="F42">
        <v>160</v>
      </c>
      <c r="G42">
        <v>170</v>
      </c>
      <c r="H42">
        <v>180</v>
      </c>
      <c r="I42">
        <v>190</v>
      </c>
      <c r="J42">
        <v>200</v>
      </c>
      <c r="K42">
        <v>210</v>
      </c>
      <c r="L42">
        <v>220</v>
      </c>
    </row>
    <row r="43" spans="3:17" x14ac:dyDescent="0.25">
      <c r="C43">
        <v>8.4000000000000005E-2</v>
      </c>
      <c r="D43">
        <f>C43+(E43-C43)/2</f>
        <v>0.11499999999999999</v>
      </c>
      <c r="E43">
        <v>0.14599999999999999</v>
      </c>
      <c r="F43">
        <f>E43+($L$43-$E$43)/7</f>
        <v>0.15042857142857141</v>
      </c>
      <c r="G43">
        <f t="shared" ref="G43:K43" si="14">F43+($L$43-$E$43)/7</f>
        <v>0.15485714285714283</v>
      </c>
      <c r="H43">
        <f t="shared" si="14"/>
        <v>0.15928571428571425</v>
      </c>
      <c r="I43">
        <f t="shared" si="14"/>
        <v>0.16371428571428567</v>
      </c>
      <c r="J43">
        <f t="shared" si="14"/>
        <v>0.16814285714285709</v>
      </c>
      <c r="K43">
        <f t="shared" si="14"/>
        <v>0.17257142857142851</v>
      </c>
      <c r="L43">
        <v>0.17699999999999999</v>
      </c>
    </row>
    <row r="44" spans="3:17" x14ac:dyDescent="0.25">
      <c r="E44">
        <v>0.14599999999999999</v>
      </c>
    </row>
    <row r="45" spans="3:17" x14ac:dyDescent="0.25">
      <c r="C45">
        <v>200</v>
      </c>
      <c r="D45">
        <v>250</v>
      </c>
      <c r="E45">
        <v>300</v>
      </c>
      <c r="F45">
        <v>350</v>
      </c>
      <c r="G45">
        <v>400</v>
      </c>
      <c r="H45">
        <v>450</v>
      </c>
      <c r="I45">
        <v>500</v>
      </c>
      <c r="J45">
        <v>550</v>
      </c>
      <c r="K45">
        <v>600</v>
      </c>
      <c r="L45">
        <v>650</v>
      </c>
      <c r="M45">
        <v>700</v>
      </c>
      <c r="N45">
        <v>750</v>
      </c>
      <c r="O45">
        <v>800</v>
      </c>
      <c r="P45">
        <v>850</v>
      </c>
      <c r="Q45">
        <v>900</v>
      </c>
    </row>
    <row r="46" spans="3:17" x14ac:dyDescent="0.25">
      <c r="C46">
        <v>0.16814299999999999</v>
      </c>
      <c r="D46">
        <f>C46+($H$46-$C$46)/5</f>
        <v>0.1855144</v>
      </c>
      <c r="E46">
        <f t="shared" ref="E46:G46" si="15">D46+($H$46-$C$46)/5</f>
        <v>0.20288580000000001</v>
      </c>
      <c r="F46">
        <f t="shared" si="15"/>
        <v>0.22025720000000001</v>
      </c>
      <c r="G46">
        <f t="shared" si="15"/>
        <v>0.23762860000000002</v>
      </c>
      <c r="H46">
        <v>0.255</v>
      </c>
      <c r="I46">
        <f>H46+($Q$46-$H$46)/9</f>
        <v>0.26722222222222225</v>
      </c>
      <c r="J46">
        <f t="shared" ref="J46:P46" si="16">I46+($Q$46-$H$46)/9</f>
        <v>0.2794444444444445</v>
      </c>
      <c r="K46">
        <f t="shared" si="16"/>
        <v>0.29166666666666674</v>
      </c>
      <c r="L46">
        <f t="shared" si="16"/>
        <v>0.30388888888888899</v>
      </c>
      <c r="M46">
        <f t="shared" si="16"/>
        <v>0.31611111111111123</v>
      </c>
      <c r="N46">
        <f t="shared" si="16"/>
        <v>0.32833333333333348</v>
      </c>
      <c r="O46">
        <f t="shared" si="16"/>
        <v>0.34055555555555572</v>
      </c>
      <c r="P46">
        <f t="shared" si="16"/>
        <v>0.35277777777777797</v>
      </c>
      <c r="Q46">
        <v>0.36499999999999999</v>
      </c>
    </row>
    <row r="47" spans="3:17" x14ac:dyDescent="0.25">
      <c r="C47">
        <f>D46-C46</f>
        <v>1.7371400000000009E-2</v>
      </c>
      <c r="D47">
        <f t="shared" ref="D47:G47" si="17">E46-D46</f>
        <v>1.7371400000000009E-2</v>
      </c>
      <c r="E47">
        <f t="shared" si="17"/>
        <v>1.7371400000000009E-2</v>
      </c>
      <c r="F47">
        <f t="shared" si="17"/>
        <v>1.7371400000000009E-2</v>
      </c>
      <c r="G47">
        <f t="shared" si="17"/>
        <v>1.7371399999999981E-2</v>
      </c>
      <c r="H47">
        <f>I46-H46</f>
        <v>1.2222222222222245E-2</v>
      </c>
      <c r="I47">
        <f>I46-H46</f>
        <v>1.2222222222222245E-2</v>
      </c>
      <c r="J47">
        <f t="shared" ref="J47:Q47" si="18">J46-I46</f>
        <v>1.2222222222222245E-2</v>
      </c>
      <c r="K47">
        <f t="shared" si="18"/>
        <v>1.2222222222222245E-2</v>
      </c>
      <c r="L47">
        <f t="shared" si="18"/>
        <v>1.2222222222222245E-2</v>
      </c>
      <c r="M47">
        <f t="shared" si="18"/>
        <v>1.2222222222222245E-2</v>
      </c>
      <c r="N47">
        <f t="shared" si="18"/>
        <v>1.2222222222222245E-2</v>
      </c>
      <c r="O47">
        <f t="shared" si="18"/>
        <v>1.2222222222222245E-2</v>
      </c>
      <c r="P47">
        <f t="shared" si="18"/>
        <v>1.2222222222222245E-2</v>
      </c>
      <c r="Q47">
        <f t="shared" si="18"/>
        <v>1.2222222222222023E-2</v>
      </c>
    </row>
    <row r="49" spans="3:45" x14ac:dyDescent="0.25">
      <c r="C49">
        <v>60</v>
      </c>
      <c r="D49">
        <v>130</v>
      </c>
      <c r="E49">
        <v>200</v>
      </c>
      <c r="F49">
        <v>270</v>
      </c>
      <c r="G49">
        <v>340</v>
      </c>
      <c r="H49">
        <v>410</v>
      </c>
      <c r="I49">
        <v>480</v>
      </c>
      <c r="J49">
        <v>550</v>
      </c>
      <c r="K49">
        <v>620</v>
      </c>
      <c r="L49">
        <v>690</v>
      </c>
      <c r="M49">
        <v>760</v>
      </c>
      <c r="N49">
        <v>830</v>
      </c>
      <c r="O49">
        <v>900</v>
      </c>
    </row>
    <row r="51" spans="3:45" x14ac:dyDescent="0.25">
      <c r="C51">
        <v>60</v>
      </c>
      <c r="D51">
        <v>80</v>
      </c>
      <c r="E51">
        <v>100</v>
      </c>
      <c r="F51">
        <v>120</v>
      </c>
      <c r="G51">
        <f>F51+20</f>
        <v>140</v>
      </c>
      <c r="H51">
        <f t="shared" ref="H51:AS51" si="19">G51+20</f>
        <v>160</v>
      </c>
      <c r="I51">
        <f t="shared" si="19"/>
        <v>180</v>
      </c>
      <c r="J51">
        <f t="shared" si="19"/>
        <v>200</v>
      </c>
      <c r="K51">
        <f t="shared" si="19"/>
        <v>220</v>
      </c>
      <c r="L51">
        <f t="shared" si="19"/>
        <v>240</v>
      </c>
      <c r="M51">
        <f t="shared" si="19"/>
        <v>260</v>
      </c>
      <c r="N51">
        <f t="shared" si="19"/>
        <v>280</v>
      </c>
      <c r="O51">
        <f t="shared" si="19"/>
        <v>300</v>
      </c>
      <c r="P51">
        <f t="shared" si="19"/>
        <v>320</v>
      </c>
      <c r="Q51">
        <f t="shared" si="19"/>
        <v>340</v>
      </c>
      <c r="R51">
        <f t="shared" si="19"/>
        <v>360</v>
      </c>
      <c r="S51">
        <f t="shared" si="19"/>
        <v>380</v>
      </c>
      <c r="T51">
        <f t="shared" si="19"/>
        <v>400</v>
      </c>
      <c r="U51">
        <f t="shared" si="19"/>
        <v>420</v>
      </c>
      <c r="V51">
        <f t="shared" si="19"/>
        <v>440</v>
      </c>
      <c r="W51">
        <f t="shared" si="19"/>
        <v>460</v>
      </c>
      <c r="X51">
        <f t="shared" si="19"/>
        <v>480</v>
      </c>
      <c r="Y51">
        <f t="shared" si="19"/>
        <v>500</v>
      </c>
      <c r="Z51">
        <f t="shared" si="19"/>
        <v>520</v>
      </c>
      <c r="AA51">
        <f t="shared" si="19"/>
        <v>540</v>
      </c>
      <c r="AB51">
        <f t="shared" si="19"/>
        <v>560</v>
      </c>
      <c r="AC51">
        <f t="shared" si="19"/>
        <v>580</v>
      </c>
      <c r="AD51">
        <f t="shared" si="19"/>
        <v>600</v>
      </c>
      <c r="AE51">
        <f t="shared" si="19"/>
        <v>620</v>
      </c>
      <c r="AF51">
        <f t="shared" si="19"/>
        <v>640</v>
      </c>
      <c r="AG51">
        <f t="shared" si="19"/>
        <v>660</v>
      </c>
      <c r="AH51">
        <f t="shared" si="19"/>
        <v>680</v>
      </c>
      <c r="AI51">
        <f t="shared" si="19"/>
        <v>700</v>
      </c>
      <c r="AJ51">
        <f>AI51+20</f>
        <v>720</v>
      </c>
      <c r="AK51">
        <f t="shared" si="19"/>
        <v>740</v>
      </c>
      <c r="AL51">
        <f t="shared" si="19"/>
        <v>760</v>
      </c>
      <c r="AM51">
        <f t="shared" si="19"/>
        <v>780</v>
      </c>
      <c r="AN51">
        <f t="shared" si="19"/>
        <v>800</v>
      </c>
      <c r="AO51">
        <f t="shared" si="19"/>
        <v>820</v>
      </c>
      <c r="AP51">
        <f t="shared" si="19"/>
        <v>840</v>
      </c>
      <c r="AQ51">
        <f t="shared" si="19"/>
        <v>860</v>
      </c>
      <c r="AR51">
        <f t="shared" si="19"/>
        <v>880</v>
      </c>
      <c r="AS51">
        <f t="shared" si="19"/>
        <v>900</v>
      </c>
    </row>
    <row r="52" spans="3:45" x14ac:dyDescent="0.25">
      <c r="C52">
        <v>0.63</v>
      </c>
      <c r="D52">
        <f>C52+($AS$52-$C$52)/42</f>
        <v>0.63357142857142856</v>
      </c>
      <c r="E52">
        <f t="shared" ref="E52:AR52" si="20">D52+($AS$52-$C$52)/42</f>
        <v>0.63714285714285712</v>
      </c>
      <c r="F52">
        <f t="shared" si="20"/>
        <v>0.64071428571428568</v>
      </c>
      <c r="G52">
        <f t="shared" si="20"/>
        <v>0.64428571428571424</v>
      </c>
      <c r="H52">
        <f t="shared" si="20"/>
        <v>0.6478571428571428</v>
      </c>
      <c r="I52">
        <f t="shared" si="20"/>
        <v>0.65142857142857136</v>
      </c>
      <c r="J52">
        <f t="shared" si="20"/>
        <v>0.65499999999999992</v>
      </c>
      <c r="K52">
        <f t="shared" si="20"/>
        <v>0.65857142857142847</v>
      </c>
      <c r="L52">
        <f t="shared" si="20"/>
        <v>0.66214285714285703</v>
      </c>
      <c r="M52">
        <f t="shared" si="20"/>
        <v>0.66571428571428559</v>
      </c>
      <c r="N52">
        <f t="shared" si="20"/>
        <v>0.66928571428571415</v>
      </c>
      <c r="O52">
        <f t="shared" si="20"/>
        <v>0.67285714285714271</v>
      </c>
      <c r="P52">
        <f t="shared" si="20"/>
        <v>0.67642857142857127</v>
      </c>
      <c r="Q52">
        <f t="shared" si="20"/>
        <v>0.67999999999999983</v>
      </c>
      <c r="R52">
        <f t="shared" si="20"/>
        <v>0.68357142857142839</v>
      </c>
      <c r="S52">
        <f t="shared" si="20"/>
        <v>0.68714285714285694</v>
      </c>
      <c r="T52">
        <f t="shared" si="20"/>
        <v>0.6907142857142855</v>
      </c>
      <c r="U52">
        <f t="shared" si="20"/>
        <v>0.69428571428571406</v>
      </c>
      <c r="V52">
        <f t="shared" si="20"/>
        <v>0.69785714285714262</v>
      </c>
      <c r="W52">
        <f t="shared" si="20"/>
        <v>0.70142857142857118</v>
      </c>
      <c r="X52">
        <f t="shared" si="20"/>
        <v>0.70499999999999974</v>
      </c>
      <c r="Y52">
        <f t="shared" si="20"/>
        <v>0.7085714285714283</v>
      </c>
      <c r="Z52">
        <f t="shared" si="20"/>
        <v>0.71214285714285686</v>
      </c>
      <c r="AA52">
        <f t="shared" si="20"/>
        <v>0.71571428571428541</v>
      </c>
      <c r="AB52">
        <f t="shared" si="20"/>
        <v>0.71928571428571397</v>
      </c>
      <c r="AC52">
        <f t="shared" si="20"/>
        <v>0.72285714285714253</v>
      </c>
      <c r="AD52">
        <f t="shared" si="20"/>
        <v>0.72642857142857109</v>
      </c>
      <c r="AE52">
        <f t="shared" si="20"/>
        <v>0.72999999999999965</v>
      </c>
      <c r="AF52">
        <f t="shared" si="20"/>
        <v>0.73357142857142821</v>
      </c>
      <c r="AG52">
        <f t="shared" si="20"/>
        <v>0.73714285714285677</v>
      </c>
      <c r="AH52">
        <f t="shared" si="20"/>
        <v>0.74071428571428533</v>
      </c>
      <c r="AI52">
        <f t="shared" si="20"/>
        <v>0.74428571428571388</v>
      </c>
      <c r="AJ52">
        <f t="shared" si="20"/>
        <v>0.74785714285714244</v>
      </c>
      <c r="AK52">
        <f t="shared" si="20"/>
        <v>0.751428571428571</v>
      </c>
      <c r="AL52">
        <f t="shared" si="20"/>
        <v>0.75499999999999956</v>
      </c>
      <c r="AM52">
        <f t="shared" si="20"/>
        <v>0.75857142857142812</v>
      </c>
      <c r="AN52">
        <f t="shared" si="20"/>
        <v>0.76214285714285668</v>
      </c>
      <c r="AO52">
        <f t="shared" si="20"/>
        <v>0.76571428571428524</v>
      </c>
      <c r="AP52">
        <f t="shared" si="20"/>
        <v>0.7692857142857138</v>
      </c>
      <c r="AQ52">
        <f t="shared" si="20"/>
        <v>0.77285714285714235</v>
      </c>
      <c r="AR52">
        <f t="shared" si="20"/>
        <v>0.77642857142857091</v>
      </c>
      <c r="AS52">
        <v>0.78</v>
      </c>
    </row>
    <row r="53" spans="3:45" x14ac:dyDescent="0.25">
      <c r="C53">
        <f>D52-C52</f>
        <v>3.5714285714285587E-3</v>
      </c>
      <c r="D53">
        <f t="shared" ref="D53:AS53" si="21">E52-D52</f>
        <v>3.5714285714285587E-3</v>
      </c>
      <c r="E53">
        <f t="shared" si="21"/>
        <v>3.5714285714285587E-3</v>
      </c>
      <c r="F53">
        <f t="shared" si="21"/>
        <v>3.5714285714285587E-3</v>
      </c>
      <c r="G53">
        <f t="shared" si="21"/>
        <v>3.5714285714285587E-3</v>
      </c>
      <c r="H53">
        <f t="shared" si="21"/>
        <v>3.5714285714285587E-3</v>
      </c>
      <c r="I53">
        <f t="shared" si="21"/>
        <v>3.5714285714285587E-3</v>
      </c>
      <c r="J53">
        <f t="shared" si="21"/>
        <v>3.5714285714285587E-3</v>
      </c>
      <c r="K53">
        <f t="shared" si="21"/>
        <v>3.5714285714285587E-3</v>
      </c>
      <c r="L53">
        <f t="shared" si="21"/>
        <v>3.5714285714285587E-3</v>
      </c>
      <c r="M53">
        <f t="shared" si="21"/>
        <v>3.5714285714285587E-3</v>
      </c>
      <c r="N53">
        <f t="shared" si="21"/>
        <v>3.5714285714285587E-3</v>
      </c>
      <c r="O53">
        <f t="shared" si="21"/>
        <v>3.5714285714285587E-3</v>
      </c>
      <c r="P53">
        <f t="shared" si="21"/>
        <v>3.5714285714285587E-3</v>
      </c>
      <c r="Q53">
        <f t="shared" si="21"/>
        <v>3.5714285714285587E-3</v>
      </c>
      <c r="R53">
        <f t="shared" si="21"/>
        <v>3.5714285714285587E-3</v>
      </c>
      <c r="S53">
        <f t="shared" si="21"/>
        <v>3.5714285714285587E-3</v>
      </c>
      <c r="T53">
        <f t="shared" si="21"/>
        <v>3.5714285714285587E-3</v>
      </c>
      <c r="U53">
        <f t="shared" si="21"/>
        <v>3.5714285714285587E-3</v>
      </c>
      <c r="V53">
        <f t="shared" si="21"/>
        <v>3.5714285714285587E-3</v>
      </c>
      <c r="W53">
        <f t="shared" si="21"/>
        <v>3.5714285714285587E-3</v>
      </c>
      <c r="X53">
        <f t="shared" si="21"/>
        <v>3.5714285714285587E-3</v>
      </c>
      <c r="Y53">
        <f t="shared" si="21"/>
        <v>3.5714285714285587E-3</v>
      </c>
      <c r="Z53">
        <f t="shared" si="21"/>
        <v>3.5714285714285587E-3</v>
      </c>
      <c r="AA53">
        <f t="shared" si="21"/>
        <v>3.5714285714285587E-3</v>
      </c>
      <c r="AB53">
        <f t="shared" si="21"/>
        <v>3.5714285714285587E-3</v>
      </c>
      <c r="AC53">
        <f t="shared" si="21"/>
        <v>3.5714285714285587E-3</v>
      </c>
      <c r="AD53">
        <f t="shared" si="21"/>
        <v>3.5714285714285587E-3</v>
      </c>
      <c r="AE53">
        <f t="shared" si="21"/>
        <v>3.5714285714285587E-3</v>
      </c>
      <c r="AF53">
        <f t="shared" si="21"/>
        <v>3.5714285714285587E-3</v>
      </c>
      <c r="AG53">
        <f t="shared" si="21"/>
        <v>3.5714285714285587E-3</v>
      </c>
      <c r="AH53">
        <f t="shared" si="21"/>
        <v>3.5714285714285587E-3</v>
      </c>
      <c r="AI53">
        <f t="shared" si="21"/>
        <v>3.5714285714285587E-3</v>
      </c>
      <c r="AJ53">
        <f t="shared" si="21"/>
        <v>3.5714285714285587E-3</v>
      </c>
      <c r="AK53">
        <f t="shared" si="21"/>
        <v>3.5714285714285587E-3</v>
      </c>
      <c r="AL53">
        <f t="shared" si="21"/>
        <v>3.5714285714285587E-3</v>
      </c>
      <c r="AM53">
        <f t="shared" si="21"/>
        <v>3.5714285714285587E-3</v>
      </c>
      <c r="AN53">
        <f t="shared" si="21"/>
        <v>3.5714285714285587E-3</v>
      </c>
      <c r="AO53">
        <f t="shared" si="21"/>
        <v>3.5714285714285587E-3</v>
      </c>
      <c r="AP53">
        <f t="shared" si="21"/>
        <v>3.5714285714285587E-3</v>
      </c>
      <c r="AQ53">
        <f t="shared" si="21"/>
        <v>3.5714285714285587E-3</v>
      </c>
      <c r="AR53">
        <f t="shared" si="21"/>
        <v>3.5714285714291139E-3</v>
      </c>
      <c r="AS53">
        <f t="shared" si="21"/>
        <v>-0.78</v>
      </c>
    </row>
  </sheetData>
  <mergeCells count="1">
    <mergeCell ref="E1:A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B1" workbookViewId="0">
      <selection activeCell="B18" sqref="B18"/>
    </sheetView>
  </sheetViews>
  <sheetFormatPr defaultRowHeight="15" x14ac:dyDescent="0.25"/>
  <cols>
    <col min="1" max="1" width="21.140625" customWidth="1"/>
    <col min="2" max="2" width="19.5703125" customWidth="1"/>
    <col min="3" max="3" width="9.85546875" customWidth="1"/>
    <col min="4" max="4" width="27.28515625" customWidth="1"/>
    <col min="5" max="5" width="26.7109375" customWidth="1"/>
    <col min="6" max="6" width="9" customWidth="1"/>
    <col min="7" max="7" width="18.42578125" customWidth="1"/>
    <col min="8" max="8" width="13.140625" customWidth="1"/>
    <col min="9" max="9" width="10.5703125" customWidth="1"/>
    <col min="10" max="10" width="11.28515625" customWidth="1"/>
  </cols>
  <sheetData>
    <row r="1" spans="1:14" x14ac:dyDescent="0.25">
      <c r="B1" s="16" t="s">
        <v>15</v>
      </c>
      <c r="C1" s="16"/>
      <c r="D1" s="16"/>
      <c r="E1" s="16"/>
      <c r="F1" s="16"/>
      <c r="G1" s="16"/>
      <c r="H1" s="16" t="s">
        <v>148</v>
      </c>
      <c r="I1" s="16"/>
      <c r="J1" s="1"/>
      <c r="K1" s="1"/>
      <c r="L1" s="1"/>
      <c r="M1" s="1"/>
      <c r="N1" s="1"/>
    </row>
    <row r="2" spans="1:14" x14ac:dyDescent="0.25">
      <c r="A2" t="s">
        <v>0</v>
      </c>
      <c r="B2" t="s">
        <v>151</v>
      </c>
      <c r="C2" t="s">
        <v>146</v>
      </c>
      <c r="D2" t="s">
        <v>152</v>
      </c>
      <c r="E2" t="s">
        <v>153</v>
      </c>
      <c r="F2" t="s">
        <v>14</v>
      </c>
      <c r="G2" t="s">
        <v>144</v>
      </c>
      <c r="H2" t="s">
        <v>154</v>
      </c>
      <c r="I2" t="s">
        <v>155</v>
      </c>
      <c r="J2" t="s">
        <v>156</v>
      </c>
    </row>
    <row r="3" spans="1:14" x14ac:dyDescent="0.25">
      <c r="A3" t="s">
        <v>1</v>
      </c>
      <c r="B3">
        <v>0.46</v>
      </c>
      <c r="C3">
        <v>1.52</v>
      </c>
      <c r="D3">
        <v>2.11</v>
      </c>
      <c r="E3" t="s">
        <v>150</v>
      </c>
      <c r="F3">
        <v>2.79</v>
      </c>
      <c r="H3">
        <v>6.35</v>
      </c>
      <c r="I3">
        <v>25.4</v>
      </c>
    </row>
    <row r="4" spans="1:14" x14ac:dyDescent="0.25">
      <c r="A4" t="s">
        <v>2</v>
      </c>
    </row>
    <row r="5" spans="1:14" x14ac:dyDescent="0.25">
      <c r="A5" t="s">
        <v>3</v>
      </c>
      <c r="B5">
        <v>0.94</v>
      </c>
      <c r="C5">
        <v>2.79</v>
      </c>
      <c r="D5">
        <v>2.95</v>
      </c>
      <c r="E5">
        <v>3.53</v>
      </c>
      <c r="F5">
        <v>4.95</v>
      </c>
      <c r="G5" t="s">
        <v>150</v>
      </c>
    </row>
    <row r="6" spans="1:14" x14ac:dyDescent="0.25">
      <c r="A6" t="s">
        <v>4</v>
      </c>
      <c r="H6" t="s">
        <v>150</v>
      </c>
      <c r="I6">
        <v>50.8</v>
      </c>
      <c r="J6">
        <v>12.7</v>
      </c>
    </row>
    <row r="7" spans="1:14" x14ac:dyDescent="0.25">
      <c r="A7" t="s">
        <v>5</v>
      </c>
      <c r="B7">
        <v>1.1200000000000001</v>
      </c>
      <c r="C7">
        <v>2.95</v>
      </c>
      <c r="D7">
        <v>3.07</v>
      </c>
      <c r="E7">
        <v>3.66</v>
      </c>
      <c r="F7">
        <v>4.95</v>
      </c>
      <c r="G7" t="s">
        <v>150</v>
      </c>
    </row>
    <row r="8" spans="1:14" x14ac:dyDescent="0.25">
      <c r="A8" t="s">
        <v>6</v>
      </c>
      <c r="B8">
        <v>2.74</v>
      </c>
      <c r="C8">
        <v>7.24</v>
      </c>
      <c r="D8">
        <v>7.39</v>
      </c>
      <c r="E8">
        <v>8.1300000000000008</v>
      </c>
      <c r="F8">
        <v>10.29</v>
      </c>
      <c r="G8" t="s">
        <v>150</v>
      </c>
    </row>
    <row r="9" spans="1:14" x14ac:dyDescent="0.25">
      <c r="A9" t="s">
        <v>7</v>
      </c>
    </row>
    <row r="10" spans="1:14" x14ac:dyDescent="0.25">
      <c r="A10" t="s">
        <v>8</v>
      </c>
      <c r="B10">
        <v>1.95</v>
      </c>
    </row>
    <row r="11" spans="1:14" x14ac:dyDescent="0.25">
      <c r="A11" t="s">
        <v>9</v>
      </c>
      <c r="B11">
        <v>1.41</v>
      </c>
      <c r="C11">
        <v>3.9</v>
      </c>
      <c r="D11">
        <v>4.5</v>
      </c>
      <c r="F11">
        <v>5.4</v>
      </c>
      <c r="G11" t="s">
        <v>147</v>
      </c>
    </row>
    <row r="12" spans="1:14" x14ac:dyDescent="0.25">
      <c r="A12" t="s">
        <v>10</v>
      </c>
      <c r="B12">
        <v>0.54</v>
      </c>
      <c r="C12">
        <v>1.53</v>
      </c>
      <c r="F12">
        <v>3.16</v>
      </c>
      <c r="G12" s="6" t="s">
        <v>145</v>
      </c>
    </row>
    <row r="13" spans="1:14" x14ac:dyDescent="0.25">
      <c r="A13" t="s">
        <v>11</v>
      </c>
      <c r="B13">
        <v>0.81</v>
      </c>
      <c r="E13">
        <v>2.5</v>
      </c>
      <c r="F13">
        <v>3.2</v>
      </c>
    </row>
  </sheetData>
  <mergeCells count="2">
    <mergeCell ref="B1:G1"/>
    <mergeCell ref="H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20" workbookViewId="0">
      <selection activeCell="D4" sqref="D4"/>
    </sheetView>
  </sheetViews>
  <sheetFormatPr defaultRowHeight="15" x14ac:dyDescent="0.25"/>
  <cols>
    <col min="1" max="1" width="17.42578125" customWidth="1"/>
    <col min="2" max="2" width="29.140625" customWidth="1"/>
  </cols>
  <sheetData>
    <row r="1" spans="1:2" x14ac:dyDescent="0.25">
      <c r="A1" s="2" t="s">
        <v>16</v>
      </c>
      <c r="B1" s="3" t="s">
        <v>17</v>
      </c>
    </row>
    <row r="2" spans="1:2" x14ac:dyDescent="0.25">
      <c r="A2" s="4" t="s">
        <v>18</v>
      </c>
      <c r="B2" s="5" t="s">
        <v>19</v>
      </c>
    </row>
    <row r="3" spans="1:2" x14ac:dyDescent="0.25">
      <c r="A3" s="2" t="s">
        <v>20</v>
      </c>
      <c r="B3" s="3" t="s">
        <v>21</v>
      </c>
    </row>
    <row r="4" spans="1:2" x14ac:dyDescent="0.25">
      <c r="A4" s="4" t="s">
        <v>22</v>
      </c>
      <c r="B4" s="5" t="s">
        <v>23</v>
      </c>
    </row>
    <row r="5" spans="1:2" x14ac:dyDescent="0.25">
      <c r="A5" s="2" t="s">
        <v>24</v>
      </c>
      <c r="B5" s="3" t="s">
        <v>25</v>
      </c>
    </row>
    <row r="6" spans="1:2" x14ac:dyDescent="0.25">
      <c r="A6" s="4" t="s">
        <v>26</v>
      </c>
      <c r="B6" s="5" t="s">
        <v>27</v>
      </c>
    </row>
    <row r="7" spans="1:2" x14ac:dyDescent="0.25">
      <c r="A7" s="2" t="s">
        <v>28</v>
      </c>
      <c r="B7" s="3" t="s">
        <v>29</v>
      </c>
    </row>
    <row r="8" spans="1:2" x14ac:dyDescent="0.25">
      <c r="A8" s="4" t="s">
        <v>30</v>
      </c>
      <c r="B8" s="5" t="s">
        <v>31</v>
      </c>
    </row>
    <row r="9" spans="1:2" x14ac:dyDescent="0.25">
      <c r="A9" s="2" t="s">
        <v>32</v>
      </c>
      <c r="B9" s="3" t="s">
        <v>33</v>
      </c>
    </row>
    <row r="10" spans="1:2" x14ac:dyDescent="0.25">
      <c r="A10" s="4" t="s">
        <v>34</v>
      </c>
      <c r="B10" s="5" t="s">
        <v>35</v>
      </c>
    </row>
    <row r="11" spans="1:2" x14ac:dyDescent="0.25">
      <c r="A11" s="2" t="s">
        <v>36</v>
      </c>
      <c r="B11" s="3" t="s">
        <v>37</v>
      </c>
    </row>
    <row r="12" spans="1:2" x14ac:dyDescent="0.25">
      <c r="A12" s="4" t="s">
        <v>38</v>
      </c>
      <c r="B12" s="5" t="s">
        <v>39</v>
      </c>
    </row>
    <row r="13" spans="1:2" x14ac:dyDescent="0.25">
      <c r="A13" s="2" t="s">
        <v>40</v>
      </c>
      <c r="B13" s="3" t="s">
        <v>41</v>
      </c>
    </row>
    <row r="14" spans="1:2" x14ac:dyDescent="0.25">
      <c r="A14" s="4" t="s">
        <v>42</v>
      </c>
      <c r="B14" s="5" t="s">
        <v>43</v>
      </c>
    </row>
    <row r="15" spans="1:2" x14ac:dyDescent="0.25">
      <c r="A15" s="2" t="s">
        <v>44</v>
      </c>
      <c r="B15" s="3" t="s">
        <v>45</v>
      </c>
    </row>
    <row r="16" spans="1:2" x14ac:dyDescent="0.25">
      <c r="A16" s="4" t="s">
        <v>46</v>
      </c>
      <c r="B16" s="5" t="s">
        <v>47</v>
      </c>
    </row>
    <row r="17" spans="1:2" x14ac:dyDescent="0.25">
      <c r="A17" s="2" t="s">
        <v>48</v>
      </c>
      <c r="B17" s="3" t="s">
        <v>49</v>
      </c>
    </row>
    <row r="18" spans="1:2" x14ac:dyDescent="0.25">
      <c r="A18" s="4" t="s">
        <v>50</v>
      </c>
      <c r="B18" s="5" t="s">
        <v>51</v>
      </c>
    </row>
    <row r="19" spans="1:2" x14ac:dyDescent="0.25">
      <c r="A19" s="2" t="s">
        <v>52</v>
      </c>
      <c r="B19" s="3" t="s">
        <v>53</v>
      </c>
    </row>
    <row r="20" spans="1:2" x14ac:dyDescent="0.25">
      <c r="A20" s="4" t="s">
        <v>54</v>
      </c>
      <c r="B20" s="5" t="s">
        <v>55</v>
      </c>
    </row>
    <row r="21" spans="1:2" x14ac:dyDescent="0.25">
      <c r="A21" s="2" t="s">
        <v>56</v>
      </c>
      <c r="B21" s="3" t="s">
        <v>57</v>
      </c>
    </row>
    <row r="22" spans="1:2" x14ac:dyDescent="0.25">
      <c r="A22" s="4" t="s">
        <v>58</v>
      </c>
      <c r="B22" s="5" t="s">
        <v>59</v>
      </c>
    </row>
    <row r="23" spans="1:2" x14ac:dyDescent="0.25">
      <c r="A23" s="2" t="s">
        <v>60</v>
      </c>
      <c r="B23" s="3" t="s">
        <v>61</v>
      </c>
    </row>
    <row r="24" spans="1:2" x14ac:dyDescent="0.25">
      <c r="A24" s="4" t="s">
        <v>62</v>
      </c>
      <c r="B24" s="5" t="s">
        <v>63</v>
      </c>
    </row>
    <row r="25" spans="1:2" x14ac:dyDescent="0.25">
      <c r="A25" s="2" t="s">
        <v>64</v>
      </c>
      <c r="B25" s="3" t="s">
        <v>65</v>
      </c>
    </row>
    <row r="26" spans="1:2" x14ac:dyDescent="0.25">
      <c r="A26" s="4" t="s">
        <v>66</v>
      </c>
      <c r="B26" s="5" t="s">
        <v>67</v>
      </c>
    </row>
    <row r="27" spans="1:2" x14ac:dyDescent="0.25">
      <c r="A27" s="2" t="s">
        <v>68</v>
      </c>
      <c r="B27" s="3" t="s">
        <v>69</v>
      </c>
    </row>
    <row r="28" spans="1:2" x14ac:dyDescent="0.25">
      <c r="A28" s="4" t="s">
        <v>70</v>
      </c>
      <c r="B28" s="5" t="s">
        <v>71</v>
      </c>
    </row>
    <row r="29" spans="1:2" x14ac:dyDescent="0.25">
      <c r="A29" s="2" t="s">
        <v>72</v>
      </c>
      <c r="B29" s="3" t="s">
        <v>73</v>
      </c>
    </row>
    <row r="30" spans="1:2" x14ac:dyDescent="0.25">
      <c r="A30" s="4" t="s">
        <v>74</v>
      </c>
      <c r="B30" s="5" t="s">
        <v>75</v>
      </c>
    </row>
    <row r="31" spans="1:2" x14ac:dyDescent="0.25">
      <c r="A31" s="2" t="s">
        <v>76</v>
      </c>
      <c r="B31" s="3" t="s">
        <v>77</v>
      </c>
    </row>
    <row r="32" spans="1:2" x14ac:dyDescent="0.25">
      <c r="A32" s="4" t="s">
        <v>78</v>
      </c>
      <c r="B32" s="5" t="s">
        <v>79</v>
      </c>
    </row>
    <row r="33" spans="1:2" x14ac:dyDescent="0.25">
      <c r="A33" s="2" t="s">
        <v>80</v>
      </c>
      <c r="B33" s="3" t="s">
        <v>81</v>
      </c>
    </row>
    <row r="34" spans="1:2" x14ac:dyDescent="0.25">
      <c r="A34" s="4" t="s">
        <v>82</v>
      </c>
      <c r="B34" s="5" t="s">
        <v>83</v>
      </c>
    </row>
    <row r="35" spans="1:2" x14ac:dyDescent="0.25">
      <c r="A35" s="2" t="s">
        <v>84</v>
      </c>
      <c r="B35" s="3" t="s">
        <v>85</v>
      </c>
    </row>
    <row r="36" spans="1:2" x14ac:dyDescent="0.25">
      <c r="A36" s="4" t="s">
        <v>86</v>
      </c>
      <c r="B36" s="5" t="s">
        <v>87</v>
      </c>
    </row>
    <row r="37" spans="1:2" x14ac:dyDescent="0.25">
      <c r="A37" s="2" t="s">
        <v>88</v>
      </c>
      <c r="B37" s="3" t="s">
        <v>89</v>
      </c>
    </row>
    <row r="38" spans="1:2" x14ac:dyDescent="0.25">
      <c r="A38" s="4" t="s">
        <v>90</v>
      </c>
      <c r="B38" s="5" t="s">
        <v>91</v>
      </c>
    </row>
    <row r="39" spans="1:2" x14ac:dyDescent="0.25">
      <c r="A39" s="2" t="s">
        <v>92</v>
      </c>
      <c r="B39" s="3" t="s">
        <v>93</v>
      </c>
    </row>
    <row r="40" spans="1:2" x14ac:dyDescent="0.25">
      <c r="A40" s="4" t="s">
        <v>94</v>
      </c>
      <c r="B40" s="5" t="s">
        <v>95</v>
      </c>
    </row>
    <row r="41" spans="1:2" x14ac:dyDescent="0.25">
      <c r="A41" s="2" t="s">
        <v>96</v>
      </c>
      <c r="B41" s="3" t="s">
        <v>97</v>
      </c>
    </row>
    <row r="42" spans="1:2" x14ac:dyDescent="0.25">
      <c r="A42" s="4" t="s">
        <v>98</v>
      </c>
      <c r="B42" s="5" t="s">
        <v>99</v>
      </c>
    </row>
    <row r="43" spans="1:2" x14ac:dyDescent="0.25">
      <c r="A43" s="2" t="s">
        <v>100</v>
      </c>
      <c r="B43" s="3" t="s">
        <v>101</v>
      </c>
    </row>
    <row r="44" spans="1:2" x14ac:dyDescent="0.25">
      <c r="A44" s="4" t="s">
        <v>102</v>
      </c>
      <c r="B44" s="5" t="s">
        <v>103</v>
      </c>
    </row>
    <row r="45" spans="1:2" x14ac:dyDescent="0.25">
      <c r="A45" s="2" t="s">
        <v>104</v>
      </c>
      <c r="B45" s="3" t="s">
        <v>105</v>
      </c>
    </row>
    <row r="46" spans="1:2" x14ac:dyDescent="0.25">
      <c r="A46" s="4" t="s">
        <v>106</v>
      </c>
      <c r="B46" s="5" t="s">
        <v>107</v>
      </c>
    </row>
    <row r="47" spans="1:2" x14ac:dyDescent="0.25">
      <c r="A47" s="2" t="s">
        <v>108</v>
      </c>
      <c r="B47" s="3" t="s">
        <v>109</v>
      </c>
    </row>
    <row r="48" spans="1:2" x14ac:dyDescent="0.25">
      <c r="A48" s="4" t="s">
        <v>110</v>
      </c>
      <c r="B48" s="5" t="s">
        <v>111</v>
      </c>
    </row>
    <row r="49" spans="1:2" x14ac:dyDescent="0.25">
      <c r="A49" s="2" t="s">
        <v>112</v>
      </c>
      <c r="B49" s="3" t="s">
        <v>113</v>
      </c>
    </row>
    <row r="50" spans="1:2" x14ac:dyDescent="0.25">
      <c r="A50" s="4" t="s">
        <v>114</v>
      </c>
      <c r="B50" s="5" t="s">
        <v>115</v>
      </c>
    </row>
    <row r="51" spans="1:2" x14ac:dyDescent="0.25">
      <c r="A51" s="2" t="s">
        <v>116</v>
      </c>
      <c r="B51" s="3" t="s">
        <v>117</v>
      </c>
    </row>
    <row r="52" spans="1:2" x14ac:dyDescent="0.25">
      <c r="A52" s="4" t="s">
        <v>118</v>
      </c>
      <c r="B52" s="5" t="s">
        <v>119</v>
      </c>
    </row>
    <row r="53" spans="1:2" x14ac:dyDescent="0.25">
      <c r="A53" s="2" t="s">
        <v>120</v>
      </c>
      <c r="B53" s="3" t="s">
        <v>121</v>
      </c>
    </row>
    <row r="54" spans="1:2" x14ac:dyDescent="0.25">
      <c r="A54" s="4" t="s">
        <v>122</v>
      </c>
      <c r="B54" s="5" t="s">
        <v>123</v>
      </c>
    </row>
    <row r="55" spans="1:2" x14ac:dyDescent="0.25">
      <c r="A55" s="2" t="s">
        <v>124</v>
      </c>
      <c r="B55" s="3" t="s">
        <v>125</v>
      </c>
    </row>
    <row r="56" spans="1:2" x14ac:dyDescent="0.25">
      <c r="A56" s="4" t="s">
        <v>126</v>
      </c>
      <c r="B56" s="5" t="s">
        <v>127</v>
      </c>
    </row>
    <row r="57" spans="1:2" x14ac:dyDescent="0.25">
      <c r="A57" s="2" t="s">
        <v>128</v>
      </c>
      <c r="B57" s="3" t="s">
        <v>129</v>
      </c>
    </row>
    <row r="58" spans="1:2" x14ac:dyDescent="0.25">
      <c r="A58" s="4" t="s">
        <v>130</v>
      </c>
      <c r="B58" s="5" t="s">
        <v>131</v>
      </c>
    </row>
    <row r="59" spans="1:2" x14ac:dyDescent="0.25">
      <c r="A59" s="2" t="s">
        <v>132</v>
      </c>
      <c r="B59" s="3" t="s">
        <v>133</v>
      </c>
    </row>
    <row r="60" spans="1:2" x14ac:dyDescent="0.25">
      <c r="A60" s="4" t="s">
        <v>134</v>
      </c>
      <c r="B60" s="5" t="s">
        <v>135</v>
      </c>
    </row>
    <row r="61" spans="1:2" x14ac:dyDescent="0.25">
      <c r="A61" s="2" t="s">
        <v>136</v>
      </c>
      <c r="B61" s="3" t="s">
        <v>137</v>
      </c>
    </row>
    <row r="62" spans="1:2" x14ac:dyDescent="0.25">
      <c r="A62" s="4" t="s">
        <v>138</v>
      </c>
      <c r="B62" s="5" t="s">
        <v>139</v>
      </c>
    </row>
    <row r="63" spans="1:2" x14ac:dyDescent="0.25">
      <c r="A63" s="2" t="s">
        <v>140</v>
      </c>
      <c r="B63" s="3" t="s">
        <v>141</v>
      </c>
    </row>
    <row r="64" spans="1:2" x14ac:dyDescent="0.25">
      <c r="A64" s="4" t="s">
        <v>142</v>
      </c>
      <c r="B64" s="5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Database</vt:lpstr>
      <vt:lpstr>Attenuation</vt:lpstr>
      <vt:lpstr>Dimensions</vt:lpstr>
      <vt:lpstr>Poynting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Annie Alexander</dc:creator>
  <cp:lastModifiedBy>Sarah Annie Alexander</cp:lastModifiedBy>
  <dcterms:created xsi:type="dcterms:W3CDTF">2018-01-11T12:43:41Z</dcterms:created>
  <dcterms:modified xsi:type="dcterms:W3CDTF">2018-01-23T13:18:02Z</dcterms:modified>
</cp:coreProperties>
</file>