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/>
  <c r="B23" l="1"/>
  <c r="B32"/>
  <c r="J14" l="1"/>
  <c r="J15" l="1"/>
  <c r="E23"/>
  <c r="AF62" l="1"/>
  <c r="Z45"/>
  <c r="Y45"/>
  <c r="X45"/>
  <c r="M45"/>
  <c r="AF63" s="1"/>
  <c r="B44" l="1"/>
  <c r="F44" s="1"/>
  <c r="E32"/>
  <c r="AK45"/>
  <c r="AY46" s="1"/>
  <c r="BW46" s="1"/>
  <c r="X50"/>
  <c r="D44" l="1"/>
  <c r="H44" s="1"/>
  <c r="AD62" s="1"/>
  <c r="AE62" l="1"/>
  <c r="AD66" s="1"/>
  <c r="AD61"/>
  <c r="L45"/>
  <c r="AE61"/>
  <c r="K45"/>
  <c r="AD63" s="1"/>
  <c r="AD65" l="1"/>
  <c r="K50"/>
  <c r="AE63"/>
  <c r="AJ45" s="1"/>
  <c r="AX46" s="1"/>
  <c r="BV46" s="1"/>
  <c r="AI45"/>
  <c r="AD67" l="1"/>
  <c r="AI50"/>
  <c r="AW46"/>
  <c r="BU46" s="1"/>
  <c r="B14"/>
  <c r="B43" l="1"/>
  <c r="D43" l="1"/>
  <c r="F43"/>
  <c r="B42"/>
  <c r="F42" s="1"/>
  <c r="H43" l="1"/>
  <c r="K44" s="1"/>
  <c r="B6"/>
  <c r="P45" s="1"/>
  <c r="AF44"/>
  <c r="Y44"/>
  <c r="X44"/>
  <c r="X43"/>
  <c r="Y43"/>
  <c r="Z43"/>
  <c r="AF53"/>
  <c r="AD52" l="1"/>
  <c r="L44"/>
  <c r="AD53"/>
  <c r="AE53"/>
  <c r="AE52"/>
  <c r="U45"/>
  <c r="AU46" s="1"/>
  <c r="BR46" s="1"/>
  <c r="S45"/>
  <c r="T45"/>
  <c r="AT46" s="1"/>
  <c r="BQ46" s="1"/>
  <c r="X48"/>
  <c r="Z44"/>
  <c r="X49" s="1"/>
  <c r="P44"/>
  <c r="M44"/>
  <c r="AF54" s="1"/>
  <c r="M43"/>
  <c r="AF45" s="1"/>
  <c r="AK43" s="1"/>
  <c r="D42"/>
  <c r="H42" s="1"/>
  <c r="S50" l="1"/>
  <c r="AS46"/>
  <c r="BP46" s="1"/>
  <c r="AD43"/>
  <c r="L43"/>
  <c r="AE45" s="1"/>
  <c r="AE44"/>
  <c r="K43"/>
  <c r="AD45" s="1"/>
  <c r="AE43"/>
  <c r="AD44"/>
  <c r="AY44"/>
  <c r="BW44" s="1"/>
  <c r="AK44"/>
  <c r="U44"/>
  <c r="AU45" s="1"/>
  <c r="BR45" s="1"/>
  <c r="U43"/>
  <c r="AU44" s="1"/>
  <c r="BR44" l="1"/>
  <c r="AI43"/>
  <c r="AD47"/>
  <c r="AJ43"/>
  <c r="AD49"/>
  <c r="K48"/>
  <c r="S43"/>
  <c r="AS44" s="1"/>
  <c r="BP44" s="1"/>
  <c r="T43"/>
  <c r="AT44" s="1"/>
  <c r="AD48"/>
  <c r="AY45"/>
  <c r="BW45" s="1"/>
  <c r="AD57"/>
  <c r="AD56"/>
  <c r="AE54"/>
  <c r="AJ44" s="1"/>
  <c r="T44"/>
  <c r="AT45" s="1"/>
  <c r="BQ45" s="1"/>
  <c r="AD54"/>
  <c r="K49"/>
  <c r="S44"/>
  <c r="AS45" s="1"/>
  <c r="BP45" s="1"/>
  <c r="AX45" l="1"/>
  <c r="AX44"/>
  <c r="AN45"/>
  <c r="BG46" s="1"/>
  <c r="AW44"/>
  <c r="AP45"/>
  <c r="AO45"/>
  <c r="BH46" s="1"/>
  <c r="BQ44"/>
  <c r="S48"/>
  <c r="AI48"/>
  <c r="S49"/>
  <c r="AD58"/>
  <c r="AI44"/>
  <c r="AO44" s="1"/>
  <c r="BH45" s="1"/>
  <c r="AN44" l="1"/>
  <c r="BG45" s="1"/>
  <c r="AP44"/>
  <c r="BV45"/>
  <c r="BV44"/>
  <c r="AO51"/>
  <c r="BC46"/>
  <c r="BB46"/>
  <c r="BT46"/>
  <c r="BD46"/>
  <c r="BI46"/>
  <c r="BU44"/>
  <c r="BF46"/>
  <c r="H23" s="1"/>
  <c r="AW45"/>
  <c r="BU45" s="1"/>
  <c r="AO43"/>
  <c r="BH44" s="1"/>
  <c r="AI49"/>
  <c r="AP43"/>
  <c r="AN43"/>
  <c r="BG44" s="1"/>
  <c r="AO50" l="1"/>
  <c r="BF45"/>
  <c r="H22" s="1"/>
  <c r="BD45"/>
  <c r="BI45"/>
  <c r="BB45"/>
  <c r="BC45"/>
  <c r="BT45"/>
  <c r="BB44"/>
  <c r="BD44"/>
  <c r="BC44"/>
  <c r="BF44"/>
  <c r="BL46" s="1"/>
  <c r="BT44"/>
  <c r="BI44"/>
  <c r="AO49"/>
  <c r="BK46" l="1"/>
  <c r="BK45"/>
  <c r="H21"/>
  <c r="BL45"/>
  <c r="BM45"/>
  <c r="BM46"/>
  <c r="BL44"/>
  <c r="BK44"/>
  <c r="BM44"/>
  <c r="BM48" l="1"/>
  <c r="BK48"/>
  <c r="BL48"/>
  <c r="BL55"/>
</calcChain>
</file>

<file path=xl/sharedStrings.xml><?xml version="1.0" encoding="utf-8"?>
<sst xmlns="http://schemas.openxmlformats.org/spreadsheetml/2006/main" count="193" uniqueCount="73">
  <si>
    <t>Event 1</t>
  </si>
  <si>
    <t>Event 2</t>
  </si>
  <si>
    <t>Time</t>
  </si>
  <si>
    <t>Date</t>
  </si>
  <si>
    <t>Time Zone</t>
  </si>
  <si>
    <t xml:space="preserve">Latiude </t>
  </si>
  <si>
    <t>Longitude</t>
  </si>
  <si>
    <t>Altitude</t>
  </si>
  <si>
    <t>Azumith</t>
  </si>
  <si>
    <t>Epoch</t>
  </si>
  <si>
    <t xml:space="preserve">Time </t>
  </si>
  <si>
    <t>Zone</t>
  </si>
  <si>
    <t>Events Must Be At Same point in orbit</t>
  </si>
  <si>
    <t>j hat</t>
  </si>
  <si>
    <t>k hat</t>
  </si>
  <si>
    <t>i hat</t>
  </si>
  <si>
    <t>Delta Time</t>
  </si>
  <si>
    <t>Sidereal rotation rate</t>
  </si>
  <si>
    <t>Inertial Longitude</t>
  </si>
  <si>
    <t>Equitorial Radius</t>
  </si>
  <si>
    <t>Flattenting</t>
  </si>
  <si>
    <t>Unit Observation Position Vector</t>
  </si>
  <si>
    <t>Unit Vector Check</t>
  </si>
  <si>
    <t xml:space="preserve">This ignores the difference between the latitude and longitude of a geodetic and geocentric model. Considering only the difference in radius </t>
  </si>
  <si>
    <t xml:space="preserve">j hat </t>
  </si>
  <si>
    <t>Unit Vector Check Event 1</t>
  </si>
  <si>
    <t>Unit Vector Check Event 2</t>
  </si>
  <si>
    <t>Radial Comensation</t>
  </si>
  <si>
    <t>Check 1</t>
  </si>
  <si>
    <t>Check 2</t>
  </si>
  <si>
    <t>Observer Eliptical Comensate postion vecotor</t>
  </si>
  <si>
    <t>Observation unit Vector Observer Frame</t>
  </si>
  <si>
    <t>Probalby best to take directly instead of reconvering</t>
  </si>
  <si>
    <t>Observation Frame vector componets</t>
  </si>
  <si>
    <t>i hatt</t>
  </si>
  <si>
    <t>j hatt</t>
  </si>
  <si>
    <t>k hatt</t>
  </si>
  <si>
    <t>Check i</t>
  </si>
  <si>
    <t>Check j</t>
  </si>
  <si>
    <t>Check k</t>
  </si>
  <si>
    <t>I hat is along the prime meritian | the coordiante system is right handed to j hat is at long 90E and k hat north</t>
  </si>
  <si>
    <t>Observation Vector in Inertial Frame</t>
  </si>
  <si>
    <t>Perp vector gradient</t>
  </si>
  <si>
    <t>Observation Vector Paramatised</t>
  </si>
  <si>
    <t>Offset</t>
  </si>
  <si>
    <t>Gradient</t>
  </si>
  <si>
    <t>Close Appraoach Vector</t>
  </si>
  <si>
    <t>Length</t>
  </si>
  <si>
    <t>THIS IS USING KM AT THE MOMENT CHANGE BACK TO METERS AFTER</t>
  </si>
  <si>
    <t>Close Approach Vector Midpoint</t>
  </si>
  <si>
    <t>Observation Vector Full Forms | Line Of Sight Distance</t>
  </si>
  <si>
    <t>LATITUDE</t>
  </si>
  <si>
    <t>Note that the radius is not the of the earth but the maginitue of the vector</t>
  </si>
  <si>
    <t>deg</t>
  </si>
  <si>
    <t>Orbital Presession Per Day</t>
  </si>
  <si>
    <t>Pressesional Longitiude</t>
  </si>
  <si>
    <t>Event 3</t>
  </si>
  <si>
    <t>Presessional Compensation</t>
  </si>
  <si>
    <t>Unit Vector Check Event 3</t>
  </si>
  <si>
    <t>Check 3</t>
  </si>
  <si>
    <t>1,2</t>
  </si>
  <si>
    <t>2,3</t>
  </si>
  <si>
    <t>3,1</t>
  </si>
  <si>
    <t>Orbit Time Calualtor</t>
  </si>
  <si>
    <t>Times</t>
  </si>
  <si>
    <t>Period</t>
  </si>
  <si>
    <t>N-orbits</t>
  </si>
  <si>
    <t>Optimise Lenghts</t>
  </si>
  <si>
    <t>Vid Start</t>
  </si>
  <si>
    <t>T+</t>
  </si>
  <si>
    <t>Get sub second time tracking for time of orbit</t>
  </si>
  <si>
    <t>Calulator Offest</t>
  </si>
  <si>
    <t>Average of Midpoints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</si>
</sst>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[$-F400]h:mm:ss\ AM/PM"/>
  </numFmts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Border="1"/>
    <xf numFmtId="11" fontId="0" fillId="0" borderId="0" xfId="0" applyNumberFormat="1"/>
    <xf numFmtId="11" fontId="1" fillId="2" borderId="1" xfId="1" applyNumberFormat="1"/>
    <xf numFmtId="164" fontId="0" fillId="0" borderId="0" xfId="0" applyNumberFormat="1"/>
    <xf numFmtId="14" fontId="1" fillId="2" borderId="1" xfId="1" applyNumberFormat="1"/>
    <xf numFmtId="165" fontId="0" fillId="0" borderId="0" xfId="0" applyNumberFormat="1"/>
    <xf numFmtId="0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67"/>
  <sheetViews>
    <sheetView tabSelected="1" zoomScaleNormal="100" workbookViewId="0">
      <selection activeCell="B35" sqref="B35"/>
    </sheetView>
  </sheetViews>
  <sheetFormatPr defaultRowHeight="15"/>
  <cols>
    <col min="2" max="2" width="14.42578125" bestFit="1" customWidth="1"/>
    <col min="4" max="4" width="12" bestFit="1" customWidth="1"/>
    <col min="5" max="6" width="12" customWidth="1"/>
    <col min="10" max="10" width="14.85546875" bestFit="1" customWidth="1"/>
    <col min="12" max="12" width="12" bestFit="1" customWidth="1"/>
    <col min="16" max="16" width="12" bestFit="1" customWidth="1"/>
    <col min="19" max="19" width="10" bestFit="1" customWidth="1"/>
    <col min="30" max="30" width="12.7109375" bestFit="1" customWidth="1"/>
    <col min="31" max="31" width="12" bestFit="1" customWidth="1"/>
    <col min="35" max="37" width="12" bestFit="1" customWidth="1"/>
    <col min="38" max="38" width="12" customWidth="1"/>
    <col min="55" max="56" width="12.28515625" bestFit="1" customWidth="1"/>
    <col min="63" max="63" width="9.5703125" bestFit="1" customWidth="1"/>
    <col min="64" max="65" width="10.28515625" bestFit="1" customWidth="1"/>
  </cols>
  <sheetData>
    <row r="1" spans="1:13">
      <c r="A1" t="s">
        <v>9</v>
      </c>
    </row>
    <row r="2" spans="1:13">
      <c r="A2" t="s">
        <v>3</v>
      </c>
      <c r="B2" s="1">
        <v>43040</v>
      </c>
    </row>
    <row r="3" spans="1:13">
      <c r="A3" t="s">
        <v>10</v>
      </c>
      <c r="B3" s="2">
        <v>0</v>
      </c>
      <c r="C3" s="2"/>
      <c r="D3" s="7"/>
      <c r="E3" s="7"/>
      <c r="F3" s="7"/>
    </row>
    <row r="4" spans="1:13">
      <c r="A4" t="s">
        <v>11</v>
      </c>
      <c r="B4">
        <v>0</v>
      </c>
      <c r="D4" t="s">
        <v>48</v>
      </c>
    </row>
    <row r="5" spans="1:13">
      <c r="A5" t="s">
        <v>17</v>
      </c>
      <c r="B5">
        <v>86164.098903691003</v>
      </c>
    </row>
    <row r="6" spans="1:13">
      <c r="A6" t="s">
        <v>19</v>
      </c>
      <c r="B6">
        <f>D6/1000</f>
        <v>6378.1</v>
      </c>
      <c r="D6">
        <v>6378100</v>
      </c>
    </row>
    <row r="7" spans="1:13">
      <c r="A7" t="s">
        <v>20</v>
      </c>
      <c r="B7">
        <v>3.3528E-3</v>
      </c>
    </row>
    <row r="8" spans="1:13">
      <c r="A8" t="s">
        <v>54</v>
      </c>
      <c r="B8">
        <v>4.0999999999999996</v>
      </c>
    </row>
    <row r="10" spans="1:13">
      <c r="A10" t="s">
        <v>12</v>
      </c>
    </row>
    <row r="11" spans="1:13">
      <c r="F11" t="s">
        <v>70</v>
      </c>
      <c r="I11" s="3"/>
    </row>
    <row r="12" spans="1:13">
      <c r="A12" t="s">
        <v>0</v>
      </c>
    </row>
    <row r="13" spans="1:13">
      <c r="A13" t="s">
        <v>3</v>
      </c>
      <c r="B13" s="1">
        <v>43047</v>
      </c>
      <c r="C13" t="s">
        <v>68</v>
      </c>
      <c r="D13" s="3" t="s">
        <v>69</v>
      </c>
      <c r="E13" s="3"/>
      <c r="F13" s="3"/>
      <c r="J13" t="s">
        <v>63</v>
      </c>
      <c r="L13" t="s">
        <v>66</v>
      </c>
      <c r="M13" t="s">
        <v>65</v>
      </c>
    </row>
    <row r="14" spans="1:13">
      <c r="A14" t="s">
        <v>2</v>
      </c>
      <c r="B14" s="2">
        <f>C14+TIME(0,0,D14)</f>
        <v>0.9037384259259259</v>
      </c>
      <c r="C14" s="2">
        <v>0.90347222222222223</v>
      </c>
      <c r="D14" s="8">
        <v>23.89053333</v>
      </c>
      <c r="E14" s="7"/>
      <c r="F14" s="7"/>
      <c r="G14" s="12"/>
      <c r="I14" t="s">
        <v>64</v>
      </c>
      <c r="J14" s="11">
        <f>C14+(L14*M14+D14)/86400</f>
        <v>1.8685056774690973</v>
      </c>
      <c r="K14" s="7"/>
      <c r="L14">
        <v>15</v>
      </c>
      <c r="M14">
        <v>5557</v>
      </c>
    </row>
    <row r="15" spans="1:13">
      <c r="A15" t="s">
        <v>4</v>
      </c>
      <c r="B15">
        <v>11</v>
      </c>
      <c r="H15" s="11"/>
      <c r="I15" s="7" t="s">
        <v>3</v>
      </c>
      <c r="J15" s="1">
        <f>B13+FLOOR(J14,1)</f>
        <v>43048</v>
      </c>
    </row>
    <row r="16" spans="1:13">
      <c r="A16" t="s">
        <v>5</v>
      </c>
    </row>
    <row r="17" spans="1:28">
      <c r="A17" t="s">
        <v>6</v>
      </c>
    </row>
    <row r="18" spans="1:28">
      <c r="A18" t="s">
        <v>7</v>
      </c>
      <c r="B18">
        <v>41.959944778840615</v>
      </c>
    </row>
    <row r="19" spans="1:28">
      <c r="A19" t="s">
        <v>8</v>
      </c>
      <c r="B19">
        <v>138.3394018430979</v>
      </c>
    </row>
    <row r="20" spans="1:28">
      <c r="G20" t="s">
        <v>67</v>
      </c>
    </row>
    <row r="21" spans="1:28">
      <c r="A21" t="s">
        <v>1</v>
      </c>
      <c r="G21" t="s">
        <v>60</v>
      </c>
      <c r="H21">
        <f>BF44</f>
        <v>111.26946810799761</v>
      </c>
    </row>
    <row r="22" spans="1:28">
      <c r="A22" t="s">
        <v>3</v>
      </c>
      <c r="B22" s="10">
        <v>43048</v>
      </c>
      <c r="C22" t="s">
        <v>68</v>
      </c>
      <c r="D22" s="3" t="s">
        <v>69</v>
      </c>
      <c r="E22" t="s">
        <v>71</v>
      </c>
      <c r="G22" t="s">
        <v>61</v>
      </c>
      <c r="H22">
        <f t="shared" ref="H22:H23" si="0">BF45</f>
        <v>224.93391173241659</v>
      </c>
    </row>
    <row r="23" spans="1:28">
      <c r="A23" t="s">
        <v>2</v>
      </c>
      <c r="B23" s="2">
        <f>C23+D23/86400</f>
        <v>0.86850924884259262</v>
      </c>
      <c r="C23" s="2">
        <v>0.86736111111111114</v>
      </c>
      <c r="D23" s="8">
        <v>99.199100000000001</v>
      </c>
      <c r="E23" s="12">
        <f>$J$14-B23- FLOOR($J$14-B23,1)</f>
        <v>0.99999642862650473</v>
      </c>
      <c r="F23" s="7"/>
      <c r="G23" t="s">
        <v>62</v>
      </c>
      <c r="H23">
        <f t="shared" si="0"/>
        <v>8.8725461979815581</v>
      </c>
      <c r="AB23" t="s">
        <v>40</v>
      </c>
    </row>
    <row r="24" spans="1:28">
      <c r="A24" t="s">
        <v>4</v>
      </c>
      <c r="B24">
        <v>11</v>
      </c>
    </row>
    <row r="25" spans="1:28">
      <c r="A25" t="s">
        <v>5</v>
      </c>
    </row>
    <row r="26" spans="1:28">
      <c r="A26" t="s">
        <v>6</v>
      </c>
      <c r="W26" t="s">
        <v>32</v>
      </c>
    </row>
    <row r="27" spans="1:28">
      <c r="A27" t="s">
        <v>7</v>
      </c>
      <c r="B27">
        <v>20.598082803707953</v>
      </c>
    </row>
    <row r="28" spans="1:28">
      <c r="A28" t="s">
        <v>8</v>
      </c>
      <c r="B28" s="6">
        <v>117.43036134331116</v>
      </c>
    </row>
    <row r="29" spans="1:28">
      <c r="B29" s="6"/>
    </row>
    <row r="30" spans="1:28">
      <c r="A30" t="s">
        <v>56</v>
      </c>
      <c r="F30" s="2"/>
    </row>
    <row r="31" spans="1:28">
      <c r="A31" t="s">
        <v>3</v>
      </c>
      <c r="B31" s="1">
        <v>43050</v>
      </c>
      <c r="C31" t="s">
        <v>68</v>
      </c>
      <c r="D31" s="3" t="s">
        <v>69</v>
      </c>
      <c r="E31" t="s">
        <v>71</v>
      </c>
    </row>
    <row r="32" spans="1:28">
      <c r="A32" t="s">
        <v>2</v>
      </c>
      <c r="B32" s="2">
        <f>C32+D32/86400</f>
        <v>0.86233689274687508</v>
      </c>
      <c r="C32" s="2">
        <v>0.86186342592592602</v>
      </c>
      <c r="D32" s="8">
        <v>40.90753333</v>
      </c>
      <c r="E32" s="12">
        <f>$J$14-B32- FLOOR($J$14-B32,1)</f>
        <v>6.1687847222222647E-3</v>
      </c>
      <c r="F32" s="7"/>
    </row>
    <row r="33" spans="1:75">
      <c r="A33" t="s">
        <v>4</v>
      </c>
      <c r="B33">
        <v>11</v>
      </c>
    </row>
    <row r="34" spans="1:75">
      <c r="A34" t="s">
        <v>5</v>
      </c>
    </row>
    <row r="35" spans="1:75">
      <c r="A35" t="s">
        <v>6</v>
      </c>
    </row>
    <row r="36" spans="1:75">
      <c r="A36" t="s">
        <v>7</v>
      </c>
      <c r="B36">
        <v>53.463498059034912</v>
      </c>
    </row>
    <row r="37" spans="1:75">
      <c r="A37" t="s">
        <v>8</v>
      </c>
      <c r="B37" s="6">
        <v>145.11787333935158</v>
      </c>
    </row>
    <row r="38" spans="1:75">
      <c r="B38" s="6"/>
    </row>
    <row r="39" spans="1:75">
      <c r="J39" t="s">
        <v>23</v>
      </c>
    </row>
    <row r="41" spans="1:75">
      <c r="B41" t="s">
        <v>16</v>
      </c>
      <c r="D41" t="s">
        <v>18</v>
      </c>
      <c r="F41" t="s">
        <v>57</v>
      </c>
      <c r="H41" t="s">
        <v>55</v>
      </c>
      <c r="J41" t="s">
        <v>21</v>
      </c>
      <c r="O41" t="s">
        <v>27</v>
      </c>
      <c r="R41" t="s">
        <v>30</v>
      </c>
      <c r="W41" t="s">
        <v>31</v>
      </c>
      <c r="AB41" t="s">
        <v>33</v>
      </c>
      <c r="AH41" t="s">
        <v>41</v>
      </c>
      <c r="AN41" t="s">
        <v>42</v>
      </c>
      <c r="AR41" t="s">
        <v>43</v>
      </c>
      <c r="BB41" t="s">
        <v>46</v>
      </c>
      <c r="BK41" t="s">
        <v>49</v>
      </c>
      <c r="BP41" t="s">
        <v>50</v>
      </c>
    </row>
    <row r="42" spans="1:75">
      <c r="A42" t="s">
        <v>0</v>
      </c>
      <c r="B42" s="3">
        <f>86400*((B13-B2)+(B14-B3))+3600*(B15-B4)</f>
        <v>722483</v>
      </c>
      <c r="D42">
        <f>B17+(MOD(B42,B5)/B5)*360</f>
        <v>138.58759401310681</v>
      </c>
      <c r="F42">
        <f>(($B$8/86400)*(B42))</f>
        <v>34.284494212962962</v>
      </c>
      <c r="H42">
        <f>MOD(D42+F42,360)</f>
        <v>172.87208822606976</v>
      </c>
      <c r="K42" t="s">
        <v>15</v>
      </c>
      <c r="L42" t="s">
        <v>13</v>
      </c>
      <c r="M42" t="s">
        <v>14</v>
      </c>
      <c r="S42" t="s">
        <v>15</v>
      </c>
      <c r="T42" t="s">
        <v>24</v>
      </c>
      <c r="U42" t="s">
        <v>14</v>
      </c>
      <c r="X42" t="s">
        <v>34</v>
      </c>
      <c r="Y42" t="s">
        <v>35</v>
      </c>
      <c r="Z42" t="s">
        <v>36</v>
      </c>
      <c r="AD42" t="s">
        <v>15</v>
      </c>
      <c r="AE42" t="s">
        <v>13</v>
      </c>
      <c r="AF42" t="s">
        <v>14</v>
      </c>
      <c r="AI42" t="s">
        <v>15</v>
      </c>
      <c r="AJ42" t="s">
        <v>13</v>
      </c>
      <c r="AK42" t="s">
        <v>14</v>
      </c>
      <c r="AN42" t="s">
        <v>15</v>
      </c>
      <c r="AO42" t="s">
        <v>13</v>
      </c>
      <c r="AP42" t="s">
        <v>14</v>
      </c>
      <c r="AS42" t="s">
        <v>44</v>
      </c>
      <c r="AW42" t="s">
        <v>45</v>
      </c>
      <c r="BB42" t="s">
        <v>44</v>
      </c>
      <c r="BF42" t="s">
        <v>47</v>
      </c>
      <c r="BG42" t="s">
        <v>45</v>
      </c>
      <c r="BP42" t="s">
        <v>44</v>
      </c>
      <c r="BT42" t="s">
        <v>47</v>
      </c>
      <c r="BU42" t="s">
        <v>45</v>
      </c>
    </row>
    <row r="43" spans="1:75">
      <c r="A43" t="s">
        <v>1</v>
      </c>
      <c r="B43" s="3">
        <f>86400*((B22-B2)+(B23-B3))+3600*(B24-B4)</f>
        <v>805839.19909999997</v>
      </c>
      <c r="D43">
        <f>B26+((MOD(B43,B5)/B5)*360)</f>
        <v>126.85598024135912</v>
      </c>
      <c r="F43">
        <f t="shared" ref="F43:F44" si="1">(($B$8/86400)*(B43))</f>
        <v>38.240054586921296</v>
      </c>
      <c r="H43">
        <f t="shared" ref="H43:H44" si="2">MOD(D43+F43,360)</f>
        <v>165.09603482828041</v>
      </c>
      <c r="J43" t="s">
        <v>0</v>
      </c>
      <c r="K43">
        <f>COS(RADIANS(H42))*COS(RADIANS(B16))</f>
        <v>-0.99227160738855169</v>
      </c>
      <c r="L43">
        <f>SIN(RADIANS(H42))*COS(RADIANS(B16))</f>
        <v>0.12408487889561709</v>
      </c>
      <c r="M43">
        <f>SIN(RADIANS(B16))</f>
        <v>0</v>
      </c>
      <c r="O43" t="s">
        <v>0</v>
      </c>
      <c r="P43">
        <f>($B$6*($B$6-$B$6*$B$7))/(SQRT(($B$6*SIN(RADIANS(B16)))^2+(($B$6-$B$6*$B$7)*COS(RADIANS(B16)))^2))</f>
        <v>6378.1</v>
      </c>
      <c r="R43" t="s">
        <v>0</v>
      </c>
      <c r="S43">
        <f t="shared" ref="S43:U44" si="3">K43*$P43</f>
        <v>-6328.8075390849217</v>
      </c>
      <c r="T43">
        <f t="shared" si="3"/>
        <v>791.42576608413538</v>
      </c>
      <c r="U43">
        <f t="shared" si="3"/>
        <v>0</v>
      </c>
      <c r="W43" t="s">
        <v>0</v>
      </c>
      <c r="X43">
        <f>SIN(RADIANS(B19))*COS(RADIANS(B18))</f>
        <v>0.49429163058712594</v>
      </c>
      <c r="Y43">
        <f>COS(RADIANS(B19))*COS(RADIANS(B18))</f>
        <v>-0.55554948476778243</v>
      </c>
      <c r="Z43">
        <f>SIN(RADIANS(B18))</f>
        <v>0.66861091369029535</v>
      </c>
      <c r="AB43" t="s">
        <v>0</v>
      </c>
      <c r="AC43" t="s">
        <v>34</v>
      </c>
      <c r="AD43">
        <f>-SIN(RADIANS(H42))</f>
        <v>-0.12408487889561709</v>
      </c>
      <c r="AE43">
        <f>COS(RADIANS(H42))</f>
        <v>-0.99227160738855169</v>
      </c>
      <c r="AF43">
        <v>0</v>
      </c>
      <c r="AH43" t="s">
        <v>0</v>
      </c>
      <c r="AI43">
        <f>X43*AD43+Y43*AD44+Z43*AD45</f>
        <v>-0.72477774316551813</v>
      </c>
      <c r="AJ43">
        <f>AE43*X43+AE44*Y43+AE45*Z43</f>
        <v>-0.40750704654784747</v>
      </c>
      <c r="AK43">
        <f>AF43*X43+AF44*Y43+AF45*Z43</f>
        <v>-0.55554948476778243</v>
      </c>
      <c r="AM43" t="s">
        <v>60</v>
      </c>
      <c r="AN43">
        <f>(AK43*AJ44-AJ43*AK44)/SQRT(AI43^2*(AJ44^2+AK44^2)-2*AI43*(AJ43*AJ44+AK43*AK44)*AI44+AJ43^2*(AI44^2+AK44^2)-2*AJ43*AK43*AJ44*AK44+AK43^2*(AI44^2+AJ44^2))</f>
        <v>0.6034771366164261</v>
      </c>
      <c r="AO43">
        <f>((AI43*AK44)-(AK43*AI44))/SQRT(AI43^2*(AJ44^2+AK44^2)-2*AI43*(AJ43*AJ44+AK43*AK44)*AI44+AJ43^2*(AI44^2+AK44^2)-2*AJ43*AK43*AJ44*AK44+AK43^2*(AI44^2+AJ44^2))</f>
        <v>1.3578141741605375E-2</v>
      </c>
      <c r="AP43">
        <f>(AJ43*AI44-AI43*AJ44)/SQRT(AI43^2*(AJ44^2+AK44^2)-2*AI43*(AJ43*AJ44+AK43*AK44)*AI44+AJ43^2*(AI44^2+AK44^2)-2*AJ43*AK43*AJ44*AK44+AK43^2*(AI44^2+AJ44^2))</f>
        <v>-0.79726468606610401</v>
      </c>
      <c r="AS43" t="s">
        <v>15</v>
      </c>
      <c r="AT43" t="s">
        <v>13</v>
      </c>
      <c r="AU43" t="s">
        <v>14</v>
      </c>
      <c r="AW43" t="s">
        <v>15</v>
      </c>
      <c r="AX43" t="s">
        <v>13</v>
      </c>
      <c r="AY43" t="s">
        <v>14</v>
      </c>
      <c r="BB43" t="s">
        <v>15</v>
      </c>
      <c r="BC43" t="s">
        <v>13</v>
      </c>
      <c r="BD43" t="s">
        <v>14</v>
      </c>
      <c r="BG43" t="s">
        <v>15</v>
      </c>
      <c r="BH43" t="s">
        <v>13</v>
      </c>
      <c r="BI43" t="s">
        <v>14</v>
      </c>
      <c r="BK43" t="s">
        <v>15</v>
      </c>
      <c r="BL43" t="s">
        <v>13</v>
      </c>
      <c r="BM43" t="s">
        <v>14</v>
      </c>
      <c r="BP43" t="s">
        <v>15</v>
      </c>
      <c r="BQ43" t="s">
        <v>13</v>
      </c>
      <c r="BR43" t="s">
        <v>14</v>
      </c>
      <c r="BU43" t="s">
        <v>15</v>
      </c>
      <c r="BV43" t="s">
        <v>13</v>
      </c>
      <c r="BW43" t="s">
        <v>14</v>
      </c>
    </row>
    <row r="44" spans="1:75" ht="15" customHeight="1">
      <c r="A44" t="s">
        <v>1</v>
      </c>
      <c r="B44" s="3">
        <f>86400*((B31-B2)+(B32-B3))+3600*(B33-B4)</f>
        <v>978105.90753332991</v>
      </c>
      <c r="D44">
        <f>B35+((MOD(B44,B5)/B5)*360)</f>
        <v>126.59907307305592</v>
      </c>
      <c r="F44">
        <f t="shared" si="1"/>
        <v>46.414747926928847</v>
      </c>
      <c r="H44">
        <f t="shared" si="2"/>
        <v>173.01382099998477</v>
      </c>
      <c r="J44" t="s">
        <v>1</v>
      </c>
      <c r="K44">
        <f>COS(RADIANS(H43))*COS(RADIANS(B25))</f>
        <v>-0.96635828205459318</v>
      </c>
      <c r="L44">
        <f>SIN(RADIANS(H43))*COS(RADIANS(B25))</f>
        <v>0.25719967088722212</v>
      </c>
      <c r="M44">
        <f>SIN(RADIANS(B25))</f>
        <v>0</v>
      </c>
      <c r="O44" t="s">
        <v>1</v>
      </c>
      <c r="P44">
        <f>($B$6*($B$6-$B$6*$B$7))/(SQRT(($B$6*SIN(RADIANS(B25)))^2+(($B$6-$B$6*$B$7)*COS(RADIANS(B25)))^2))</f>
        <v>6378.1</v>
      </c>
      <c r="R44" t="s">
        <v>1</v>
      </c>
      <c r="S44">
        <f t="shared" si="3"/>
        <v>-6163.5297587724008</v>
      </c>
      <c r="T44">
        <f t="shared" si="3"/>
        <v>1640.4452208857915</v>
      </c>
      <c r="U44">
        <f t="shared" si="3"/>
        <v>0</v>
      </c>
      <c r="W44" t="s">
        <v>1</v>
      </c>
      <c r="X44">
        <f>SIN(RADIANS(B28))*COS(RADIANS(B27))</f>
        <v>0.83083011989302913</v>
      </c>
      <c r="Y44">
        <f>COS(RADIANS(B28))*COS(RADIANS(B27))</f>
        <v>-0.43122013652811886</v>
      </c>
      <c r="Z44">
        <f>SIN(RADIANS(B27))</f>
        <v>0.35181032635669668</v>
      </c>
      <c r="AC44" t="s">
        <v>35</v>
      </c>
      <c r="AD44">
        <f>-SIN(RADIANS(B16))*COS(RADIANS(H42))</f>
        <v>0</v>
      </c>
      <c r="AE44">
        <f>-SIN(RADIANS(B16))*SIN(RADIANS(H42))</f>
        <v>0</v>
      </c>
      <c r="AF44">
        <f>COS(RADIANS(B16))</f>
        <v>1</v>
      </c>
      <c r="AH44" t="s">
        <v>1</v>
      </c>
      <c r="AI44">
        <f>AD52*X44+AD53*Y44+AD54*Z44</f>
        <v>-0.55366405598680157</v>
      </c>
      <c r="AJ44">
        <f>AE52*X44+AE53*Y44+AE54*Z44</f>
        <v>-0.71239406718537068</v>
      </c>
      <c r="AK44">
        <f>AF52*X44+AF53*Y44+AF54*Z44</f>
        <v>-0.43122013652811886</v>
      </c>
      <c r="AM44" t="s">
        <v>61</v>
      </c>
      <c r="AN44">
        <f>(AK44*AJ45-AJ44*AK45)/SQRT(AI44^2*(AJ45^2+AK45^2)-2*AI44*(AJ44*AJ45+AK44*AK45)*AI45+AJ44^2*(AI45^2+AK45^2)-2*AJ44*AK44*AJ45*AK45+AK44^2*(AI45^2+AJ45^2))</f>
        <v>-0.4585217468651292</v>
      </c>
      <c r="AO44">
        <f t="shared" ref="AO44" si="4">((AI44*AK45)-(AK44*AI45))/SQRT(AI44^2*(AJ45^2+AK45^2)-2*AI44*(AJ44*AJ45+AK44*AK45)*AI45+AJ44^2*(AI45^2+AK45^2)-2*AJ44*AK44*AJ45*AK45+AK44^2*(AI45^2+AJ45^2))</f>
        <v>-0.171464702650336</v>
      </c>
      <c r="AP44">
        <f t="shared" ref="AP44" si="5">(AJ44*AI45-AI44*AJ45)/SQRT(AI44^2*(AJ45^2+AK45^2)-2*AI44*(AJ44*AJ45+AK44*AK45)*AI45+AJ44^2*(AI45^2+AK45^2)-2*AJ44*AK44*AJ45*AK45+AK44^2*(AI45^2+AJ45^2))</f>
        <v>0.8719848986059231</v>
      </c>
      <c r="AR44" t="s">
        <v>0</v>
      </c>
      <c r="AS44">
        <f>S43</f>
        <v>-6328.8075390849217</v>
      </c>
      <c r="AT44">
        <f>T43</f>
        <v>791.42576608413538</v>
      </c>
      <c r="AU44">
        <f>U43</f>
        <v>0</v>
      </c>
      <c r="AW44">
        <f>AI43</f>
        <v>-0.72477774316551813</v>
      </c>
      <c r="AX44">
        <f>AJ43</f>
        <v>-0.40750704654784747</v>
      </c>
      <c r="AY44">
        <f>AK43</f>
        <v>-0.55554948476778243</v>
      </c>
      <c r="BA44" t="s">
        <v>60</v>
      </c>
      <c r="BB44">
        <f>-((AP43*AT44*AW44*AW45 - AP43*AT45*AW44*AW45 - AO43*AU44*AW44*AW45 + AO43*AU45*AW44*AW45 - AP43*AS44*AW45*AX44 + AP43*AS45*AW44*AX45 + AN43*AU44*AW44*AX45 -
      AN43*AU45*AW44*AX45 + AO43*AS44*AW45*AY44 - AN43*AS44*AX45*AY44 - AO43*AS45*AW44*AY45 - AN43*AT44*AW44*AY45 + AN43*AT45*AW44*AY45 + AN43*AS44*AX44*AY45)/
     (AP43*AW45*AX44 - AP43*AW44*AX45 - AO43*AW45*AY44 + AN43*AX45*AY44 + AO43*AW44*AY45 - AN43*AX44*AY45))</f>
        <v>-7324.4009376022586</v>
      </c>
      <c r="BC44" s="4">
        <f>-((AP43*AT45*AW45*AX44 + AO43*AU44*AW45*AX44 - AO43*AU45*AW45*AX44 - AP43*AT44*AW44*AX45 + AP43*AS44*AX44*AX45 - AP43*AS45*AX44*AX45 - AN43*AU44*AX44*AX45 +
      AN43*AU45*AX44*AX45 - AO43*AT44*AW45*AY44 + AN43*AT44*AX45*AY44 + AO43*AT44*AW44*AY45 - AO43*AS44*AX44*AY45 + AO43*AS45*AX44*AY45 - AN43*AT45*AX44*AY45)/
     (-(AP43*AW45*AX44) + AP43*AW44*AX45 + AO43*AW45*AY44 - AN43*AX45*AY44 - AO43*AW44*AY45 + AN43*AX44*AY45))</f>
        <v>231.6523331688787</v>
      </c>
      <c r="BD44" s="5">
        <f>-((AP43*AU44*AW45*AX44 - AP43*AU44*AW44*AX45 - AP43*AT44*AW45*AY44 + AP43*AT45*AW45*AY44 - AO43*AU45*AW45*AY44 + AP43*AS44*AX45*AY44 - AP43*AS45*AX45*AY44 +
      AN43*AU45*AX45*AY44 + AO43*AU44*AW44*AY45 - AN43*AU44*AX44*AY45 - AO43*AS44*AY44*AY45 + AO43*AS45*AY44*AY45 + AN43*AT44*AY44*AY45 - AN43*AT45*AY44*AY45)/
     (-(AP43*AW45*AX44) + AP43*AW44*AX45 + AO43*AW45*AY44 - AN43*AX45*AY44 - AO43*AW44*AY45 + AN43*AX44*AY45))</f>
        <v>-763.13242894132338</v>
      </c>
      <c r="BF44">
        <f>-((AU44*AW45*AX44 - AU45*AW45*AX44 - AU44*AW44*AX45 + AU45*AW44*AX45 - AT44*AW45*AY44 + AT45*AW45*AY44 + AS44*AX45*AY44 - AS45*AX45*AY44 + AT44*AW44*AY45 -
      AT45*AW44*AY45 - AS44*AX44*AY45 + AS45*AX44*AY45)/(AP43*AW45*AX44 - AP43*AW44*AX45 - AO43*AW45*AY44 + AN43*AX45*AY44 + AO43*AW44*AY45 - AN43*AX44*AY45))</f>
        <v>111.26946810799761</v>
      </c>
      <c r="BG44">
        <f>AN43</f>
        <v>0.6034771366164261</v>
      </c>
      <c r="BH44">
        <f>AO43</f>
        <v>1.3578141741605375E-2</v>
      </c>
      <c r="BI44">
        <f>AP43</f>
        <v>-0.79726468606610401</v>
      </c>
      <c r="BK44" s="9">
        <f>BB44+(BG44*$BF$44/2)</f>
        <v>-7290.8266475989349</v>
      </c>
      <c r="BL44" s="9">
        <f>BC44+(BH44*$BF$44/2)</f>
        <v>232.40774947362041</v>
      </c>
      <c r="BM44" s="9">
        <f>BD44+(BI44*$BF$44/2)</f>
        <v>-807.48803772125598</v>
      </c>
      <c r="BO44" t="s">
        <v>0</v>
      </c>
      <c r="BP44">
        <f t="shared" ref="BP44:BR44" si="6">AS44</f>
        <v>-6328.8075390849217</v>
      </c>
      <c r="BQ44">
        <f t="shared" si="6"/>
        <v>791.42576608413538</v>
      </c>
      <c r="BR44">
        <f t="shared" si="6"/>
        <v>0</v>
      </c>
      <c r="BT44">
        <f>-((-(AP43*AT44*AW45) + AP43*AT45*AW45 + AO43*AU44*AW45 - AO43*AU45*AW45 + AP43*AS44*AX45 - AP43*AS45*AX45 - AN43*AU44*AX45 + AN43*AU45*AX45 - AO43*AS44*AY45 +
      AO43*AS45*AY45 + AN43*AT44*AY45 - AN43*AT45*AY45)/(-(AP43*AW45*AX44) + AP43*AW44*AX45 + AO43*AW45*AY44 - AN43*AX45*AY44 - AO43*AW44*AY45 + AN43*AX44*AY45))</f>
        <v>1373.6533825790675</v>
      </c>
      <c r="BU44">
        <f>AW44</f>
        <v>-0.72477774316551813</v>
      </c>
      <c r="BV44">
        <f t="shared" ref="BV44:BW44" si="7">AX44</f>
        <v>-0.40750704654784747</v>
      </c>
      <c r="BW44">
        <f t="shared" si="7"/>
        <v>-0.55554948476778243</v>
      </c>
    </row>
    <row r="45" spans="1:75">
      <c r="J45" t="s">
        <v>56</v>
      </c>
      <c r="K45">
        <f>COS(RADIANS(H44))*COS(RADIANS(B34))</f>
        <v>-0.99257552032523377</v>
      </c>
      <c r="L45">
        <f>SIN(RADIANS(H44))*COS(RADIANS(B34))</f>
        <v>0.12162991593802663</v>
      </c>
      <c r="M45">
        <f>SIN(RADIANS(B34))</f>
        <v>0</v>
      </c>
      <c r="O45" t="s">
        <v>56</v>
      </c>
      <c r="P45">
        <f>($B$6*($B$6-$B$6*$B$7))/(SQRT(($B$6*SIN(RADIANS(B34)))^2+(($B$6-$B$6*$B$7)*COS(RADIANS(B34)))^2))</f>
        <v>6378.1</v>
      </c>
      <c r="R45" t="s">
        <v>56</v>
      </c>
      <c r="S45">
        <f t="shared" ref="S45" si="8">K45*$P45</f>
        <v>-6330.7459261863742</v>
      </c>
      <c r="T45">
        <f t="shared" ref="T45" si="9">L45*$P45</f>
        <v>775.76776684432775</v>
      </c>
      <c r="U45">
        <f t="shared" ref="U45" si="10">M45*$P45</f>
        <v>0</v>
      </c>
      <c r="W45" t="s">
        <v>56</v>
      </c>
      <c r="X45">
        <f>SIN(RADIANS(B37))*COS(RADIANS(B36))</f>
        <v>0.34046601119706477</v>
      </c>
      <c r="Y45">
        <f>COS(RADIANS(B37))*COS(RADIANS(B36))</f>
        <v>-0.48837117348043557</v>
      </c>
      <c r="Z45">
        <f>SIN(RADIANS(B36))</f>
        <v>0.8034777483744665</v>
      </c>
      <c r="AC45" t="s">
        <v>36</v>
      </c>
      <c r="AD45">
        <f>K43</f>
        <v>-0.99227160738855169</v>
      </c>
      <c r="AE45">
        <f>L43</f>
        <v>0.12408487889561709</v>
      </c>
      <c r="AF45">
        <f>M43</f>
        <v>0</v>
      </c>
      <c r="AH45" t="s">
        <v>56</v>
      </c>
      <c r="AI45">
        <f>AD61*X45+AD62*Y45+AD63*Z45</f>
        <v>-0.83892319648418756</v>
      </c>
      <c r="AJ45">
        <f>AE61*X45+AE62*Y45+AE63*Z45</f>
        <v>-0.24021129722412216</v>
      </c>
      <c r="AK45">
        <f>AF61*X45+AF62*Y45+AF63*Z45</f>
        <v>-0.48837117348043557</v>
      </c>
      <c r="AM45" t="s">
        <v>62</v>
      </c>
      <c r="AN45">
        <f>(AK45*AJ43-AJ45*AK43)/SQRT(AI45^2*(AJ43^2+AK43^2)-2*AI45*(AJ45*AJ43+AK45*AK43)*AI43+AJ45^2*(AI43^2+AK43^2)-2*AJ45*AK45*AJ43*AK43+AK45^2*(AI43^2+AJ43^2))</f>
        <v>0.30903812527557634</v>
      </c>
      <c r="AO45">
        <f>((AI45*AK43)-(AK45*AI43))/SQRT(AI45^2*(AJ43^2+AK43^2)-2*AI45*(AJ45*AJ43+AK45*AK43)*AI43+AJ45^2*(AI43^2+AK43^2)-2*AJ45*AK45*AJ43*AK43+AK45^2*(AI43^2+AJ43^2))</f>
        <v>0.52838875231613525</v>
      </c>
      <c r="AP45">
        <f>(AJ45*AI43-AI45*AJ43)/SQRT(AI45^2*(AJ43^2+AK43^2)-2*AI45*(AJ45*AJ43+AK45*AK43)*AI43+AJ45^2*(AI43^2+AK43^2)-2*AJ45*AK45*AJ43*AK43+AK45^2*(AI43^2+AJ43^2))</f>
        <v>-0.79075961173542175</v>
      </c>
      <c r="AR45" t="s">
        <v>1</v>
      </c>
      <c r="AS45">
        <f>S44</f>
        <v>-6163.5297587724008</v>
      </c>
      <c r="AT45">
        <f t="shared" ref="AT45" si="11">T44</f>
        <v>1640.4452208857915</v>
      </c>
      <c r="AU45">
        <f t="shared" ref="AU45" si="12">U44</f>
        <v>0</v>
      </c>
      <c r="AW45">
        <f>AI44</f>
        <v>-0.55366405598680157</v>
      </c>
      <c r="AX45">
        <f t="shared" ref="AX45" si="13">AJ44</f>
        <v>-0.71239406718537068</v>
      </c>
      <c r="AY45">
        <f t="shared" ref="AY45" si="14">AK44</f>
        <v>-0.43122013652811886</v>
      </c>
      <c r="BA45" t="s">
        <v>61</v>
      </c>
      <c r="BB45">
        <f t="shared" ref="BB45" si="15">-((AP44*AT45*AW45*AW46 - AP44*AT46*AW45*AW46 - AO44*AU45*AW45*AW46 + AO44*AU46*AW45*AW46 - AP44*AS45*AW46*AX45 + AP44*AS46*AW45*AX46 + AN44*AU45*AW45*AX46 -
      AN44*AU46*AW45*AX46 + AO44*AS45*AW46*AY45 - AN44*AS45*AX46*AY45 - AO44*AS46*AW45*AY46 - AN44*AT45*AW45*AY46 + AN44*AT46*AW45*AY46 + AN44*AS45*AX45*AY46)/
     (AP44*AW46*AX45 - AP44*AW45*AX46 - AO44*AW46*AY45 + AN44*AX46*AY45 + AO44*AW45*AY46 - AN44*AX45*AY46))</f>
        <v>-6971.0025852368763</v>
      </c>
      <c r="BC45" s="4">
        <f t="shared" ref="BC45" si="16">-((AP44*AT46*AW46*AX45 + AO44*AU45*AW46*AX45 - AO44*AU46*AW46*AX45 - AP44*AT45*AW45*AX46 + AP44*AS45*AX45*AX46 - AP44*AS46*AX45*AX46 - AN44*AU45*AX45*AX46 +
      AN44*AU46*AX45*AX46 - AO44*AT45*AW46*AY45 + AN44*AT45*AX46*AY45 + AO44*AT45*AW45*AY46 - AO44*AS45*AX45*AY46 + AO44*AS46*AX45*AY46 - AN44*AT46*AX45*AY46)/
     (-(AP44*AW46*AX45) + AP44*AW45*AX46 + AO44*AW46*AY45 - AN44*AX46*AY45 - AO44*AW45*AY46 + AN44*AX45*AY46))</f>
        <v>601.47791793989074</v>
      </c>
      <c r="BD45" s="5">
        <f t="shared" ref="BD45" si="17">-((AP44*AU45*AW46*AX45 - AP44*AU45*AW45*AX46 - AP44*AT45*AW46*AY45 + AP44*AT46*AW46*AY45 - AO44*AU46*AW46*AY45 + AP44*AS45*AX46*AY45 - AP44*AS46*AX46*AY45 +
      AN44*AU46*AX46*AY45 + AO44*AU45*AW45*AY46 - AN44*AU45*AX45*AY46 - AO44*AS45*AY45*AY46 + AO44*AS46*AY45*AY46 + AN44*AT45*AY45*AY46 - AN44*AT46*AY45*AY46)/
     (-(AP44*AW46*AX45) + AP44*AW45*AX46 + AO44*AW46*AY45 - AN44*AX46*AY45 - AO44*AW45*AY46 + AN44*AX45*AY46))</f>
        <v>-628.89858697827049</v>
      </c>
      <c r="BF45">
        <f t="shared" ref="BF45" si="18">-((AU45*AW46*AX45 - AU46*AW46*AX45 - AU45*AW45*AX46 + AU46*AW45*AX46 - AT45*AW46*AY45 + AT46*AW46*AY45 + AS45*AX46*AY45 - AS46*AX46*AY45 + AT45*AW45*AY46 -
      AT46*AW45*AY46 - AS45*AX45*AY46 + AS46*AX45*AY46)/(AP44*AW46*AX45 - AP44*AW45*AX46 - AO44*AW46*AY45 + AN44*AX46*AY45 + AO44*AW45*AY46 - AN44*AX45*AY46))</f>
        <v>224.93391173241659</v>
      </c>
      <c r="BG45">
        <f t="shared" ref="BG45:BG46" si="19">AN44</f>
        <v>-0.4585217468651292</v>
      </c>
      <c r="BH45">
        <f>AO44</f>
        <v>-0.171464702650336</v>
      </c>
      <c r="BI45">
        <f t="shared" ref="BI45:BI46" si="20">AP44</f>
        <v>0.8719848986059231</v>
      </c>
      <c r="BK45" s="9">
        <f t="shared" ref="BK45:BK46" si="21">BB45+(BG45*$BF$44/2)</f>
        <v>-6996.5123206816925</v>
      </c>
      <c r="BL45" s="9">
        <f t="shared" ref="BL45:BL46" si="22">BC45+(BH45*$BF$44/2)</f>
        <v>591.93852480829128</v>
      </c>
      <c r="BM45" s="9">
        <f t="shared" ref="BM45:BM46" si="23">BD45+(BI45*$BF$44/2)</f>
        <v>-580.38593904522679</v>
      </c>
      <c r="BO45" t="s">
        <v>1</v>
      </c>
      <c r="BP45">
        <f t="shared" ref="BP45:BP46" si="24">AS45</f>
        <v>-6163.5297587724008</v>
      </c>
      <c r="BQ45">
        <f t="shared" ref="BQ45:BQ46" si="25">AT45</f>
        <v>1640.4452208857915</v>
      </c>
      <c r="BR45">
        <f t="shared" ref="BR45:BR46" si="26">AU45</f>
        <v>0</v>
      </c>
      <c r="BT45">
        <f t="shared" ref="BT45" si="27">-((-(AP44*AT45*AW46) + AP44*AT46*AW46 + AO44*AU45*AW46 - AO44*AU46*AW46 + AP44*AS45*AX46 - AP44*AS46*AX46 - AN44*AU45*AX46 + AN44*AU46*AX46 - AO44*AS45*AY46 +
      AO44*AS46*AY46 + AN44*AT45*AY46 - AN44*AT46*AY46)/(-(AP44*AW46*AX45) + AP44*AW45*AX46 + AO44*AW46*AY45 - AN44*AX46*AY45 - AO44*AW45*AY46 + AN44*AX45*AY46))</f>
        <v>1458.4165573568052</v>
      </c>
      <c r="BU45">
        <f t="shared" ref="BU45:BU46" si="28">AW45</f>
        <v>-0.55366405598680157</v>
      </c>
      <c r="BV45">
        <f t="shared" ref="BV45:BV46" si="29">AX45</f>
        <v>-0.71239406718537068</v>
      </c>
      <c r="BW45">
        <f t="shared" ref="BW45:BW46" si="30">AY45</f>
        <v>-0.43122013652811886</v>
      </c>
    </row>
    <row r="46" spans="1:75">
      <c r="AR46" t="s">
        <v>56</v>
      </c>
      <c r="AS46">
        <f>S45</f>
        <v>-6330.7459261863742</v>
      </c>
      <c r="AT46">
        <f t="shared" ref="AT46" si="31">T45</f>
        <v>775.76776684432775</v>
      </c>
      <c r="AU46">
        <f t="shared" ref="AU46" si="32">U45</f>
        <v>0</v>
      </c>
      <c r="AW46">
        <f>AI45</f>
        <v>-0.83892319648418756</v>
      </c>
      <c r="AX46">
        <f t="shared" ref="AX46" si="33">AJ45</f>
        <v>-0.24021129722412216</v>
      </c>
      <c r="AY46">
        <f t="shared" ref="AY46" si="34">AK45</f>
        <v>-0.48837117348043557</v>
      </c>
      <c r="BA46" t="s">
        <v>62</v>
      </c>
      <c r="BB46">
        <f>-((AP45*AT46*AW46*AW44 - AP45*AT44*AW46*AW44 - AO45*AU46*AW46*AW44 + AO45*AU44*AW46*AW44 - AP45*AS46*AW44*AX46 + AP45*AS44*AW46*AX44 + AN45*AU46*AW46*AX44 -
      AN45*AU44*AW46*AX44 + AO45*AS46*AW44*AY46 - AN45*AS46*AX44*AY46 - AO45*AS44*AW46*AY44 - AN45*AT46*AW46*AY44 + AN45*AT44*AW46*AY44 + AN45*AS46*AX46*AY44)/
     (AP45*AW44*AX46 - AP45*AW46*AX44 - AO45*AW44*AY46 + AN45*AX44*AY46 + AO45*AW46*AY44 - AN45*AX46*AY44))</f>
        <v>-6372.1409988174737</v>
      </c>
      <c r="BC46" s="4">
        <f>-((AP45*AT44*AW44*AX46 + AO45*AU46*AW44*AX46 - AO45*AU44*AW44*AX46 - AP45*AT46*AW46*AX44 + AP45*AS46*AX46*AX44 - AP45*AS44*AX46*AX44 - AN45*AU46*AX46*AX44 +
      AN45*AU44*AX46*AX44 - AO45*AT46*AW44*AY46 + AN45*AT46*AX44*AY46 + AO45*AT46*AW46*AY44 - AO45*AS46*AX46*AY44 + AO45*AS44*AX46*AY44 - AN45*AT44*AX46*AY44)/
     (-(AP45*AW44*AX46) + AP45*AW46*AX44 + AO45*AW44*AY46 - AN45*AX44*AY46 - AO45*AW46*AY44 + AN45*AX46*AY44))</f>
        <v>763.91499636775109</v>
      </c>
      <c r="BD46" s="5">
        <f>-((AP45*AU46*AW44*AX46 - AP45*AU46*AW46*AX44 - AP45*AT46*AW44*AY46 + AP45*AT44*AW44*AY46 - AO45*AU44*AW44*AY46 + AP45*AS46*AX44*AY46 - AP45*AS44*AX44*AY46 +
      AN45*AU44*AX44*AY46 + AO45*AU46*AW46*AY44 - AN45*AU46*AX46*AY44 - AO45*AS46*AY46*AY44 + AO45*AS44*AY46*AY44 + AN45*AT46*AY46*AY44 - AN45*AT44*AY46*AY44)/
     (-(AP45*AW44*AX46) + AP45*AW46*AX44 + AO45*AW44*AY46 - AN45*AX44*AY46 - AO45*AW46*AY44 + AN45*AX46*AY44))</f>
        <v>-24.097748496979467</v>
      </c>
      <c r="BF46">
        <f>-((AU46*AW44*AX46 - AU44*AW44*AX46 - AU46*AW46*AX44 + AU44*AW46*AX44 - AT46*AW44*AY46 + AT44*AW44*AY46 + AS46*AX44*AY46 - AS44*AX44*AY46 + AT46*AW46*AY44 -
      AT44*AW46*AY44 - AS46*AX46*AY44 + AS44*AX46*AY44)/(AP45*AW44*AX46 - AP45*AW46*AX44 - AO45*AW44*AY46 + AN45*AX44*AY46 + AO45*AW46*AY44 - AN45*AX46*AY44))</f>
        <v>8.8725461979815581</v>
      </c>
      <c r="BG46">
        <f t="shared" si="19"/>
        <v>0.30903812527557634</v>
      </c>
      <c r="BH46">
        <f t="shared" ref="BH46" si="35">AO45</f>
        <v>0.52838875231613525</v>
      </c>
      <c r="BI46">
        <f t="shared" si="20"/>
        <v>-0.79075961173542175</v>
      </c>
      <c r="BK46" s="9">
        <f t="shared" si="21"/>
        <v>-6354.947744905221</v>
      </c>
      <c r="BL46" s="9">
        <f t="shared" si="22"/>
        <v>793.3117640799835</v>
      </c>
      <c r="BM46" s="9">
        <f t="shared" si="23"/>
        <v>-68.091449196523016</v>
      </c>
      <c r="BO46" t="s">
        <v>56</v>
      </c>
      <c r="BP46">
        <f t="shared" si="24"/>
        <v>-6330.7459261863742</v>
      </c>
      <c r="BQ46">
        <f t="shared" si="25"/>
        <v>775.76776684432775</v>
      </c>
      <c r="BR46">
        <f t="shared" si="26"/>
        <v>0</v>
      </c>
      <c r="BT46">
        <f>-((-(AP45*AT46*AW44) + AP45*AT44*AW44 + AO45*AU46*AW44 - AO45*AU44*AW44 + AP45*AS46*AX44 - AP45*AS44*AX44 - AN45*AU46*AX44 + AN45*AU44*AX44 - AO45*AS46*AY44 +
      AO45*AS44*AY44 + AN45*AT46*AY44 - AN45*AT44*AY44)/(-(AP45*AW44*AX46) + AP45*AW46*AX44 + AO45*AW44*AY46 - AN45*AX44*AY46 - AO45*AW46*AY44 + AN45*AX46*AY44))</f>
        <v>49.343101733962882</v>
      </c>
      <c r="BU46">
        <f t="shared" si="28"/>
        <v>-0.83892319648418756</v>
      </c>
      <c r="BV46">
        <f t="shared" si="29"/>
        <v>-0.24021129722412216</v>
      </c>
      <c r="BW46">
        <f t="shared" si="30"/>
        <v>-0.48837117348043557</v>
      </c>
    </row>
    <row r="47" spans="1:75">
      <c r="AC47" t="s">
        <v>37</v>
      </c>
      <c r="AD47">
        <f>(AD43^2)+(AE43^2)+(AF43^2)</f>
        <v>1</v>
      </c>
    </row>
    <row r="48" spans="1:75">
      <c r="J48" t="s">
        <v>25</v>
      </c>
      <c r="K48">
        <f>(K43^2)+(L43^2)+(M43^2)</f>
        <v>1</v>
      </c>
      <c r="R48" t="s">
        <v>28</v>
      </c>
      <c r="S48">
        <f>SQRT(S43^2+T43^2+U43^2)</f>
        <v>6378.1</v>
      </c>
      <c r="W48" t="s">
        <v>25</v>
      </c>
      <c r="X48">
        <f>(X43^2)+(Y43^2)+(Z43^2)</f>
        <v>0.99999999999999989</v>
      </c>
      <c r="AC48" t="s">
        <v>38</v>
      </c>
      <c r="AD48">
        <f>(AD44^2)+(AE44^2)+(AF44^2)</f>
        <v>1</v>
      </c>
      <c r="AH48" t="s">
        <v>25</v>
      </c>
      <c r="AI48">
        <f>(AI43^2)+(AJ43^2)+(AK43^2)</f>
        <v>0.99999999999999978</v>
      </c>
      <c r="BJ48" t="s">
        <v>72</v>
      </c>
      <c r="BK48" s="9">
        <f>AVERAGE(BK44:BK46)</f>
        <v>-6880.7622377286161</v>
      </c>
      <c r="BL48" s="9">
        <f t="shared" ref="BL48:BM48" si="36">AVERAGE(BL44:BL46)</f>
        <v>539.21934612063171</v>
      </c>
      <c r="BM48" s="9">
        <f t="shared" si="36"/>
        <v>-485.32180865433526</v>
      </c>
    </row>
    <row r="49" spans="10:65">
      <c r="J49" t="s">
        <v>26</v>
      </c>
      <c r="K49">
        <f>(K44^2)+(L44^2)+(M44^2)</f>
        <v>1</v>
      </c>
      <c r="R49" t="s">
        <v>29</v>
      </c>
      <c r="S49">
        <f>SQRT(S44^2+T44^2+U44^2)</f>
        <v>6378.1</v>
      </c>
      <c r="W49" t="s">
        <v>26</v>
      </c>
      <c r="X49">
        <f>(X44^2)+(Y44^2)+(Z44^2)</f>
        <v>1.0000000000000002</v>
      </c>
      <c r="AC49" t="s">
        <v>39</v>
      </c>
      <c r="AD49">
        <f>(AD45^2)+(AE45^2)+(AF45^2)</f>
        <v>1</v>
      </c>
      <c r="AH49" t="s">
        <v>26</v>
      </c>
      <c r="AI49">
        <f>(AI44^2)+(AJ44^2)+(AK44^2)</f>
        <v>1</v>
      </c>
      <c r="AN49" t="s">
        <v>22</v>
      </c>
      <c r="AO49">
        <f>(AN43^2)+(AO43^2)+(AP43^2)</f>
        <v>0.99999999999999911</v>
      </c>
    </row>
    <row r="50" spans="10:65">
      <c r="J50" t="s">
        <v>58</v>
      </c>
      <c r="K50">
        <f>(K45^2)+(L45^2)+(M45^2)</f>
        <v>1</v>
      </c>
      <c r="R50" t="s">
        <v>59</v>
      </c>
      <c r="S50">
        <f>SQRT(S45^2+T45^2+U45^2)</f>
        <v>6378.1000000000013</v>
      </c>
      <c r="W50" t="s">
        <v>58</v>
      </c>
      <c r="X50">
        <f>(X45^2)+(Y45^2)+(Z45^2)</f>
        <v>1</v>
      </c>
      <c r="AH50" t="s">
        <v>58</v>
      </c>
      <c r="AI50">
        <f>(AI45^2)+(AJ45^2)+(AK45^2)</f>
        <v>1</v>
      </c>
      <c r="AN50" t="s">
        <v>22</v>
      </c>
      <c r="AO50">
        <f t="shared" ref="AO50:AO51" si="37">(AN44^2)+(AO44^2)+(AP44^2)</f>
        <v>0.99999999999999978</v>
      </c>
      <c r="BB50" s="4"/>
    </row>
    <row r="51" spans="10:65">
      <c r="AD51" t="s">
        <v>15</v>
      </c>
      <c r="AE51" t="s">
        <v>13</v>
      </c>
      <c r="AF51" t="s">
        <v>14</v>
      </c>
      <c r="AN51" t="s">
        <v>22</v>
      </c>
      <c r="AO51">
        <f t="shared" si="37"/>
        <v>0.99999999999999989</v>
      </c>
    </row>
    <row r="52" spans="10:65">
      <c r="AB52" t="s">
        <v>1</v>
      </c>
      <c r="AC52" t="s">
        <v>34</v>
      </c>
      <c r="AD52">
        <f>-SIN(RADIANS(H43))</f>
        <v>-0.25719967088722212</v>
      </c>
      <c r="AE52">
        <f>COS(RADIANS(H43))</f>
        <v>-0.96635828205459318</v>
      </c>
      <c r="AF52">
        <v>0</v>
      </c>
    </row>
    <row r="53" spans="10:65">
      <c r="AC53" t="s">
        <v>35</v>
      </c>
      <c r="AD53">
        <f>-SIN(RADIANS(B25))*COS(RADIANS(H43))</f>
        <v>0</v>
      </c>
      <c r="AE53">
        <f>-SIN(RADIANS(B25))*SIN(RADIANS(H43))</f>
        <v>0</v>
      </c>
      <c r="AF53">
        <f>COS(RADIANS(B25))</f>
        <v>1</v>
      </c>
      <c r="BK53" t="s">
        <v>52</v>
      </c>
    </row>
    <row r="54" spans="10:65">
      <c r="AC54" t="s">
        <v>36</v>
      </c>
      <c r="AD54">
        <f>K44</f>
        <v>-0.96635828205459318</v>
      </c>
      <c r="AE54">
        <f>L44</f>
        <v>0.25719967088722212</v>
      </c>
      <c r="AF54">
        <f>M44</f>
        <v>0</v>
      </c>
    </row>
    <row r="55" spans="10:65">
      <c r="BK55" t="s">
        <v>51</v>
      </c>
      <c r="BL55">
        <f>DEGREES(ASIN(BM44/SQRT(BK44^2+BL44^2+BM44^2)))</f>
        <v>-6.3167955860309659</v>
      </c>
      <c r="BM55" t="s">
        <v>53</v>
      </c>
    </row>
    <row r="56" spans="10:65">
      <c r="AC56" t="s">
        <v>37</v>
      </c>
      <c r="AD56">
        <f>(AD52^2)+(AE52^2)+(AF52^2)</f>
        <v>1</v>
      </c>
    </row>
    <row r="57" spans="10:65">
      <c r="AC57" t="s">
        <v>38</v>
      </c>
      <c r="AD57">
        <f>(AD53^2)+(AE53^2)+(AF53^2)</f>
        <v>1</v>
      </c>
    </row>
    <row r="58" spans="10:65">
      <c r="AC58" t="s">
        <v>39</v>
      </c>
      <c r="AD58">
        <f>(AD54^2)+(AE54^2)+(AF54^2)</f>
        <v>1</v>
      </c>
    </row>
    <row r="60" spans="10:65">
      <c r="AD60" t="s">
        <v>15</v>
      </c>
      <c r="AE60" t="s">
        <v>13</v>
      </c>
      <c r="AF60" t="s">
        <v>14</v>
      </c>
    </row>
    <row r="61" spans="10:65">
      <c r="AB61" t="s">
        <v>1</v>
      </c>
      <c r="AC61" t="s">
        <v>34</v>
      </c>
      <c r="AD61">
        <f>-SIN(RADIANS(H44))</f>
        <v>-0.12162991593802663</v>
      </c>
      <c r="AE61">
        <f>COS(RADIANS(H44))</f>
        <v>-0.99257552032523377</v>
      </c>
      <c r="AF61">
        <v>0</v>
      </c>
    </row>
    <row r="62" spans="10:65">
      <c r="AC62" t="s">
        <v>35</v>
      </c>
      <c r="AD62">
        <f>-SIN(RADIANS(B34))*COS(RADIANS(H44))</f>
        <v>0</v>
      </c>
      <c r="AE62">
        <f>-SIN(RADIANS(B34))*SIN(RADIANS(H44))</f>
        <v>0</v>
      </c>
      <c r="AF62">
        <f>COS(RADIANS(B34))</f>
        <v>1</v>
      </c>
    </row>
    <row r="63" spans="10:65">
      <c r="AC63" t="s">
        <v>36</v>
      </c>
      <c r="AD63">
        <f>K45</f>
        <v>-0.99257552032523377</v>
      </c>
      <c r="AE63">
        <f>L45</f>
        <v>0.12162991593802663</v>
      </c>
      <c r="AF63">
        <f>M45</f>
        <v>0</v>
      </c>
    </row>
    <row r="65" spans="29:30">
      <c r="AC65" t="s">
        <v>37</v>
      </c>
      <c r="AD65">
        <f>(AD61^2)+(AE61^2)+(AF61^2)</f>
        <v>1</v>
      </c>
    </row>
    <row r="66" spans="29:30">
      <c r="AC66" t="s">
        <v>38</v>
      </c>
      <c r="AD66">
        <f>(AD62^2)+(AE62^2)+(AF62^2)</f>
        <v>1</v>
      </c>
    </row>
    <row r="67" spans="29:30">
      <c r="AC67" t="s">
        <v>39</v>
      </c>
      <c r="AD67">
        <f>(AD63^2)+(AE63^2)+(AF63^2)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2019-12-29T23:23:58Z</dcterms:modified>
</cp:coreProperties>
</file>