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5" windowHeight="12300" activeTab="1"/>
  </bookViews>
  <sheets>
    <sheet name="2024" sheetId="1" r:id="rId1"/>
    <sheet name="2023" sheetId="3" r:id="rId2"/>
    <sheet name="202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<sst xmlns="http://schemas.openxmlformats.org/spreadsheetml/2006/main" count="89" uniqueCount="58">
  <si>
    <t>北京大学工学院机械专硕2024年考情</t>
  </si>
  <si>
    <t>总排名</t>
  </si>
  <si>
    <t>考生编号</t>
  </si>
  <si>
    <t>政治</t>
  </si>
  <si>
    <t>英语</t>
  </si>
  <si>
    <t>数学</t>
  </si>
  <si>
    <t>初试成绩</t>
  </si>
  <si>
    <t>复试成绩</t>
  </si>
  <si>
    <t>总成绩</t>
  </si>
  <si>
    <t>复试排名</t>
  </si>
  <si>
    <t>初试排名</t>
  </si>
  <si>
    <t>录取人数</t>
  </si>
  <si>
    <t>复试人数</t>
  </si>
  <si>
    <t>百分比</t>
  </si>
  <si>
    <t>400+</t>
  </si>
  <si>
    <t>390-399</t>
  </si>
  <si>
    <t>380-389</t>
  </si>
  <si>
    <t>370-379</t>
  </si>
  <si>
    <t>360-369</t>
  </si>
  <si>
    <t>350-359</t>
  </si>
  <si>
    <t>340-349</t>
  </si>
  <si>
    <t>330-339</t>
  </si>
  <si>
    <t>400+分数段3人复试，3人录取，录取率100%</t>
  </si>
  <si>
    <t>390-399分数段4人复试，4人录取，录取率100%</t>
  </si>
  <si>
    <t>380-389分数段7人复试，7人录取，录取率100%</t>
  </si>
  <si>
    <t>370-379分数段1人复试，1人录取，录取率100%</t>
  </si>
  <si>
    <t>360-369分数段7人复试，7人录取，录取率100%</t>
  </si>
  <si>
    <t>350-359分数段14人复试，10人录取，录取率71%</t>
  </si>
  <si>
    <t>340-349分数段13人复试，9人录取，录取率69%</t>
  </si>
  <si>
    <t>330-339分数段4人复试，0人录取，录取率0%</t>
  </si>
  <si>
    <t>北京大学工学院机械专硕2023年考情</t>
  </si>
  <si>
    <r>
      <rPr>
        <sz val="8.5"/>
        <rFont val="SimSun"/>
        <charset val="134"/>
      </rPr>
      <t>总排名</t>
    </r>
  </si>
  <si>
    <r>
      <rPr>
        <sz val="8.5"/>
        <rFont val="SimSun"/>
        <charset val="134"/>
      </rPr>
      <t>考生编号</t>
    </r>
  </si>
  <si>
    <r>
      <rPr>
        <sz val="8.5"/>
        <rFont val="SimSun"/>
        <charset val="134"/>
      </rPr>
      <t>政治</t>
    </r>
  </si>
  <si>
    <r>
      <rPr>
        <sz val="8.5"/>
        <rFont val="SimSun"/>
        <charset val="134"/>
      </rPr>
      <t>英语</t>
    </r>
  </si>
  <si>
    <r>
      <rPr>
        <sz val="8.5"/>
        <rFont val="SimSun"/>
        <charset val="134"/>
      </rPr>
      <t>数学</t>
    </r>
  </si>
  <si>
    <t>初试总分</t>
  </si>
  <si>
    <r>
      <rPr>
        <sz val="8.5"/>
        <rFont val="SimSun"/>
        <charset val="134"/>
      </rPr>
      <t>复试成绩</t>
    </r>
  </si>
  <si>
    <r>
      <rPr>
        <sz val="8.5"/>
        <rFont val="SimSun"/>
        <charset val="134"/>
      </rPr>
      <t>总成绩</t>
    </r>
  </si>
  <si>
    <r>
      <rPr>
        <sz val="8.5"/>
        <color rgb="FFFF0000"/>
        <rFont val="SimSun"/>
        <charset val="134"/>
      </rPr>
      <t>复试排名</t>
    </r>
  </si>
  <si>
    <r>
      <rPr>
        <sz val="7.5"/>
        <rFont val="SimSun"/>
        <charset val="134"/>
      </rPr>
      <t>初试排名</t>
    </r>
  </si>
  <si>
    <t>320-329</t>
  </si>
  <si>
    <t>310-319</t>
  </si>
  <si>
    <t>300-309</t>
  </si>
  <si>
    <t>400+分数段1人复试，1人录取，录取率100%</t>
  </si>
  <si>
    <t>390-399分数段1人复试，1人录取，录取率100%</t>
  </si>
  <si>
    <t>380-389分数段6人复试，6人录取，录取率100%</t>
  </si>
  <si>
    <t>370-379分数段7人复试，7人录取，录取率100%</t>
  </si>
  <si>
    <t>360-369分数段1人复试，1人录取，录取率100%</t>
  </si>
  <si>
    <t>350-359分数段5人复试，4人录取，录取率80%</t>
  </si>
  <si>
    <t>340-349分数段7人复试，6人录取，录取率86%</t>
  </si>
  <si>
    <t>330-339分数段8人复试，7人录取，录取率88%</t>
  </si>
  <si>
    <t>320-329分数段8人复试，1人录取，录取率13%</t>
  </si>
  <si>
    <t>310-319分数段5人复试，3人录取，录取率60%</t>
  </si>
  <si>
    <t>300-309分数段2人复试，0人录取，录取率0%</t>
  </si>
  <si>
    <r>
      <rPr>
        <sz val="11"/>
        <color rgb="FFFF0000"/>
        <rFont val="SimSun"/>
        <charset val="134"/>
      </rPr>
      <t>北京大学工学院机械专硕2022年考情</t>
    </r>
  </si>
  <si>
    <r>
      <rPr>
        <sz val="8.5"/>
        <rFont val="SimSun"/>
        <charset val="134"/>
      </rPr>
      <t>初试总分</t>
    </r>
  </si>
  <si>
    <r>
      <rPr>
        <sz val="8.5"/>
        <rFont val="SimSun"/>
        <charset val="134"/>
      </rPr>
      <t>初试排名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</si>
</sst>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;[Red]0"/>
  </numFmts>
  <fonts count="42">
    <font>
      <sz val="11"/>
      <color theme="1"/>
      <name val="宋体"/>
      <charset val="134"/>
      <scheme val="minor"/>
    </font>
    <font>
      <sz val="11"/>
      <name val="SimSun"/>
      <charset val="134"/>
    </font>
    <font>
      <sz val="8.5"/>
      <name val="SimSun"/>
      <charset val="134"/>
    </font>
    <font>
      <sz val="8.5"/>
      <color rgb="FF000000"/>
      <name val="SimSun"/>
      <charset val="134"/>
    </font>
    <font>
      <sz val="8.5"/>
      <color rgb="FF000000"/>
      <name val="MS Gothic"/>
      <charset val="134"/>
    </font>
    <font>
      <sz val="10"/>
      <color rgb="FF000000"/>
      <name val="Times New Roman"/>
      <charset val="204"/>
    </font>
    <font>
      <sz val="11"/>
      <color theme="1"/>
      <name val="宋体"/>
      <charset val="134"/>
      <scheme val="minor"/>
    </font>
    <font>
      <sz val="8.5"/>
      <color rgb="FFFF0000"/>
      <name val="SimSun"/>
      <charset val="134"/>
    </font>
    <font>
      <sz val="11"/>
      <color rgb="FFFF0000"/>
      <name val="SimSun"/>
      <charset val="134"/>
    </font>
    <font>
      <sz val="8.5"/>
      <name val="SimSun"/>
      <charset val="134"/>
    </font>
    <font>
      <sz val="7.5"/>
      <color rgb="FF000000"/>
      <name val="SimSun"/>
      <charset val="134"/>
    </font>
    <font>
      <sz val="7.5"/>
      <name val="SimSun"/>
      <charset val="134"/>
    </font>
    <font>
      <sz val="10"/>
      <color rgb="FF000000"/>
      <name val="Times New Roman"/>
      <charset val="134"/>
    </font>
    <font>
      <b/>
      <sz val="11"/>
      <color theme="1"/>
      <name val="宋体"/>
      <charset val="134"/>
      <scheme val="minor"/>
    </font>
    <font>
      <sz val="7.5"/>
      <color rgb="FFFF0000"/>
      <name val="SimSun"/>
      <charset val="134"/>
    </font>
    <font>
      <sz val="11"/>
      <color rgb="FFFF0000"/>
      <name val="宋体"/>
      <charset val="134"/>
      <scheme val="minor"/>
    </font>
    <font>
      <sz val="10"/>
      <name val="Microsoft YaHei"/>
      <charset val="134"/>
    </font>
    <font>
      <sz val="10"/>
      <color rgb="FF000000"/>
      <name val="Times New Roman"/>
      <charset val="134"/>
    </font>
    <font>
      <sz val="7"/>
      <color rgb="FF000000"/>
      <name val="Arial MT"/>
      <charset val="134"/>
    </font>
    <font>
      <sz val="10"/>
      <color rgb="FF000000"/>
      <name val="Arial MT"/>
      <charset val="134"/>
    </font>
    <font>
      <sz val="9"/>
      <color rgb="FF000000"/>
      <name val="Arial M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5"/>
      <color rgb="FFFF0000"/>
      <name val="SimSun"/>
      <charset val="134"/>
    </font>
    <font>
      <sz val="7.5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14" applyNumberFormat="0" applyAlignment="0" applyProtection="0">
      <alignment vertical="center"/>
    </xf>
    <xf numFmtId="0" fontId="30" fillId="5" borderId="15" applyNumberFormat="0" applyAlignment="0" applyProtection="0">
      <alignment vertical="center"/>
    </xf>
    <xf numFmtId="0" fontId="31" fillId="5" borderId="14" applyNumberFormat="0" applyAlignment="0" applyProtection="0">
      <alignment vertical="center"/>
    </xf>
    <xf numFmtId="0" fontId="32" fillId="6" borderId="16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0" borderId="0"/>
    <xf numFmtId="0" fontId="12" fillId="0" borderId="0"/>
  </cellStyleXfs>
  <cellXfs count="94">
    <xf numFmtId="0" fontId="0" fillId="0" borderId="0" xfId="0">
      <alignment vertical="center"/>
    </xf>
    <xf numFmtId="0" fontId="1" fillId="0" borderId="1" xfId="49" applyFont="1" applyBorder="1" applyAlignment="1">
      <alignment horizontal="center" vertical="top" wrapText="1"/>
    </xf>
    <xf numFmtId="0" fontId="1" fillId="0" borderId="2" xfId="49" applyFont="1" applyBorder="1" applyAlignment="1">
      <alignment horizontal="center" vertical="top" wrapText="1"/>
    </xf>
    <xf numFmtId="0" fontId="2" fillId="0" borderId="3" xfId="49" applyFont="1" applyBorder="1" applyAlignment="1">
      <alignment horizontal="center" vertical="top" wrapText="1"/>
    </xf>
    <xf numFmtId="1" fontId="3" fillId="0" borderId="3" xfId="49" applyNumberFormat="1" applyFont="1" applyBorder="1" applyAlignment="1">
      <alignment horizontal="left" vertical="top" indent="2" shrinkToFit="1"/>
    </xf>
    <xf numFmtId="1" fontId="3" fillId="0" borderId="3" xfId="49" applyNumberFormat="1" applyFont="1" applyBorder="1" applyAlignment="1">
      <alignment horizontal="center" vertical="top" shrinkToFit="1"/>
    </xf>
    <xf numFmtId="1" fontId="4" fillId="0" borderId="3" xfId="49" applyNumberFormat="1" applyFont="1" applyBorder="1" applyAlignment="1">
      <alignment horizontal="center" vertical="top" shrinkToFit="1"/>
    </xf>
    <xf numFmtId="176" fontId="3" fillId="0" borderId="3" xfId="49" applyNumberFormat="1" applyFont="1" applyBorder="1" applyAlignment="1">
      <alignment horizontal="center" vertical="top" shrinkToFit="1"/>
    </xf>
    <xf numFmtId="1" fontId="3" fillId="0" borderId="4" xfId="49" applyNumberFormat="1" applyFont="1" applyBorder="1" applyAlignment="1">
      <alignment horizontal="center" vertical="top" shrinkToFit="1"/>
    </xf>
    <xf numFmtId="1" fontId="4" fillId="0" borderId="4" xfId="49" applyNumberFormat="1" applyFont="1" applyBorder="1" applyAlignment="1">
      <alignment horizontal="center" vertical="top" shrinkToFit="1"/>
    </xf>
    <xf numFmtId="176" fontId="3" fillId="0" borderId="4" xfId="49" applyNumberFormat="1" applyFont="1" applyBorder="1" applyAlignment="1">
      <alignment horizontal="center" vertical="top" shrinkToFit="1"/>
    </xf>
    <xf numFmtId="1" fontId="3" fillId="2" borderId="5" xfId="49" applyNumberFormat="1" applyFont="1" applyFill="1" applyBorder="1" applyAlignment="1">
      <alignment horizontal="center" vertical="top" shrinkToFit="1"/>
    </xf>
    <xf numFmtId="1" fontId="4" fillId="2" borderId="5" xfId="49" applyNumberFormat="1" applyFont="1" applyFill="1" applyBorder="1" applyAlignment="1">
      <alignment horizontal="center" vertical="top" shrinkToFit="1"/>
    </xf>
    <xf numFmtId="176" fontId="3" fillId="2" borderId="5" xfId="49" applyNumberFormat="1" applyFont="1" applyFill="1" applyBorder="1" applyAlignment="1">
      <alignment horizontal="center" vertical="top" shrinkToFit="1"/>
    </xf>
    <xf numFmtId="1" fontId="3" fillId="2" borderId="3" xfId="49" applyNumberFormat="1" applyFont="1" applyFill="1" applyBorder="1" applyAlignment="1">
      <alignment horizontal="center" vertical="top" shrinkToFit="1"/>
    </xf>
    <xf numFmtId="1" fontId="4" fillId="2" borderId="3" xfId="49" applyNumberFormat="1" applyFont="1" applyFill="1" applyBorder="1" applyAlignment="1">
      <alignment horizontal="center" vertical="top" shrinkToFit="1"/>
    </xf>
    <xf numFmtId="176" fontId="3" fillId="2" borderId="3" xfId="49" applyNumberFormat="1" applyFont="1" applyFill="1" applyBorder="1" applyAlignment="1">
      <alignment horizontal="center" vertical="top" shrinkToFit="1"/>
    </xf>
    <xf numFmtId="176" fontId="3" fillId="0" borderId="3" xfId="49" applyNumberFormat="1" applyFont="1" applyBorder="1" applyAlignment="1">
      <alignment horizontal="left" vertical="top" indent="1" shrinkToFit="1"/>
    </xf>
    <xf numFmtId="0" fontId="5" fillId="0" borderId="3" xfId="49" applyBorder="1" applyAlignment="1">
      <alignment horizontal="left" vertical="center" wrapText="1"/>
    </xf>
    <xf numFmtId="2" fontId="3" fillId="0" borderId="3" xfId="49" applyNumberFormat="1" applyFont="1" applyBorder="1" applyAlignment="1">
      <alignment horizontal="right" vertical="top" indent="1" shrinkToFit="1"/>
    </xf>
    <xf numFmtId="2" fontId="3" fillId="0" borderId="3" xfId="49" applyNumberFormat="1" applyFont="1" applyBorder="1" applyAlignment="1">
      <alignment horizontal="left" vertical="top" shrinkToFit="1"/>
    </xf>
    <xf numFmtId="0" fontId="1" fillId="0" borderId="6" xfId="49" applyFont="1" applyBorder="1" applyAlignment="1">
      <alignment horizontal="center" vertical="top" wrapText="1"/>
    </xf>
    <xf numFmtId="0" fontId="2" fillId="0" borderId="3" xfId="49" applyFont="1" applyBorder="1" applyAlignment="1">
      <alignment horizontal="left" vertical="top" wrapText="1"/>
    </xf>
    <xf numFmtId="0" fontId="0" fillId="0" borderId="7" xfId="0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3" applyFont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9" fontId="0" fillId="0" borderId="0" xfId="3" applyFont="1">
      <alignment vertical="center"/>
    </xf>
    <xf numFmtId="176" fontId="3" fillId="0" borderId="4" xfId="49" applyNumberFormat="1" applyFont="1" applyBorder="1" applyAlignment="1">
      <alignment horizontal="left" vertical="top" indent="1" shrinkToFit="1"/>
    </xf>
    <xf numFmtId="176" fontId="3" fillId="2" borderId="5" xfId="49" applyNumberFormat="1" applyFont="1" applyFill="1" applyBorder="1" applyAlignment="1">
      <alignment horizontal="left" vertical="top" indent="1" shrinkToFit="1"/>
    </xf>
    <xf numFmtId="177" fontId="7" fillId="2" borderId="5" xfId="49" applyNumberFormat="1" applyFont="1" applyFill="1" applyBorder="1" applyAlignment="1">
      <alignment horizontal="center" vertical="top" shrinkToFit="1"/>
    </xf>
    <xf numFmtId="176" fontId="3" fillId="2" borderId="3" xfId="49" applyNumberFormat="1" applyFont="1" applyFill="1" applyBorder="1" applyAlignment="1">
      <alignment horizontal="left" vertical="top" indent="1" shrinkToFit="1"/>
    </xf>
    <xf numFmtId="177" fontId="7" fillId="2" borderId="3" xfId="49" applyNumberFormat="1" applyFont="1" applyFill="1" applyBorder="1" applyAlignment="1">
      <alignment horizontal="center" vertical="top" shrinkToFit="1"/>
    </xf>
    <xf numFmtId="177" fontId="7" fillId="0" borderId="3" xfId="49" applyNumberFormat="1" applyFont="1" applyBorder="1" applyAlignment="1">
      <alignment horizontal="center" vertical="top" shrinkToFit="1"/>
    </xf>
    <xf numFmtId="2" fontId="3" fillId="0" borderId="3" xfId="49" applyNumberFormat="1" applyFont="1" applyBorder="1" applyAlignment="1">
      <alignment horizontal="center" vertical="top" shrinkToFit="1"/>
    </xf>
    <xf numFmtId="0" fontId="5" fillId="0" borderId="1" xfId="49" applyBorder="1" applyAlignment="1">
      <alignment horizontal="left" vertical="center" wrapText="1"/>
    </xf>
    <xf numFmtId="0" fontId="5" fillId="0" borderId="6" xfId="49" applyBorder="1" applyAlignment="1">
      <alignment horizontal="left" vertical="center" wrapText="1"/>
    </xf>
    <xf numFmtId="0" fontId="8" fillId="0" borderId="1" xfId="50" applyFont="1" applyBorder="1" applyAlignment="1">
      <alignment horizontal="center" vertical="top" wrapText="1"/>
    </xf>
    <xf numFmtId="0" fontId="1" fillId="0" borderId="2" xfId="50" applyFont="1" applyBorder="1" applyAlignment="1">
      <alignment horizontal="center" vertical="top" wrapText="1"/>
    </xf>
    <xf numFmtId="0" fontId="2" fillId="0" borderId="3" xfId="50" applyFont="1" applyBorder="1" applyAlignment="1">
      <alignment horizontal="center" vertical="top" wrapText="1"/>
    </xf>
    <xf numFmtId="0" fontId="2" fillId="0" borderId="3" xfId="50" applyFont="1" applyBorder="1" applyAlignment="1">
      <alignment horizontal="right" vertical="top" wrapText="1" indent="1"/>
    </xf>
    <xf numFmtId="1" fontId="3" fillId="0" borderId="3" xfId="50" applyNumberFormat="1" applyFont="1" applyBorder="1" applyAlignment="1">
      <alignment horizontal="center" vertical="top" shrinkToFit="1"/>
    </xf>
    <xf numFmtId="0" fontId="9" fillId="0" borderId="3" xfId="50" applyFont="1" applyBorder="1" applyAlignment="1">
      <alignment horizontal="center" vertical="top" wrapText="1"/>
    </xf>
    <xf numFmtId="1" fontId="10" fillId="0" borderId="3" xfId="50" applyNumberFormat="1" applyFont="1" applyBorder="1" applyAlignment="1">
      <alignment horizontal="center" vertical="top" shrinkToFit="1"/>
    </xf>
    <xf numFmtId="176" fontId="10" fillId="0" borderId="3" xfId="50" applyNumberFormat="1" applyFont="1" applyBorder="1" applyAlignment="1">
      <alignment horizontal="center" vertical="top" shrinkToFit="1"/>
    </xf>
    <xf numFmtId="1" fontId="10" fillId="0" borderId="4" xfId="50" applyNumberFormat="1" applyFont="1" applyBorder="1" applyAlignment="1">
      <alignment horizontal="center" vertical="top" shrinkToFit="1"/>
    </xf>
    <xf numFmtId="1" fontId="10" fillId="0" borderId="5" xfId="50" applyNumberFormat="1" applyFont="1" applyBorder="1" applyAlignment="1">
      <alignment horizontal="center" vertical="top" shrinkToFit="1"/>
    </xf>
    <xf numFmtId="176" fontId="10" fillId="0" borderId="5" xfId="50" applyNumberFormat="1" applyFont="1" applyBorder="1" applyAlignment="1">
      <alignment horizontal="center" vertical="top" shrinkToFit="1"/>
    </xf>
    <xf numFmtId="1" fontId="10" fillId="2" borderId="3" xfId="50" applyNumberFormat="1" applyFont="1" applyFill="1" applyBorder="1" applyAlignment="1">
      <alignment horizontal="center" vertical="top" shrinkToFit="1"/>
    </xf>
    <xf numFmtId="176" fontId="10" fillId="2" borderId="3" xfId="50" applyNumberFormat="1" applyFont="1" applyFill="1" applyBorder="1" applyAlignment="1">
      <alignment horizontal="center" vertical="top" shrinkToFit="1"/>
    </xf>
    <xf numFmtId="0" fontId="11" fillId="0" borderId="3" xfId="50" applyFont="1" applyBorder="1" applyAlignment="1">
      <alignment horizontal="center" vertical="top" wrapText="1"/>
    </xf>
    <xf numFmtId="0" fontId="12" fillId="0" borderId="3" xfId="50" applyBorder="1" applyAlignment="1">
      <alignment horizontal="left" wrapText="1"/>
    </xf>
    <xf numFmtId="2" fontId="10" fillId="0" borderId="3" xfId="50" applyNumberFormat="1" applyFont="1" applyBorder="1" applyAlignment="1">
      <alignment horizontal="center" vertical="top" shrinkToFit="1"/>
    </xf>
    <xf numFmtId="2" fontId="10" fillId="0" borderId="3" xfId="50" applyNumberFormat="1" applyFont="1" applyBorder="1" applyAlignment="1">
      <alignment horizontal="right" vertical="top" indent="1" shrinkToFit="1"/>
    </xf>
    <xf numFmtId="0" fontId="1" fillId="0" borderId="6" xfId="50" applyFont="1" applyBorder="1" applyAlignment="1">
      <alignment horizontal="center" vertical="top" wrapText="1"/>
    </xf>
    <xf numFmtId="0" fontId="2" fillId="0" borderId="3" xfId="50" applyFont="1" applyBorder="1" applyAlignment="1">
      <alignment horizontal="left" vertical="top" wrapText="1"/>
    </xf>
    <xf numFmtId="176" fontId="10" fillId="0" borderId="3" xfId="50" applyNumberFormat="1" applyFont="1" applyBorder="1" applyAlignment="1">
      <alignment horizontal="left" vertical="top" indent="1" shrinkToFi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76" fontId="10" fillId="0" borderId="5" xfId="50" applyNumberFormat="1" applyFont="1" applyBorder="1" applyAlignment="1">
      <alignment horizontal="left" vertical="top" indent="1" shrinkToFit="1"/>
    </xf>
    <xf numFmtId="177" fontId="14" fillId="0" borderId="5" xfId="50" applyNumberFormat="1" applyFont="1" applyBorder="1" applyAlignment="1">
      <alignment horizontal="center" vertical="top" shrinkToFit="1"/>
    </xf>
    <xf numFmtId="177" fontId="14" fillId="0" borderId="3" xfId="50" applyNumberFormat="1" applyFont="1" applyBorder="1" applyAlignment="1">
      <alignment horizontal="center" vertical="top" shrinkToFit="1"/>
    </xf>
    <xf numFmtId="177" fontId="14" fillId="2" borderId="3" xfId="50" applyNumberFormat="1" applyFont="1" applyFill="1" applyBorder="1" applyAlignment="1">
      <alignment horizontal="center" vertical="top" shrinkToFit="1"/>
    </xf>
    <xf numFmtId="2" fontId="10" fillId="0" borderId="3" xfId="50" applyNumberFormat="1" applyFont="1" applyBorder="1" applyAlignment="1">
      <alignment horizontal="left" vertical="top" indent="1" shrinkToFit="1"/>
    </xf>
    <xf numFmtId="0" fontId="12" fillId="0" borderId="1" xfId="50" applyBorder="1" applyAlignment="1">
      <alignment horizontal="left" wrapText="1"/>
    </xf>
    <xf numFmtId="0" fontId="12" fillId="0" borderId="6" xfId="50" applyBorder="1" applyAlignment="1">
      <alignment horizontal="left" wrapText="1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6" fillId="0" borderId="3" xfId="50" applyFont="1" applyBorder="1" applyAlignment="1">
      <alignment horizontal="center" vertical="top" wrapText="1"/>
    </xf>
    <xf numFmtId="1" fontId="16" fillId="0" borderId="3" xfId="50" applyNumberFormat="1" applyFont="1" applyBorder="1" applyAlignment="1">
      <alignment horizontal="center" vertical="top" shrinkToFit="1"/>
    </xf>
    <xf numFmtId="1" fontId="17" fillId="0" borderId="3" xfId="49" applyNumberFormat="1" applyFont="1" applyBorder="1" applyAlignment="1">
      <alignment horizontal="center" vertical="top" shrinkToFit="1"/>
    </xf>
    <xf numFmtId="1" fontId="18" fillId="0" borderId="3" xfId="49" applyNumberFormat="1" applyFont="1" applyBorder="1" applyAlignment="1">
      <alignment horizontal="center" vertical="top" shrinkToFit="1"/>
    </xf>
    <xf numFmtId="1" fontId="19" fillId="0" borderId="3" xfId="49" applyNumberFormat="1" applyFont="1" applyBorder="1" applyAlignment="1">
      <alignment horizontal="center" vertical="top" shrinkToFit="1"/>
    </xf>
    <xf numFmtId="176" fontId="20" fillId="0" borderId="3" xfId="49" applyNumberFormat="1" applyFont="1" applyBorder="1" applyAlignment="1">
      <alignment horizontal="center" vertical="top" shrinkToFit="1"/>
    </xf>
    <xf numFmtId="1" fontId="17" fillId="0" borderId="9" xfId="49" applyNumberFormat="1" applyFont="1" applyBorder="1" applyAlignment="1">
      <alignment horizontal="center" vertical="top" shrinkToFit="1"/>
    </xf>
    <xf numFmtId="1" fontId="18" fillId="0" borderId="9" xfId="49" applyNumberFormat="1" applyFont="1" applyBorder="1" applyAlignment="1">
      <alignment horizontal="center" vertical="top" shrinkToFit="1"/>
    </xf>
    <xf numFmtId="1" fontId="19" fillId="0" borderId="9" xfId="49" applyNumberFormat="1" applyFont="1" applyBorder="1" applyAlignment="1">
      <alignment horizontal="center" vertical="top" shrinkToFit="1"/>
    </xf>
    <xf numFmtId="176" fontId="20" fillId="0" borderId="9" xfId="49" applyNumberFormat="1" applyFont="1" applyBorder="1" applyAlignment="1">
      <alignment horizontal="center" vertical="top" shrinkToFit="1"/>
    </xf>
    <xf numFmtId="1" fontId="17" fillId="0" borderId="10" xfId="49" applyNumberFormat="1" applyFont="1" applyBorder="1" applyAlignment="1">
      <alignment horizontal="center" vertical="top" shrinkToFit="1"/>
    </xf>
    <xf numFmtId="1" fontId="18" fillId="0" borderId="10" xfId="49" applyNumberFormat="1" applyFont="1" applyBorder="1" applyAlignment="1">
      <alignment horizontal="center" vertical="top" shrinkToFit="1"/>
    </xf>
    <xf numFmtId="1" fontId="19" fillId="0" borderId="10" xfId="49" applyNumberFormat="1" applyFont="1" applyBorder="1" applyAlignment="1">
      <alignment horizontal="center" vertical="top" shrinkToFit="1"/>
    </xf>
    <xf numFmtId="176" fontId="20" fillId="0" borderId="10" xfId="49" applyNumberFormat="1" applyFont="1" applyBorder="1" applyAlignment="1">
      <alignment horizontal="center" vertical="top" shrinkToFit="1"/>
    </xf>
    <xf numFmtId="0" fontId="16" fillId="0" borderId="3" xfId="50" applyFont="1" applyBorder="1" applyAlignment="1">
      <alignment horizontal="left" vertical="top" wrapText="1"/>
    </xf>
    <xf numFmtId="2" fontId="17" fillId="0" borderId="3" xfId="49" applyNumberFormat="1" applyFont="1" applyBorder="1" applyAlignment="1">
      <alignment horizontal="center" vertical="top" shrinkToFit="1"/>
    </xf>
    <xf numFmtId="1" fontId="20" fillId="0" borderId="3" xfId="49" applyNumberFormat="1" applyFont="1" applyBorder="1" applyAlignment="1">
      <alignment horizontal="center" vertical="top" shrinkToFit="1"/>
    </xf>
    <xf numFmtId="176" fontId="17" fillId="0" borderId="3" xfId="49" applyNumberFormat="1" applyFont="1" applyBorder="1" applyAlignment="1">
      <alignment horizontal="center" vertical="top" shrinkToFit="1"/>
    </xf>
    <xf numFmtId="2" fontId="17" fillId="0" borderId="9" xfId="49" applyNumberFormat="1" applyFont="1" applyBorder="1" applyAlignment="1">
      <alignment horizontal="center" vertical="top" shrinkToFit="1"/>
    </xf>
    <xf numFmtId="1" fontId="20" fillId="0" borderId="9" xfId="49" applyNumberFormat="1" applyFont="1" applyBorder="1" applyAlignment="1">
      <alignment horizontal="center" vertical="top" shrinkToFit="1"/>
    </xf>
    <xf numFmtId="176" fontId="17" fillId="0" borderId="10" xfId="49" applyNumberFormat="1" applyFont="1" applyBorder="1" applyAlignment="1">
      <alignment horizontal="center" vertical="top" shrinkToFit="1"/>
    </xf>
    <xf numFmtId="1" fontId="20" fillId="0" borderId="10" xfId="49" applyNumberFormat="1" applyFont="1" applyBorder="1" applyAlignment="1">
      <alignment horizontal="center" vertical="top" shrinkToFi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94CAF6"/>
      <color rgb="005AAEF3"/>
      <color rgb="0062D9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</a:t>
            </a:r>
            <a:r>
              <a:rPr altLang="en-US"/>
              <a:t>工学院机械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'2024'!$N$2</c:f>
              <c:strCache>
                <c:ptCount val="1"/>
                <c:pt idx="0">
                  <c:v>录取人数</c:v>
                </c:pt>
              </c:strCache>
            </c:strRef>
          </c:tx>
          <c:spPr>
            <a:solidFill>
              <a:srgbClr val="5AAE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'2024'!$M$3:$M$10</c:f>
              <c:strCache>
                <c:ptCount val="8"/>
                <c:pt idx="0">
                  <c:v>400+</c:v>
                </c:pt>
                <c:pt idx="1">
                  <c:v>390-399</c:v>
                </c:pt>
                <c:pt idx="2">
                  <c:v>380-389</c:v>
                </c:pt>
                <c:pt idx="3">
                  <c:v>370-379</c:v>
                </c:pt>
                <c:pt idx="4">
                  <c:v>360-369</c:v>
                </c:pt>
                <c:pt idx="5">
                  <c:v>350-359</c:v>
                </c:pt>
                <c:pt idx="6">
                  <c:v>340-349</c:v>
                </c:pt>
                <c:pt idx="7">
                  <c:v>330-339</c:v>
                </c:pt>
              </c:strCache>
            </c:strRef>
          </c:cat>
          <c:val>
            <c:numRef>
              <c:f>'2024'!$N$3:$N$10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'2024'!$O$2</c:f>
              <c:strCache>
                <c:ptCount val="1"/>
                <c:pt idx="0">
                  <c:v>复试人数</c:v>
                </c:pt>
              </c:strCache>
            </c:strRef>
          </c:tx>
          <c:spPr>
            <a:solidFill>
              <a:srgbClr val="62D9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'2024'!$M$3:$M$10</c:f>
              <c:strCache>
                <c:ptCount val="8"/>
                <c:pt idx="0">
                  <c:v>400+</c:v>
                </c:pt>
                <c:pt idx="1">
                  <c:v>390-399</c:v>
                </c:pt>
                <c:pt idx="2">
                  <c:v>380-389</c:v>
                </c:pt>
                <c:pt idx="3">
                  <c:v>370-379</c:v>
                </c:pt>
                <c:pt idx="4">
                  <c:v>360-369</c:v>
                </c:pt>
                <c:pt idx="5">
                  <c:v>350-359</c:v>
                </c:pt>
                <c:pt idx="6">
                  <c:v>340-349</c:v>
                </c:pt>
                <c:pt idx="7">
                  <c:v>330-339</c:v>
                </c:pt>
              </c:strCache>
            </c:strRef>
          </c:cat>
          <c:val>
            <c:numRef>
              <c:f>'2024'!$O$3:$O$10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30981565"/>
        <c:axId val="11978541"/>
      </c:barChart>
      <c:catAx>
        <c:axId val="1309815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1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1978541"/>
        <c:crosses val="autoZero"/>
        <c:auto val="1"/>
        <c:lblAlgn val="ctr"/>
        <c:lblOffset val="100"/>
        <c:noMultiLvlLbl val="0"/>
      </c:catAx>
      <c:valAx>
        <c:axId val="11978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30981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97831050228311"/>
          <c:y val="0.9262880198634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</a:t>
            </a:r>
            <a:r>
              <a:rPr altLang="en-US"/>
              <a:t>工学院机械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'2023'!$N$2</c:f>
              <c:strCache>
                <c:ptCount val="1"/>
                <c:pt idx="0">
                  <c:v>录取人数</c:v>
                </c:pt>
              </c:strCache>
            </c:strRef>
          </c:tx>
          <c:spPr>
            <a:solidFill>
              <a:srgbClr val="5AAE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'2023'!$M$3:$M$13</c:f>
              <c:strCache>
                <c:ptCount val="11"/>
                <c:pt idx="0">
                  <c:v>400+</c:v>
                </c:pt>
                <c:pt idx="1">
                  <c:v>390-399</c:v>
                </c:pt>
                <c:pt idx="2">
                  <c:v>380-389</c:v>
                </c:pt>
                <c:pt idx="3">
                  <c:v>370-379</c:v>
                </c:pt>
                <c:pt idx="4">
                  <c:v>360-369</c:v>
                </c:pt>
                <c:pt idx="5">
                  <c:v>350-359</c:v>
                </c:pt>
                <c:pt idx="6">
                  <c:v>340-349</c:v>
                </c:pt>
                <c:pt idx="7">
                  <c:v>330-339</c:v>
                </c:pt>
                <c:pt idx="8">
                  <c:v>320-329</c:v>
                </c:pt>
                <c:pt idx="9">
                  <c:v>310-319</c:v>
                </c:pt>
                <c:pt idx="10">
                  <c:v>300-309</c:v>
                </c:pt>
              </c:strCache>
            </c:strRef>
          </c:cat>
          <c:val>
            <c:numRef>
              <c:f>'2023'!$N$3:$N$13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'2023'!$O$2</c:f>
              <c:strCache>
                <c:ptCount val="1"/>
                <c:pt idx="0">
                  <c:v>复试人数</c:v>
                </c:pt>
              </c:strCache>
            </c:strRef>
          </c:tx>
          <c:spPr>
            <a:solidFill>
              <a:srgbClr val="62D9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'2023'!$M$3:$M$13</c:f>
              <c:strCache>
                <c:ptCount val="11"/>
                <c:pt idx="0">
                  <c:v>400+</c:v>
                </c:pt>
                <c:pt idx="1">
                  <c:v>390-399</c:v>
                </c:pt>
                <c:pt idx="2">
                  <c:v>380-389</c:v>
                </c:pt>
                <c:pt idx="3">
                  <c:v>370-379</c:v>
                </c:pt>
                <c:pt idx="4">
                  <c:v>360-369</c:v>
                </c:pt>
                <c:pt idx="5">
                  <c:v>350-359</c:v>
                </c:pt>
                <c:pt idx="6">
                  <c:v>340-349</c:v>
                </c:pt>
                <c:pt idx="7">
                  <c:v>330-339</c:v>
                </c:pt>
                <c:pt idx="8">
                  <c:v>320-329</c:v>
                </c:pt>
                <c:pt idx="9">
                  <c:v>310-319</c:v>
                </c:pt>
                <c:pt idx="10">
                  <c:v>300-309</c:v>
                </c:pt>
              </c:strCache>
            </c:strRef>
          </c:cat>
          <c:val>
            <c:numRef>
              <c:f>'2023'!$O$3:$O$13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18722118"/>
        <c:axId val="10348099"/>
      </c:barChart>
      <c:catAx>
        <c:axId val="518722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348099"/>
        <c:crosses val="autoZero"/>
        <c:auto val="1"/>
        <c:lblAlgn val="ctr"/>
        <c:lblOffset val="100"/>
        <c:noMultiLvlLbl val="0"/>
      </c:catAx>
      <c:valAx>
        <c:axId val="10348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18722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1270</xdr:colOff>
      <xdr:row>12</xdr:row>
      <xdr:rowOff>22860</xdr:rowOff>
    </xdr:from>
    <xdr:to>
      <xdr:col>20</xdr:col>
      <xdr:colOff>633730</xdr:colOff>
      <xdr:row>36</xdr:row>
      <xdr:rowOff>0</xdr:rowOff>
    </xdr:to>
    <xdr:graphicFrame>
      <xdr:nvGraphicFramePr>
        <xdr:cNvPr id="3" name="图表 2"/>
        <xdr:cNvGraphicFramePr/>
      </xdr:nvGraphicFramePr>
      <xdr:xfrm>
        <a:off x="8977630" y="2118360"/>
        <a:ext cx="6118860" cy="409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673100</xdr:colOff>
      <xdr:row>13</xdr:row>
      <xdr:rowOff>70485</xdr:rowOff>
    </xdr:from>
    <xdr:to>
      <xdr:col>21</xdr:col>
      <xdr:colOff>12700</xdr:colOff>
      <xdr:row>30</xdr:row>
      <xdr:rowOff>68580</xdr:rowOff>
    </xdr:to>
    <xdr:graphicFrame>
      <xdr:nvGraphicFramePr>
        <xdr:cNvPr id="2" name="图表 1"/>
        <xdr:cNvGraphicFramePr/>
      </xdr:nvGraphicFramePr>
      <xdr:xfrm>
        <a:off x="8216900" y="2299335"/>
        <a:ext cx="6197600" cy="2912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5"/>
  <sheetViews>
    <sheetView topLeftCell="I13" workbookViewId="0">
      <selection activeCell="M38" sqref="M38:U45"/>
    </sheetView>
  </sheetViews>
  <sheetFormatPr defaultColWidth="9" defaultRowHeight="13.5"/>
  <cols>
    <col min="3" max="3" width="18.8" customWidth="1"/>
  </cols>
  <sheetData>
    <row r="1" spans="1:1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ht="16.5" spans="1:16">
      <c r="A2" s="72" t="s">
        <v>1</v>
      </c>
      <c r="B2" s="72" t="s">
        <v>2</v>
      </c>
      <c r="C2" s="43" t="s">
        <v>3</v>
      </c>
      <c r="D2" s="43" t="s">
        <v>4</v>
      </c>
      <c r="E2" s="44" t="s">
        <v>5</v>
      </c>
      <c r="F2" s="44">
        <v>408</v>
      </c>
      <c r="G2" s="73" t="s">
        <v>6</v>
      </c>
      <c r="H2" s="72" t="s">
        <v>7</v>
      </c>
      <c r="I2" s="72" t="s">
        <v>8</v>
      </c>
      <c r="J2" s="86" t="s">
        <v>9</v>
      </c>
      <c r="K2" s="72" t="s">
        <v>10</v>
      </c>
      <c r="M2" s="23"/>
      <c r="N2" s="24" t="s">
        <v>11</v>
      </c>
      <c r="O2" s="24" t="s">
        <v>12</v>
      </c>
      <c r="P2" s="25" t="s">
        <v>13</v>
      </c>
    </row>
    <row r="3" spans="1:16">
      <c r="A3" s="74">
        <v>1</v>
      </c>
      <c r="B3" s="75">
        <v>100014000860296</v>
      </c>
      <c r="C3" s="76">
        <v>74</v>
      </c>
      <c r="D3" s="76">
        <v>82</v>
      </c>
      <c r="E3" s="76">
        <v>138</v>
      </c>
      <c r="F3" s="76">
        <v>132</v>
      </c>
      <c r="G3" s="76">
        <v>426</v>
      </c>
      <c r="H3" s="77">
        <v>92.7</v>
      </c>
      <c r="I3" s="87">
        <v>88.95</v>
      </c>
      <c r="J3" s="88">
        <v>2</v>
      </c>
      <c r="K3" s="76">
        <v>1</v>
      </c>
      <c r="M3" s="26" t="s">
        <v>14</v>
      </c>
      <c r="N3" s="27">
        <f>COUNTIFS(A3:A55,"&gt;=1",A3:A55,"&lt;=41",G3:G55,"&gt;=400")</f>
        <v>3</v>
      </c>
      <c r="O3" s="27">
        <f>COUNTIFS(G3:G62,"&gt;=400")</f>
        <v>3</v>
      </c>
      <c r="P3" s="28">
        <f>(N3/O3)*100%</f>
        <v>1</v>
      </c>
    </row>
    <row r="4" spans="1:16">
      <c r="A4" s="74">
        <v>2</v>
      </c>
      <c r="B4" s="75">
        <v>100014000860189</v>
      </c>
      <c r="C4" s="76">
        <v>72</v>
      </c>
      <c r="D4" s="76">
        <v>76</v>
      </c>
      <c r="E4" s="76">
        <v>125</v>
      </c>
      <c r="F4" s="76">
        <v>118</v>
      </c>
      <c r="G4" s="76">
        <v>391</v>
      </c>
      <c r="H4" s="77">
        <v>95.7</v>
      </c>
      <c r="I4" s="87">
        <v>86.95</v>
      </c>
      <c r="J4" s="88">
        <v>1</v>
      </c>
      <c r="K4" s="76">
        <v>5</v>
      </c>
      <c r="M4" s="26" t="s">
        <v>15</v>
      </c>
      <c r="N4" s="27">
        <f>COUNTIFS(A3:A55,"&gt;=1",A3:A55,"&lt;=41",G3:G55,"&gt;=390",G3:G55,"&lt;=399")</f>
        <v>4</v>
      </c>
      <c r="O4" s="27">
        <f>COUNTIFS(G3:G55,"&gt;=390",G3:G55,"&lt;=399")</f>
        <v>4</v>
      </c>
      <c r="P4" s="28">
        <f t="shared" ref="P4:P10" si="0">(N4/O4)*100%</f>
        <v>1</v>
      </c>
    </row>
    <row r="5" spans="1:16">
      <c r="A5" s="74">
        <v>3</v>
      </c>
      <c r="B5" s="75">
        <v>100014000860221</v>
      </c>
      <c r="C5" s="76">
        <v>64</v>
      </c>
      <c r="D5" s="76">
        <v>77</v>
      </c>
      <c r="E5" s="76">
        <v>140</v>
      </c>
      <c r="F5" s="76">
        <v>125</v>
      </c>
      <c r="G5" s="76">
        <v>406</v>
      </c>
      <c r="H5" s="77">
        <v>85.2</v>
      </c>
      <c r="I5" s="89">
        <v>83.2</v>
      </c>
      <c r="J5" s="88">
        <v>17</v>
      </c>
      <c r="K5" s="76">
        <v>3</v>
      </c>
      <c r="M5" s="26" t="s">
        <v>16</v>
      </c>
      <c r="N5" s="27">
        <f>COUNTIFS(A3:A56,"&gt;=1",A3:A56,"&lt;=41",G3:G56,"&gt;=380",G3:G56,"&lt;=389")</f>
        <v>7</v>
      </c>
      <c r="O5" s="27">
        <f>COUNTIFS(G3:G56,"&gt;=380",G3:G56,"&lt;=389")</f>
        <v>7</v>
      </c>
      <c r="P5" s="28">
        <f t="shared" si="0"/>
        <v>1</v>
      </c>
    </row>
    <row r="6" spans="1:16">
      <c r="A6" s="74">
        <v>4</v>
      </c>
      <c r="B6" s="75">
        <v>100014000860161</v>
      </c>
      <c r="C6" s="76">
        <v>75</v>
      </c>
      <c r="D6" s="76">
        <v>75</v>
      </c>
      <c r="E6" s="76">
        <v>111</v>
      </c>
      <c r="F6" s="76">
        <v>124</v>
      </c>
      <c r="G6" s="76">
        <v>385</v>
      </c>
      <c r="H6" s="77">
        <v>87.8</v>
      </c>
      <c r="I6" s="89">
        <v>82.4</v>
      </c>
      <c r="J6" s="88">
        <v>10</v>
      </c>
      <c r="K6" s="76">
        <v>12</v>
      </c>
      <c r="M6" s="29" t="s">
        <v>17</v>
      </c>
      <c r="N6" s="27">
        <f>COUNTIFS(A3:A57,"&gt;=1",A3:A57,"&lt;=41",G3:G57,"&gt;=370",G3:G57,"&lt;=379")</f>
        <v>1</v>
      </c>
      <c r="O6" s="27">
        <f>COUNTIFS(G3:G57,"&gt;=370",G3:G57,"&lt;=379")</f>
        <v>1</v>
      </c>
      <c r="P6" s="28">
        <f t="shared" si="0"/>
        <v>1</v>
      </c>
    </row>
    <row r="7" spans="1:16">
      <c r="A7" s="74">
        <v>5</v>
      </c>
      <c r="B7" s="75">
        <v>100014000860287</v>
      </c>
      <c r="C7" s="76">
        <v>74</v>
      </c>
      <c r="D7" s="76">
        <v>80</v>
      </c>
      <c r="E7" s="76">
        <v>120</v>
      </c>
      <c r="F7" s="76">
        <v>124</v>
      </c>
      <c r="G7" s="76">
        <v>398</v>
      </c>
      <c r="H7" s="77">
        <v>84.8</v>
      </c>
      <c r="I7" s="89">
        <v>82.2</v>
      </c>
      <c r="J7" s="88">
        <v>19</v>
      </c>
      <c r="K7" s="76">
        <v>4</v>
      </c>
      <c r="M7" s="29" t="s">
        <v>18</v>
      </c>
      <c r="N7" s="27">
        <f>COUNTIFS(A3:A58,"&gt;=1",A3:A58,"&lt;=41",G3:G58,"&gt;=360",G3:G58,"&lt;=369")</f>
        <v>7</v>
      </c>
      <c r="O7" s="27">
        <f>COUNTIFS(G3:G58,"&gt;=360",G3:G58,"&lt;=369")</f>
        <v>7</v>
      </c>
      <c r="P7" s="28">
        <f t="shared" si="0"/>
        <v>1</v>
      </c>
    </row>
    <row r="8" spans="1:16">
      <c r="A8" s="74">
        <v>6</v>
      </c>
      <c r="B8" s="75">
        <v>100014000860329</v>
      </c>
      <c r="C8" s="76">
        <v>60</v>
      </c>
      <c r="D8" s="76">
        <v>67</v>
      </c>
      <c r="E8" s="76">
        <v>111</v>
      </c>
      <c r="F8" s="76">
        <v>121</v>
      </c>
      <c r="G8" s="76">
        <v>359</v>
      </c>
      <c r="H8" s="77">
        <v>91.7</v>
      </c>
      <c r="I8" s="87">
        <v>81.75</v>
      </c>
      <c r="J8" s="88">
        <v>3</v>
      </c>
      <c r="K8" s="76">
        <v>23</v>
      </c>
      <c r="M8" s="29" t="s">
        <v>19</v>
      </c>
      <c r="N8" s="27">
        <f>COUNTIFS(A3:A59,"&gt;=1",A3:A59,"&lt;=41",G3:G59,"&gt;=350",G3:G59,"&lt;=359")</f>
        <v>10</v>
      </c>
      <c r="O8" s="27">
        <f>COUNTIFS(G3:G59,"&gt;=350",G3:G59,"&lt;=359")</f>
        <v>14</v>
      </c>
      <c r="P8" s="28">
        <f t="shared" si="0"/>
        <v>0.714285714285714</v>
      </c>
    </row>
    <row r="9" spans="1:16">
      <c r="A9" s="74">
        <v>7</v>
      </c>
      <c r="B9" s="75">
        <v>100014000860234</v>
      </c>
      <c r="C9" s="76">
        <v>71</v>
      </c>
      <c r="D9" s="76">
        <v>71</v>
      </c>
      <c r="E9" s="76">
        <v>136</v>
      </c>
      <c r="F9" s="76">
        <v>130</v>
      </c>
      <c r="G9" s="76">
        <v>408</v>
      </c>
      <c r="H9" s="77">
        <v>81.3</v>
      </c>
      <c r="I9" s="87">
        <v>81.45</v>
      </c>
      <c r="J9" s="88">
        <v>26</v>
      </c>
      <c r="K9" s="76">
        <v>2</v>
      </c>
      <c r="M9" s="29" t="s">
        <v>20</v>
      </c>
      <c r="N9" s="27">
        <f>COUNTIFS(A3:A60,"&gt;=1",A3:A60,"&lt;=41",G3:G60,"&gt;=340",G3:G60,"&lt;=349")</f>
        <v>9</v>
      </c>
      <c r="O9" s="27">
        <f>COUNTIFS(G3:G60,"&gt;=340",G3:G60,"&lt;=349")</f>
        <v>13</v>
      </c>
      <c r="P9" s="28">
        <f t="shared" si="0"/>
        <v>0.692307692307692</v>
      </c>
    </row>
    <row r="10" spans="1:16">
      <c r="A10" s="74">
        <v>8</v>
      </c>
      <c r="B10" s="75">
        <v>100014000860273</v>
      </c>
      <c r="C10" s="76">
        <v>76</v>
      </c>
      <c r="D10" s="76">
        <v>76</v>
      </c>
      <c r="E10" s="76">
        <v>123</v>
      </c>
      <c r="F10" s="76">
        <v>114</v>
      </c>
      <c r="G10" s="76">
        <v>389</v>
      </c>
      <c r="H10" s="77">
        <v>83.8</v>
      </c>
      <c r="I10" s="89">
        <v>80.8</v>
      </c>
      <c r="J10" s="88">
        <v>21</v>
      </c>
      <c r="K10" s="76">
        <v>8</v>
      </c>
      <c r="M10" s="29" t="s">
        <v>21</v>
      </c>
      <c r="N10" s="27">
        <f>COUNTIFS(A3:A61,"&gt;=1",A3:A61,"&lt;=41",G3:G61,"&gt;=330",G3:G61,"&lt;=339")</f>
        <v>0</v>
      </c>
      <c r="O10" s="27">
        <f>COUNTIFS(G3:G61,"&gt;=330",G3:G61,"&lt;=339")</f>
        <v>4</v>
      </c>
      <c r="P10" s="28">
        <f t="shared" si="0"/>
        <v>0</v>
      </c>
    </row>
    <row r="11" spans="1:11">
      <c r="A11" s="74">
        <v>9</v>
      </c>
      <c r="B11" s="75">
        <v>100014000860231</v>
      </c>
      <c r="C11" s="76">
        <v>59</v>
      </c>
      <c r="D11" s="76">
        <v>74</v>
      </c>
      <c r="E11" s="76">
        <v>114</v>
      </c>
      <c r="F11" s="76">
        <v>112</v>
      </c>
      <c r="G11" s="76">
        <v>359</v>
      </c>
      <c r="H11" s="77">
        <v>89.7</v>
      </c>
      <c r="I11" s="87">
        <v>80.75</v>
      </c>
      <c r="J11" s="88">
        <v>6</v>
      </c>
      <c r="K11" s="76">
        <v>23</v>
      </c>
    </row>
    <row r="12" spans="1:11">
      <c r="A12" s="74">
        <v>10</v>
      </c>
      <c r="B12" s="75">
        <v>100014000860016</v>
      </c>
      <c r="C12" s="76">
        <v>64</v>
      </c>
      <c r="D12" s="76">
        <v>83</v>
      </c>
      <c r="E12" s="76">
        <v>99</v>
      </c>
      <c r="F12" s="76">
        <v>103</v>
      </c>
      <c r="G12" s="76">
        <v>349</v>
      </c>
      <c r="H12" s="77">
        <v>91.2</v>
      </c>
      <c r="I12" s="89">
        <v>80.5</v>
      </c>
      <c r="J12" s="88">
        <v>4</v>
      </c>
      <c r="K12" s="76">
        <v>37</v>
      </c>
    </row>
    <row r="13" spans="1:11">
      <c r="A13" s="74">
        <v>11</v>
      </c>
      <c r="B13" s="75">
        <v>100014000860249</v>
      </c>
      <c r="C13" s="76">
        <v>69</v>
      </c>
      <c r="D13" s="76">
        <v>77</v>
      </c>
      <c r="E13" s="76">
        <v>123</v>
      </c>
      <c r="F13" s="76">
        <v>119</v>
      </c>
      <c r="G13" s="76">
        <v>388</v>
      </c>
      <c r="H13" s="77">
        <v>82.3</v>
      </c>
      <c r="I13" s="87">
        <v>79.95</v>
      </c>
      <c r="J13" s="88">
        <v>24</v>
      </c>
      <c r="K13" s="76">
        <v>9</v>
      </c>
    </row>
    <row r="14" spans="1:11">
      <c r="A14" s="74">
        <v>12</v>
      </c>
      <c r="B14" s="75">
        <v>100014000860343</v>
      </c>
      <c r="C14" s="76">
        <v>63</v>
      </c>
      <c r="D14" s="76">
        <v>84</v>
      </c>
      <c r="E14" s="76">
        <v>120</v>
      </c>
      <c r="F14" s="76">
        <v>92</v>
      </c>
      <c r="G14" s="76">
        <v>359</v>
      </c>
      <c r="H14" s="77">
        <v>88</v>
      </c>
      <c r="I14" s="89">
        <v>79.9</v>
      </c>
      <c r="J14" s="88">
        <v>9</v>
      </c>
      <c r="K14" s="76">
        <v>23</v>
      </c>
    </row>
    <row r="15" spans="1:11">
      <c r="A15" s="74">
        <v>12</v>
      </c>
      <c r="B15" s="75">
        <v>100014000860248</v>
      </c>
      <c r="C15" s="76">
        <v>76</v>
      </c>
      <c r="D15" s="76">
        <v>67</v>
      </c>
      <c r="E15" s="76">
        <v>112</v>
      </c>
      <c r="F15" s="76">
        <v>114</v>
      </c>
      <c r="G15" s="76">
        <v>369</v>
      </c>
      <c r="H15" s="77">
        <v>86</v>
      </c>
      <c r="I15" s="89">
        <v>79.9</v>
      </c>
      <c r="J15" s="88">
        <v>16</v>
      </c>
      <c r="K15" s="76">
        <v>16</v>
      </c>
    </row>
    <row r="16" spans="1:11">
      <c r="A16" s="74">
        <v>14</v>
      </c>
      <c r="B16" s="75">
        <v>100014000860206</v>
      </c>
      <c r="C16" s="76">
        <v>65</v>
      </c>
      <c r="D16" s="76">
        <v>83</v>
      </c>
      <c r="E16" s="76">
        <v>105</v>
      </c>
      <c r="F16" s="76">
        <v>94</v>
      </c>
      <c r="G16" s="76">
        <v>347</v>
      </c>
      <c r="H16" s="77">
        <v>90.2</v>
      </c>
      <c r="I16" s="89">
        <v>79.8</v>
      </c>
      <c r="J16" s="88">
        <v>5</v>
      </c>
      <c r="K16" s="76">
        <v>39</v>
      </c>
    </row>
    <row r="17" spans="1:11">
      <c r="A17" s="74">
        <v>15</v>
      </c>
      <c r="B17" s="75">
        <v>100014000860181</v>
      </c>
      <c r="C17" s="76">
        <v>63</v>
      </c>
      <c r="D17" s="76">
        <v>69</v>
      </c>
      <c r="E17" s="76">
        <v>133</v>
      </c>
      <c r="F17" s="76">
        <v>125</v>
      </c>
      <c r="G17" s="76">
        <v>390</v>
      </c>
      <c r="H17" s="77">
        <v>81</v>
      </c>
      <c r="I17" s="89">
        <v>79.5</v>
      </c>
      <c r="J17" s="88">
        <v>28</v>
      </c>
      <c r="K17" s="76">
        <v>7</v>
      </c>
    </row>
    <row r="18" spans="1:11">
      <c r="A18" s="74">
        <v>16</v>
      </c>
      <c r="B18" s="75">
        <v>100014000860295</v>
      </c>
      <c r="C18" s="76">
        <v>68</v>
      </c>
      <c r="D18" s="76">
        <v>62</v>
      </c>
      <c r="E18" s="76">
        <v>122</v>
      </c>
      <c r="F18" s="76">
        <v>94</v>
      </c>
      <c r="G18" s="76">
        <v>346</v>
      </c>
      <c r="H18" s="77">
        <v>89.7</v>
      </c>
      <c r="I18" s="87">
        <v>79.45</v>
      </c>
      <c r="J18" s="88">
        <v>6</v>
      </c>
      <c r="K18" s="76">
        <v>41</v>
      </c>
    </row>
    <row r="19" spans="1:11">
      <c r="A19" s="74">
        <v>17</v>
      </c>
      <c r="B19" s="75">
        <v>100014000860185</v>
      </c>
      <c r="C19" s="76">
        <v>71</v>
      </c>
      <c r="D19" s="76">
        <v>70</v>
      </c>
      <c r="E19" s="76">
        <v>109</v>
      </c>
      <c r="F19" s="76">
        <v>109</v>
      </c>
      <c r="G19" s="76">
        <v>359</v>
      </c>
      <c r="H19" s="77">
        <v>86.8</v>
      </c>
      <c r="I19" s="89">
        <v>79.3</v>
      </c>
      <c r="J19" s="88">
        <v>13</v>
      </c>
      <c r="K19" s="76">
        <v>23</v>
      </c>
    </row>
    <row r="20" spans="1:11">
      <c r="A20" s="74">
        <v>18</v>
      </c>
      <c r="B20" s="75">
        <v>100014000860210</v>
      </c>
      <c r="C20" s="76">
        <v>65</v>
      </c>
      <c r="D20" s="76">
        <v>68</v>
      </c>
      <c r="E20" s="76">
        <v>117</v>
      </c>
      <c r="F20" s="76">
        <v>103</v>
      </c>
      <c r="G20" s="76">
        <v>353</v>
      </c>
      <c r="H20" s="77">
        <v>87.8</v>
      </c>
      <c r="I20" s="89">
        <v>79.2</v>
      </c>
      <c r="J20" s="88">
        <v>10</v>
      </c>
      <c r="K20" s="76">
        <v>33</v>
      </c>
    </row>
    <row r="21" spans="1:11">
      <c r="A21" s="74">
        <v>19</v>
      </c>
      <c r="B21" s="75">
        <v>100014000860183</v>
      </c>
      <c r="C21" s="76">
        <v>59</v>
      </c>
      <c r="D21" s="76">
        <v>73</v>
      </c>
      <c r="E21" s="76">
        <v>126</v>
      </c>
      <c r="F21" s="76">
        <v>98</v>
      </c>
      <c r="G21" s="76">
        <v>356</v>
      </c>
      <c r="H21" s="77">
        <v>86.8</v>
      </c>
      <c r="I21" s="74">
        <v>79</v>
      </c>
      <c r="J21" s="88">
        <v>13</v>
      </c>
      <c r="K21" s="76">
        <v>28</v>
      </c>
    </row>
    <row r="22" spans="1:11">
      <c r="A22" s="74">
        <v>20</v>
      </c>
      <c r="B22" s="75">
        <v>100014000860214</v>
      </c>
      <c r="C22" s="76">
        <v>63</v>
      </c>
      <c r="D22" s="76">
        <v>77</v>
      </c>
      <c r="E22" s="76">
        <v>123</v>
      </c>
      <c r="F22" s="76">
        <v>104</v>
      </c>
      <c r="G22" s="76">
        <v>367</v>
      </c>
      <c r="H22" s="77">
        <v>84.2</v>
      </c>
      <c r="I22" s="89">
        <v>78.8</v>
      </c>
      <c r="J22" s="88">
        <v>20</v>
      </c>
      <c r="K22" s="76">
        <v>18</v>
      </c>
    </row>
    <row r="23" spans="1:11">
      <c r="A23" s="74">
        <v>21</v>
      </c>
      <c r="B23" s="75">
        <v>100014000860315</v>
      </c>
      <c r="C23" s="76">
        <v>67</v>
      </c>
      <c r="D23" s="76">
        <v>78</v>
      </c>
      <c r="E23" s="76">
        <v>119</v>
      </c>
      <c r="F23" s="76">
        <v>112</v>
      </c>
      <c r="G23" s="76">
        <v>376</v>
      </c>
      <c r="H23" s="77">
        <v>82.3</v>
      </c>
      <c r="I23" s="87">
        <v>78.75</v>
      </c>
      <c r="J23" s="88">
        <v>24</v>
      </c>
      <c r="K23" s="76">
        <v>15</v>
      </c>
    </row>
    <row r="24" spans="1:11">
      <c r="A24" s="74">
        <v>22</v>
      </c>
      <c r="B24" s="75">
        <v>100014000860345</v>
      </c>
      <c r="C24" s="76">
        <v>65</v>
      </c>
      <c r="D24" s="76">
        <v>72</v>
      </c>
      <c r="E24" s="76">
        <v>119</v>
      </c>
      <c r="F24" s="76">
        <v>91</v>
      </c>
      <c r="G24" s="76">
        <v>347</v>
      </c>
      <c r="H24" s="77">
        <v>87.7</v>
      </c>
      <c r="I24" s="87">
        <v>78.55</v>
      </c>
      <c r="J24" s="88">
        <v>12</v>
      </c>
      <c r="K24" s="76">
        <v>39</v>
      </c>
    </row>
    <row r="25" spans="1:11">
      <c r="A25" s="74">
        <v>22</v>
      </c>
      <c r="B25" s="75">
        <v>100014000860017</v>
      </c>
      <c r="C25" s="76">
        <v>70</v>
      </c>
      <c r="D25" s="76">
        <v>82</v>
      </c>
      <c r="E25" s="76">
        <v>130</v>
      </c>
      <c r="F25" s="76">
        <v>105</v>
      </c>
      <c r="G25" s="76">
        <v>387</v>
      </c>
      <c r="H25" s="77">
        <v>79.7</v>
      </c>
      <c r="I25" s="87">
        <v>78.55</v>
      </c>
      <c r="J25" s="88">
        <v>32</v>
      </c>
      <c r="K25" s="76">
        <v>11</v>
      </c>
    </row>
    <row r="26" spans="1:11">
      <c r="A26" s="74">
        <v>22</v>
      </c>
      <c r="B26" s="75">
        <v>100014000860148</v>
      </c>
      <c r="C26" s="76">
        <v>63</v>
      </c>
      <c r="D26" s="76">
        <v>79</v>
      </c>
      <c r="E26" s="76">
        <v>123</v>
      </c>
      <c r="F26" s="76">
        <v>123</v>
      </c>
      <c r="G26" s="76">
        <v>388</v>
      </c>
      <c r="H26" s="77">
        <v>79.5</v>
      </c>
      <c r="I26" s="87">
        <v>78.55</v>
      </c>
      <c r="J26" s="88">
        <v>33</v>
      </c>
      <c r="K26" s="76">
        <v>9</v>
      </c>
    </row>
    <row r="27" spans="1:11">
      <c r="A27" s="74">
        <v>25</v>
      </c>
      <c r="B27" s="75">
        <v>100014000860158</v>
      </c>
      <c r="C27" s="76">
        <v>72</v>
      </c>
      <c r="D27" s="76">
        <v>83</v>
      </c>
      <c r="E27" s="76">
        <v>107</v>
      </c>
      <c r="F27" s="76">
        <v>119</v>
      </c>
      <c r="G27" s="76">
        <v>381</v>
      </c>
      <c r="H27" s="77">
        <v>80.8</v>
      </c>
      <c r="I27" s="89">
        <v>78.5</v>
      </c>
      <c r="J27" s="88">
        <v>29</v>
      </c>
      <c r="K27" s="76">
        <v>13</v>
      </c>
    </row>
    <row r="28" spans="1:11">
      <c r="A28" s="74">
        <v>26</v>
      </c>
      <c r="B28" s="75">
        <v>100014000860235</v>
      </c>
      <c r="C28" s="76">
        <v>71</v>
      </c>
      <c r="D28" s="76">
        <v>75</v>
      </c>
      <c r="E28" s="76">
        <v>91</v>
      </c>
      <c r="F28" s="76">
        <v>104</v>
      </c>
      <c r="G28" s="76">
        <v>341</v>
      </c>
      <c r="H28" s="77">
        <v>88.2</v>
      </c>
      <c r="I28" s="89">
        <v>78.2</v>
      </c>
      <c r="J28" s="88">
        <v>8</v>
      </c>
      <c r="K28" s="76">
        <v>49</v>
      </c>
    </row>
    <row r="29" spans="1:11">
      <c r="A29" s="74">
        <v>27</v>
      </c>
      <c r="B29" s="75">
        <v>100014000860291</v>
      </c>
      <c r="C29" s="76">
        <v>67</v>
      </c>
      <c r="D29" s="76">
        <v>81</v>
      </c>
      <c r="E29" s="76">
        <v>116</v>
      </c>
      <c r="F29" s="76">
        <v>102</v>
      </c>
      <c r="G29" s="76">
        <v>366</v>
      </c>
      <c r="H29" s="77">
        <v>82.7</v>
      </c>
      <c r="I29" s="87">
        <v>77.95</v>
      </c>
      <c r="J29" s="88">
        <v>23</v>
      </c>
      <c r="K29" s="76">
        <v>19</v>
      </c>
    </row>
    <row r="30" spans="1:11">
      <c r="A30" s="74">
        <v>28</v>
      </c>
      <c r="B30" s="75">
        <v>100014000860153</v>
      </c>
      <c r="C30" s="76">
        <v>72</v>
      </c>
      <c r="D30" s="76">
        <v>71</v>
      </c>
      <c r="E30" s="76">
        <v>102</v>
      </c>
      <c r="F30" s="76">
        <v>98</v>
      </c>
      <c r="G30" s="76">
        <v>343</v>
      </c>
      <c r="H30" s="77">
        <v>86.5</v>
      </c>
      <c r="I30" s="87">
        <v>77.55</v>
      </c>
      <c r="J30" s="88">
        <v>15</v>
      </c>
      <c r="K30" s="76">
        <v>45</v>
      </c>
    </row>
    <row r="31" spans="1:11">
      <c r="A31" s="74">
        <v>29</v>
      </c>
      <c r="B31" s="75">
        <v>100014000860188</v>
      </c>
      <c r="C31" s="76">
        <v>67</v>
      </c>
      <c r="D31" s="76">
        <v>80</v>
      </c>
      <c r="E31" s="76">
        <v>107</v>
      </c>
      <c r="F31" s="76">
        <v>92</v>
      </c>
      <c r="G31" s="76">
        <v>346</v>
      </c>
      <c r="H31" s="77">
        <v>85.2</v>
      </c>
      <c r="I31" s="89">
        <v>77.2</v>
      </c>
      <c r="J31" s="88">
        <v>17</v>
      </c>
      <c r="K31" s="76">
        <v>41</v>
      </c>
    </row>
    <row r="32" spans="1:11">
      <c r="A32" s="74">
        <v>30</v>
      </c>
      <c r="B32" s="75">
        <v>100014000860282</v>
      </c>
      <c r="C32" s="76">
        <v>69</v>
      </c>
      <c r="D32" s="76">
        <v>58</v>
      </c>
      <c r="E32" s="76">
        <v>122</v>
      </c>
      <c r="F32" s="76">
        <v>115</v>
      </c>
      <c r="G32" s="76">
        <v>364</v>
      </c>
      <c r="H32" s="77">
        <v>81.2</v>
      </c>
      <c r="I32" s="74">
        <v>77</v>
      </c>
      <c r="J32" s="88">
        <v>27</v>
      </c>
      <c r="K32" s="76">
        <v>20</v>
      </c>
    </row>
    <row r="33" spans="1:11">
      <c r="A33" s="74">
        <v>31</v>
      </c>
      <c r="B33" s="75">
        <v>100014000860365</v>
      </c>
      <c r="C33" s="76">
        <v>75</v>
      </c>
      <c r="D33" s="76">
        <v>84</v>
      </c>
      <c r="E33" s="76">
        <v>114</v>
      </c>
      <c r="F33" s="76">
        <v>107</v>
      </c>
      <c r="G33" s="76">
        <v>380</v>
      </c>
      <c r="H33" s="77">
        <v>77.8</v>
      </c>
      <c r="I33" s="89">
        <v>76.9</v>
      </c>
      <c r="J33" s="88">
        <v>37</v>
      </c>
      <c r="K33" s="76">
        <v>14</v>
      </c>
    </row>
    <row r="34" spans="1:11">
      <c r="A34" s="74">
        <v>32</v>
      </c>
      <c r="B34" s="75">
        <v>100014000860326</v>
      </c>
      <c r="C34" s="76">
        <v>67</v>
      </c>
      <c r="D34" s="76">
        <v>73</v>
      </c>
      <c r="E34" s="76">
        <v>114</v>
      </c>
      <c r="F34" s="76">
        <v>95</v>
      </c>
      <c r="G34" s="76">
        <v>349</v>
      </c>
      <c r="H34" s="77">
        <v>83.7</v>
      </c>
      <c r="I34" s="87">
        <v>76.75</v>
      </c>
      <c r="J34" s="88">
        <v>22</v>
      </c>
      <c r="K34" s="76">
        <v>37</v>
      </c>
    </row>
    <row r="35" spans="1:11">
      <c r="A35" s="74">
        <v>33</v>
      </c>
      <c r="B35" s="75">
        <v>100014000860169</v>
      </c>
      <c r="C35" s="76">
        <v>64</v>
      </c>
      <c r="D35" s="76">
        <v>78</v>
      </c>
      <c r="E35" s="76">
        <v>111</v>
      </c>
      <c r="F35" s="76">
        <v>107</v>
      </c>
      <c r="G35" s="76">
        <v>360</v>
      </c>
      <c r="H35" s="77">
        <v>80.7</v>
      </c>
      <c r="I35" s="87">
        <v>76.35</v>
      </c>
      <c r="J35" s="88">
        <v>30</v>
      </c>
      <c r="K35" s="76">
        <v>22</v>
      </c>
    </row>
    <row r="36" spans="1:11">
      <c r="A36" s="74">
        <v>34</v>
      </c>
      <c r="B36" s="75">
        <v>100014000860197</v>
      </c>
      <c r="C36" s="76">
        <v>64</v>
      </c>
      <c r="D36" s="76">
        <v>76</v>
      </c>
      <c r="E36" s="76">
        <v>109</v>
      </c>
      <c r="F36" s="76">
        <v>114</v>
      </c>
      <c r="G36" s="76">
        <v>363</v>
      </c>
      <c r="H36" s="77">
        <v>79.3</v>
      </c>
      <c r="I36" s="87">
        <v>75.95</v>
      </c>
      <c r="J36" s="88">
        <v>34</v>
      </c>
      <c r="K36" s="76">
        <v>21</v>
      </c>
    </row>
    <row r="37" spans="1:11">
      <c r="A37" s="74">
        <v>35</v>
      </c>
      <c r="B37" s="75">
        <v>100014000860173</v>
      </c>
      <c r="C37" s="76">
        <v>68</v>
      </c>
      <c r="D37" s="76">
        <v>74</v>
      </c>
      <c r="E37" s="76">
        <v>106</v>
      </c>
      <c r="F37" s="76">
        <v>108</v>
      </c>
      <c r="G37" s="76">
        <v>356</v>
      </c>
      <c r="H37" s="77">
        <v>80.5</v>
      </c>
      <c r="I37" s="87">
        <v>75.85</v>
      </c>
      <c r="J37" s="88">
        <v>31</v>
      </c>
      <c r="K37" s="76">
        <v>28</v>
      </c>
    </row>
    <row r="38" spans="1:21">
      <c r="A38" s="74">
        <v>36</v>
      </c>
      <c r="B38" s="75">
        <v>100014000860301</v>
      </c>
      <c r="C38" s="76">
        <v>61</v>
      </c>
      <c r="D38" s="76">
        <v>79</v>
      </c>
      <c r="E38" s="76">
        <v>111</v>
      </c>
      <c r="F38" s="76">
        <v>101</v>
      </c>
      <c r="G38" s="76">
        <v>352</v>
      </c>
      <c r="H38" s="77">
        <v>79.3</v>
      </c>
      <c r="I38" s="87">
        <v>74.85</v>
      </c>
      <c r="J38" s="88">
        <v>34</v>
      </c>
      <c r="K38" s="76">
        <v>35</v>
      </c>
      <c r="M38" s="61" t="s">
        <v>22</v>
      </c>
      <c r="N38" s="62"/>
      <c r="O38" s="62"/>
      <c r="P38" s="62"/>
      <c r="Q38" s="62"/>
      <c r="R38" s="62"/>
      <c r="S38" s="62"/>
      <c r="T38" s="62"/>
      <c r="U38" s="62"/>
    </row>
    <row r="39" spans="1:21">
      <c r="A39" s="74">
        <v>36</v>
      </c>
      <c r="B39" s="75">
        <v>100014000860320</v>
      </c>
      <c r="C39" s="76">
        <v>69</v>
      </c>
      <c r="D39" s="76">
        <v>62</v>
      </c>
      <c r="E39" s="76">
        <v>120</v>
      </c>
      <c r="F39" s="76">
        <v>104</v>
      </c>
      <c r="G39" s="76">
        <v>355</v>
      </c>
      <c r="H39" s="77">
        <v>78.7</v>
      </c>
      <c r="I39" s="87">
        <v>74.85</v>
      </c>
      <c r="J39" s="88">
        <v>36</v>
      </c>
      <c r="K39" s="76">
        <v>30</v>
      </c>
      <c r="M39" s="61" t="s">
        <v>23</v>
      </c>
      <c r="N39" s="62"/>
      <c r="O39" s="62"/>
      <c r="P39" s="62"/>
      <c r="Q39" s="62"/>
      <c r="R39" s="62"/>
      <c r="S39" s="62"/>
      <c r="T39" s="62"/>
      <c r="U39" s="62"/>
    </row>
    <row r="40" spans="1:21">
      <c r="A40" s="74">
        <v>38</v>
      </c>
      <c r="B40" s="75">
        <v>100014000860377</v>
      </c>
      <c r="C40" s="76">
        <v>60</v>
      </c>
      <c r="D40" s="76">
        <v>69</v>
      </c>
      <c r="E40" s="76">
        <v>127</v>
      </c>
      <c r="F40" s="76">
        <v>99</v>
      </c>
      <c r="G40" s="76">
        <v>355</v>
      </c>
      <c r="H40" s="77">
        <v>77.3</v>
      </c>
      <c r="I40" s="87">
        <v>74.15</v>
      </c>
      <c r="J40" s="88">
        <v>38</v>
      </c>
      <c r="K40" s="76">
        <v>30</v>
      </c>
      <c r="M40" s="61" t="s">
        <v>24</v>
      </c>
      <c r="N40" s="62"/>
      <c r="O40" s="62"/>
      <c r="P40" s="62"/>
      <c r="Q40" s="62"/>
      <c r="R40" s="62"/>
      <c r="S40" s="62"/>
      <c r="T40" s="62"/>
      <c r="U40" s="62"/>
    </row>
    <row r="41" spans="1:21">
      <c r="A41" s="74">
        <v>39</v>
      </c>
      <c r="B41" s="75">
        <v>100014000860219</v>
      </c>
      <c r="C41" s="76">
        <v>69</v>
      </c>
      <c r="D41" s="76">
        <v>63</v>
      </c>
      <c r="E41" s="76">
        <v>120</v>
      </c>
      <c r="F41" s="76">
        <v>116</v>
      </c>
      <c r="G41" s="76">
        <v>368</v>
      </c>
      <c r="H41" s="77">
        <v>73.5</v>
      </c>
      <c r="I41" s="87">
        <v>73.55</v>
      </c>
      <c r="J41" s="88">
        <v>40</v>
      </c>
      <c r="K41" s="76">
        <v>17</v>
      </c>
      <c r="M41" s="61" t="s">
        <v>25</v>
      </c>
      <c r="N41" s="62"/>
      <c r="O41" s="62"/>
      <c r="P41" s="62"/>
      <c r="Q41" s="62"/>
      <c r="R41" s="62"/>
      <c r="S41" s="62"/>
      <c r="T41" s="62"/>
      <c r="U41" s="62"/>
    </row>
    <row r="42" spans="1:21">
      <c r="A42" s="74">
        <v>40</v>
      </c>
      <c r="B42" s="75">
        <v>100014000860349</v>
      </c>
      <c r="C42" s="76">
        <v>71</v>
      </c>
      <c r="D42" s="76">
        <v>68</v>
      </c>
      <c r="E42" s="76">
        <v>112</v>
      </c>
      <c r="F42" s="76">
        <v>91</v>
      </c>
      <c r="G42" s="76">
        <v>342</v>
      </c>
      <c r="H42" s="77">
        <v>75</v>
      </c>
      <c r="I42" s="89">
        <v>71.7</v>
      </c>
      <c r="J42" s="88">
        <v>39</v>
      </c>
      <c r="K42" s="76">
        <v>47</v>
      </c>
      <c r="M42" s="61" t="s">
        <v>26</v>
      </c>
      <c r="N42" s="62"/>
      <c r="O42" s="62"/>
      <c r="P42" s="62"/>
      <c r="Q42" s="62"/>
      <c r="R42" s="62"/>
      <c r="S42" s="62"/>
      <c r="T42" s="62"/>
      <c r="U42" s="62"/>
    </row>
    <row r="43" spans="1:21">
      <c r="A43" s="78">
        <v>41</v>
      </c>
      <c r="B43" s="79">
        <v>100014000860309</v>
      </c>
      <c r="C43" s="80">
        <v>62</v>
      </c>
      <c r="D43" s="80">
        <v>70</v>
      </c>
      <c r="E43" s="80">
        <v>143</v>
      </c>
      <c r="F43" s="80">
        <v>116</v>
      </c>
      <c r="G43" s="80">
        <v>391</v>
      </c>
      <c r="H43" s="81">
        <v>64.3</v>
      </c>
      <c r="I43" s="90">
        <v>71.25</v>
      </c>
      <c r="J43" s="91">
        <v>47</v>
      </c>
      <c r="K43" s="80">
        <v>5</v>
      </c>
      <c r="M43" s="61" t="s">
        <v>27</v>
      </c>
      <c r="N43" s="62"/>
      <c r="O43" s="62"/>
      <c r="P43" s="62"/>
      <c r="Q43" s="62"/>
      <c r="R43" s="62"/>
      <c r="S43" s="62"/>
      <c r="T43" s="62"/>
      <c r="U43" s="62"/>
    </row>
    <row r="44" spans="1:21">
      <c r="A44" s="82">
        <v>42</v>
      </c>
      <c r="B44" s="83">
        <v>100014000860166</v>
      </c>
      <c r="C44" s="84">
        <v>64</v>
      </c>
      <c r="D44" s="84">
        <v>71</v>
      </c>
      <c r="E44" s="84">
        <v>113</v>
      </c>
      <c r="F44" s="84">
        <v>106</v>
      </c>
      <c r="G44" s="84">
        <v>354</v>
      </c>
      <c r="H44" s="85">
        <v>68.8</v>
      </c>
      <c r="I44" s="92">
        <v>69.8</v>
      </c>
      <c r="J44" s="93">
        <v>41</v>
      </c>
      <c r="K44" s="84">
        <v>32</v>
      </c>
      <c r="M44" s="61" t="s">
        <v>28</v>
      </c>
      <c r="N44" s="62"/>
      <c r="O44" s="62"/>
      <c r="P44" s="62"/>
      <c r="Q44" s="62"/>
      <c r="R44" s="62"/>
      <c r="S44" s="62"/>
      <c r="T44" s="62"/>
      <c r="U44" s="62"/>
    </row>
    <row r="45" spans="1:21">
      <c r="A45" s="74">
        <v>43</v>
      </c>
      <c r="B45" s="75">
        <v>100014000860347</v>
      </c>
      <c r="C45" s="76">
        <v>70</v>
      </c>
      <c r="D45" s="76">
        <v>70</v>
      </c>
      <c r="E45" s="76">
        <v>105</v>
      </c>
      <c r="F45" s="76">
        <v>108</v>
      </c>
      <c r="G45" s="76">
        <v>353</v>
      </c>
      <c r="H45" s="77">
        <v>65.8</v>
      </c>
      <c r="I45" s="89">
        <v>68.2</v>
      </c>
      <c r="J45" s="88">
        <v>46</v>
      </c>
      <c r="K45" s="76">
        <v>33</v>
      </c>
      <c r="M45" s="61" t="s">
        <v>29</v>
      </c>
      <c r="N45" s="62"/>
      <c r="O45" s="62"/>
      <c r="P45" s="62"/>
      <c r="Q45" s="62"/>
      <c r="R45" s="62"/>
      <c r="S45" s="62"/>
      <c r="T45" s="62"/>
      <c r="U45" s="62"/>
    </row>
    <row r="46" spans="1:11">
      <c r="A46" s="74">
        <v>44</v>
      </c>
      <c r="B46" s="75">
        <v>100014000860238</v>
      </c>
      <c r="C46" s="76">
        <v>62</v>
      </c>
      <c r="D46" s="76">
        <v>69</v>
      </c>
      <c r="E46" s="76">
        <v>100</v>
      </c>
      <c r="F46" s="76">
        <v>112</v>
      </c>
      <c r="G46" s="76">
        <v>343</v>
      </c>
      <c r="H46" s="77">
        <v>67.7</v>
      </c>
      <c r="I46" s="87">
        <v>68.15</v>
      </c>
      <c r="J46" s="88">
        <v>42</v>
      </c>
      <c r="K46" s="76">
        <v>45</v>
      </c>
    </row>
    <row r="47" spans="1:11">
      <c r="A47" s="74">
        <v>45</v>
      </c>
      <c r="B47" s="75">
        <v>100014000860361</v>
      </c>
      <c r="C47" s="76">
        <v>65</v>
      </c>
      <c r="D47" s="76">
        <v>71</v>
      </c>
      <c r="E47" s="76">
        <v>104</v>
      </c>
      <c r="F47" s="76">
        <v>104</v>
      </c>
      <c r="G47" s="76">
        <v>344</v>
      </c>
      <c r="H47" s="77">
        <v>67.3</v>
      </c>
      <c r="I47" s="87">
        <v>68.05</v>
      </c>
      <c r="J47" s="88">
        <v>43</v>
      </c>
      <c r="K47" s="76">
        <v>44</v>
      </c>
    </row>
    <row r="48" spans="1:11">
      <c r="A48" s="74">
        <v>46</v>
      </c>
      <c r="B48" s="75">
        <v>100014000860182</v>
      </c>
      <c r="C48" s="76">
        <v>56</v>
      </c>
      <c r="D48" s="76">
        <v>70</v>
      </c>
      <c r="E48" s="76">
        <v>104</v>
      </c>
      <c r="F48" s="76">
        <v>109</v>
      </c>
      <c r="G48" s="76">
        <v>339</v>
      </c>
      <c r="H48" s="77">
        <v>66</v>
      </c>
      <c r="I48" s="89">
        <v>66.9</v>
      </c>
      <c r="J48" s="88">
        <v>44</v>
      </c>
      <c r="K48" s="76">
        <v>50</v>
      </c>
    </row>
    <row r="49" spans="1:11">
      <c r="A49" s="74">
        <v>46</v>
      </c>
      <c r="B49" s="75">
        <v>100014000860186</v>
      </c>
      <c r="C49" s="76">
        <v>67</v>
      </c>
      <c r="D49" s="76">
        <v>71</v>
      </c>
      <c r="E49" s="76">
        <v>99</v>
      </c>
      <c r="F49" s="76">
        <v>102</v>
      </c>
      <c r="G49" s="76">
        <v>339</v>
      </c>
      <c r="H49" s="77">
        <v>66</v>
      </c>
      <c r="I49" s="89">
        <v>66.9</v>
      </c>
      <c r="J49" s="88">
        <v>44</v>
      </c>
      <c r="K49" s="76">
        <v>50</v>
      </c>
    </row>
    <row r="50" spans="1:11">
      <c r="A50" s="74">
        <v>48</v>
      </c>
      <c r="B50" s="75">
        <v>100014000860020</v>
      </c>
      <c r="C50" s="76">
        <v>68</v>
      </c>
      <c r="D50" s="76">
        <v>75</v>
      </c>
      <c r="E50" s="76">
        <v>90</v>
      </c>
      <c r="F50" s="76">
        <v>118</v>
      </c>
      <c r="G50" s="76">
        <v>351</v>
      </c>
      <c r="H50" s="77">
        <v>57.5</v>
      </c>
      <c r="I50" s="87">
        <v>63.85</v>
      </c>
      <c r="J50" s="88">
        <v>48</v>
      </c>
      <c r="K50" s="76">
        <v>36</v>
      </c>
    </row>
    <row r="51" spans="1:11">
      <c r="A51" s="74">
        <v>49</v>
      </c>
      <c r="B51" s="75">
        <v>100014000860366</v>
      </c>
      <c r="C51" s="76">
        <v>66</v>
      </c>
      <c r="D51" s="76">
        <v>77</v>
      </c>
      <c r="E51" s="76">
        <v>112</v>
      </c>
      <c r="F51" s="76">
        <v>104</v>
      </c>
      <c r="G51" s="76">
        <v>359</v>
      </c>
      <c r="H51" s="77">
        <v>55.8</v>
      </c>
      <c r="I51" s="89">
        <v>63.8</v>
      </c>
      <c r="J51" s="88">
        <v>52</v>
      </c>
      <c r="K51" s="76">
        <v>23</v>
      </c>
    </row>
    <row r="52" spans="1:11">
      <c r="A52" s="74">
        <v>50</v>
      </c>
      <c r="B52" s="75">
        <v>100014000860293</v>
      </c>
      <c r="C52" s="76">
        <v>62</v>
      </c>
      <c r="D52" s="76">
        <v>68</v>
      </c>
      <c r="E52" s="76">
        <v>101</v>
      </c>
      <c r="F52" s="76">
        <v>115</v>
      </c>
      <c r="G52" s="76">
        <v>346</v>
      </c>
      <c r="H52" s="77">
        <v>57.5</v>
      </c>
      <c r="I52" s="87">
        <v>63.35</v>
      </c>
      <c r="J52" s="88">
        <v>48</v>
      </c>
      <c r="K52" s="76">
        <v>41</v>
      </c>
    </row>
    <row r="53" spans="1:11">
      <c r="A53" s="74">
        <v>51</v>
      </c>
      <c r="B53" s="75">
        <v>100014000860196</v>
      </c>
      <c r="C53" s="76">
        <v>67</v>
      </c>
      <c r="D53" s="76">
        <v>74</v>
      </c>
      <c r="E53" s="76">
        <v>99</v>
      </c>
      <c r="F53" s="76">
        <v>102</v>
      </c>
      <c r="G53" s="76">
        <v>342</v>
      </c>
      <c r="H53" s="77">
        <v>57.2</v>
      </c>
      <c r="I53" s="89">
        <v>62.8</v>
      </c>
      <c r="J53" s="88">
        <v>50</v>
      </c>
      <c r="K53" s="76">
        <v>47</v>
      </c>
    </row>
    <row r="54" spans="1:11">
      <c r="A54" s="74">
        <v>52</v>
      </c>
      <c r="B54" s="75">
        <v>100014000860304</v>
      </c>
      <c r="C54" s="76">
        <v>74</v>
      </c>
      <c r="D54" s="76">
        <v>58</v>
      </c>
      <c r="E54" s="76">
        <v>104</v>
      </c>
      <c r="F54" s="76">
        <v>103</v>
      </c>
      <c r="G54" s="76">
        <v>339</v>
      </c>
      <c r="H54" s="77">
        <v>56</v>
      </c>
      <c r="I54" s="89">
        <v>61.9</v>
      </c>
      <c r="J54" s="88">
        <v>51</v>
      </c>
      <c r="K54" s="76">
        <v>50</v>
      </c>
    </row>
    <row r="55" spans="1:11">
      <c r="A55" s="74">
        <v>53</v>
      </c>
      <c r="B55" s="75">
        <v>100014000860285</v>
      </c>
      <c r="C55" s="76">
        <v>69</v>
      </c>
      <c r="D55" s="76">
        <v>67</v>
      </c>
      <c r="E55" s="76">
        <v>93</v>
      </c>
      <c r="F55" s="76">
        <v>102</v>
      </c>
      <c r="G55" s="76">
        <v>331</v>
      </c>
      <c r="H55" s="77">
        <v>-1</v>
      </c>
      <c r="I55" s="89">
        <v>32.6</v>
      </c>
      <c r="J55" s="88">
        <v>53</v>
      </c>
      <c r="K55" s="76">
        <v>53</v>
      </c>
    </row>
  </sheetData>
  <sortState ref="B3:G55">
    <sortCondition ref="G3" descending="1"/>
  </sortState>
  <mergeCells count="9">
    <mergeCell ref="A1:K1"/>
    <mergeCell ref="M38:U38"/>
    <mergeCell ref="M39:U39"/>
    <mergeCell ref="M40:U40"/>
    <mergeCell ref="M41:U41"/>
    <mergeCell ref="M42:U42"/>
    <mergeCell ref="M43:U43"/>
    <mergeCell ref="M44:U44"/>
    <mergeCell ref="M45:U4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"/>
  <sheetViews>
    <sheetView tabSelected="1" zoomScale="115" zoomScaleNormal="115" topLeftCell="K10" workbookViewId="0">
      <selection activeCell="V24" sqref="V24"/>
    </sheetView>
  </sheetViews>
  <sheetFormatPr defaultColWidth="9" defaultRowHeight="13.5"/>
  <sheetData>
    <row r="1" spans="1:11">
      <c r="A1" s="41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58"/>
    </row>
    <row r="2" spans="1:16">
      <c r="A2" s="43" t="s">
        <v>31</v>
      </c>
      <c r="B2" s="43" t="s">
        <v>32</v>
      </c>
      <c r="C2" s="43" t="s">
        <v>33</v>
      </c>
      <c r="D2" s="44" t="s">
        <v>34</v>
      </c>
      <c r="E2" s="44" t="s">
        <v>35</v>
      </c>
      <c r="F2" s="45">
        <v>408</v>
      </c>
      <c r="G2" s="46" t="s">
        <v>36</v>
      </c>
      <c r="H2" s="43" t="s">
        <v>37</v>
      </c>
      <c r="I2" s="59" t="s">
        <v>38</v>
      </c>
      <c r="J2" s="43" t="s">
        <v>39</v>
      </c>
      <c r="K2" s="54" t="s">
        <v>40</v>
      </c>
      <c r="M2" s="23"/>
      <c r="N2" s="24" t="s">
        <v>11</v>
      </c>
      <c r="O2" s="24" t="s">
        <v>12</v>
      </c>
      <c r="P2" s="25" t="s">
        <v>13</v>
      </c>
    </row>
    <row r="3" spans="1:16">
      <c r="A3" s="47">
        <v>1</v>
      </c>
      <c r="B3" s="47">
        <v>100013000860259</v>
      </c>
      <c r="C3" s="47">
        <v>71</v>
      </c>
      <c r="D3" s="47">
        <v>77</v>
      </c>
      <c r="E3" s="47">
        <v>143</v>
      </c>
      <c r="F3" s="47">
        <v>130</v>
      </c>
      <c r="G3" s="47">
        <v>421</v>
      </c>
      <c r="H3" s="48">
        <v>95.2</v>
      </c>
      <c r="I3" s="60">
        <v>89.7</v>
      </c>
      <c r="J3" s="47">
        <v>1</v>
      </c>
      <c r="K3" s="47">
        <v>1</v>
      </c>
      <c r="M3" s="26" t="s">
        <v>14</v>
      </c>
      <c r="N3" s="27">
        <f>COUNTIFS(A3:A55,"&gt;=1",A3:A55,"&lt;=37",G3:G55,"&gt;=400")</f>
        <v>1</v>
      </c>
      <c r="O3" s="27">
        <f>COUNTIFS(G3:G62,"&gt;=400")</f>
        <v>1</v>
      </c>
      <c r="P3" s="28">
        <f>(N3/O3)*100%</f>
        <v>1</v>
      </c>
    </row>
    <row r="4" spans="1:16">
      <c r="A4" s="47">
        <v>2</v>
      </c>
      <c r="B4" s="47">
        <v>100013000860252</v>
      </c>
      <c r="C4" s="47">
        <v>67</v>
      </c>
      <c r="D4" s="47">
        <v>71</v>
      </c>
      <c r="E4" s="47">
        <v>150</v>
      </c>
      <c r="F4" s="47">
        <v>100</v>
      </c>
      <c r="G4" s="47">
        <v>388</v>
      </c>
      <c r="H4" s="48">
        <v>93.2</v>
      </c>
      <c r="I4" s="60">
        <v>85.4</v>
      </c>
      <c r="J4" s="47">
        <v>4</v>
      </c>
      <c r="K4" s="47">
        <v>4</v>
      </c>
      <c r="M4" s="26" t="s">
        <v>15</v>
      </c>
      <c r="N4" s="27">
        <f>COUNTIFS(A3:A55,"&gt;=1",A3:A55,"&lt;=37",G3:G55,"&gt;=390",G3:G55,"&lt;=399")</f>
        <v>1</v>
      </c>
      <c r="O4" s="27">
        <f>COUNTIFS(G3:G55,"&gt;=390",G3:G55,"&lt;=399")</f>
        <v>1</v>
      </c>
      <c r="P4" s="28">
        <f t="shared" ref="P4:P10" si="0">(N4/O4)*100%</f>
        <v>1</v>
      </c>
    </row>
    <row r="5" spans="1:16">
      <c r="A5" s="47">
        <v>3</v>
      </c>
      <c r="B5" s="47">
        <v>100013000860315</v>
      </c>
      <c r="C5" s="47">
        <v>64</v>
      </c>
      <c r="D5" s="47">
        <v>80</v>
      </c>
      <c r="E5" s="47">
        <v>120</v>
      </c>
      <c r="F5" s="47">
        <v>126</v>
      </c>
      <c r="G5" s="47">
        <v>390</v>
      </c>
      <c r="H5" s="48">
        <v>91.6</v>
      </c>
      <c r="I5" s="60">
        <v>84.8</v>
      </c>
      <c r="J5" s="47">
        <v>6</v>
      </c>
      <c r="K5" s="47">
        <v>2</v>
      </c>
      <c r="M5" s="26" t="s">
        <v>16</v>
      </c>
      <c r="N5" s="27">
        <f>COUNTIFS(A3:A56,"&gt;=1",A3:A56,"&lt;=37",G3:G56,"&gt;=380",G3:G56,"&lt;=389")</f>
        <v>6</v>
      </c>
      <c r="O5" s="27">
        <f>COUNTIFS(G3:G56,"&gt;=380",G3:G56,"&lt;=389")</f>
        <v>6</v>
      </c>
      <c r="P5" s="28">
        <f t="shared" si="0"/>
        <v>1</v>
      </c>
    </row>
    <row r="6" spans="1:16">
      <c r="A6" s="47">
        <v>4</v>
      </c>
      <c r="B6" s="47">
        <v>100013000860006</v>
      </c>
      <c r="C6" s="47">
        <v>66</v>
      </c>
      <c r="D6" s="47">
        <v>77</v>
      </c>
      <c r="E6" s="47">
        <v>121</v>
      </c>
      <c r="F6" s="47">
        <v>125</v>
      </c>
      <c r="G6" s="47">
        <v>389</v>
      </c>
      <c r="H6" s="48">
        <v>90.4</v>
      </c>
      <c r="I6" s="60">
        <v>84.1</v>
      </c>
      <c r="J6" s="47">
        <v>9</v>
      </c>
      <c r="K6" s="47">
        <v>3</v>
      </c>
      <c r="M6" s="29" t="s">
        <v>17</v>
      </c>
      <c r="N6" s="27">
        <f>COUNTIFS(A3:A57,"&gt;=1",A3:A57,"&lt;=37",G3:G57,"&gt;=370",G3:G57,"&lt;=379")</f>
        <v>7</v>
      </c>
      <c r="O6" s="27">
        <f>COUNTIFS(G3:G57,"&gt;=370",G3:G57,"&lt;=379")</f>
        <v>7</v>
      </c>
      <c r="P6" s="28">
        <f t="shared" si="0"/>
        <v>1</v>
      </c>
    </row>
    <row r="7" spans="1:16">
      <c r="A7" s="47">
        <v>5</v>
      </c>
      <c r="B7" s="47">
        <v>100013000860288</v>
      </c>
      <c r="C7" s="47">
        <v>61</v>
      </c>
      <c r="D7" s="47">
        <v>78</v>
      </c>
      <c r="E7" s="47">
        <v>108</v>
      </c>
      <c r="F7" s="47">
        <v>112</v>
      </c>
      <c r="G7" s="47">
        <v>359</v>
      </c>
      <c r="H7" s="48">
        <v>94.2</v>
      </c>
      <c r="I7" s="47">
        <v>83</v>
      </c>
      <c r="J7" s="47">
        <v>2</v>
      </c>
      <c r="K7" s="47">
        <v>17</v>
      </c>
      <c r="M7" s="29" t="s">
        <v>18</v>
      </c>
      <c r="N7" s="27">
        <f>COUNTIFS(A3:A58,"&gt;=1",A3:A58,"&lt;=37",G3:G58,"&gt;=360",G3:G58,"&lt;=369")</f>
        <v>1</v>
      </c>
      <c r="O7" s="27">
        <f>COUNTIFS(G3:G58,"&gt;=360",G3:G58,"&lt;=369")</f>
        <v>1</v>
      </c>
      <c r="P7" s="28">
        <f t="shared" si="0"/>
        <v>1</v>
      </c>
    </row>
    <row r="8" spans="1:16">
      <c r="A8" s="47">
        <v>6</v>
      </c>
      <c r="B8" s="47">
        <v>100013000860268</v>
      </c>
      <c r="C8" s="47">
        <v>63</v>
      </c>
      <c r="D8" s="47">
        <v>69</v>
      </c>
      <c r="E8" s="47">
        <v>129</v>
      </c>
      <c r="F8" s="47">
        <v>113</v>
      </c>
      <c r="G8" s="47">
        <v>374</v>
      </c>
      <c r="H8" s="48">
        <v>90.8</v>
      </c>
      <c r="I8" s="60">
        <v>82.8</v>
      </c>
      <c r="J8" s="47">
        <v>8</v>
      </c>
      <c r="K8" s="47">
        <v>13</v>
      </c>
      <c r="M8" s="29" t="s">
        <v>19</v>
      </c>
      <c r="N8" s="27">
        <f>COUNTIFS(A3:A59,"&gt;=1",A3:A59,"&lt;=37",G3:G59,"&gt;=350",G3:G59,"&lt;=359")</f>
        <v>4</v>
      </c>
      <c r="O8" s="27">
        <f>COUNTIFS(G3:G59,"&gt;=350",G3:G59,"&lt;=359")</f>
        <v>5</v>
      </c>
      <c r="P8" s="28">
        <f t="shared" si="0"/>
        <v>0.8</v>
      </c>
    </row>
    <row r="9" spans="1:16">
      <c r="A9" s="47">
        <v>7</v>
      </c>
      <c r="B9" s="47">
        <v>100013000860237</v>
      </c>
      <c r="C9" s="47">
        <v>61</v>
      </c>
      <c r="D9" s="47">
        <v>70</v>
      </c>
      <c r="E9" s="47">
        <v>142</v>
      </c>
      <c r="F9" s="47">
        <v>109</v>
      </c>
      <c r="G9" s="47">
        <v>382</v>
      </c>
      <c r="H9" s="47">
        <v>89</v>
      </c>
      <c r="I9" s="60">
        <v>82.7</v>
      </c>
      <c r="J9" s="47">
        <v>12</v>
      </c>
      <c r="K9" s="47">
        <v>7</v>
      </c>
      <c r="M9" s="29" t="s">
        <v>20</v>
      </c>
      <c r="N9" s="27">
        <f>COUNTIFS(A3:A60,"&gt;=1",A3:A60,"&lt;=37",G3:G60,"&gt;=340",G3:G60,"&lt;=349")</f>
        <v>6</v>
      </c>
      <c r="O9" s="27">
        <f>COUNTIFS(G3:G60,"&gt;=340",G3:G60,"&lt;=349")</f>
        <v>7</v>
      </c>
      <c r="P9" s="28">
        <f t="shared" si="0"/>
        <v>0.857142857142857</v>
      </c>
    </row>
    <row r="10" spans="1:16">
      <c r="A10" s="47">
        <v>8</v>
      </c>
      <c r="B10" s="47">
        <v>100013000860301</v>
      </c>
      <c r="C10" s="47">
        <v>60</v>
      </c>
      <c r="D10" s="47">
        <v>66</v>
      </c>
      <c r="E10" s="47">
        <v>139</v>
      </c>
      <c r="F10" s="47">
        <v>111</v>
      </c>
      <c r="G10" s="47">
        <v>376</v>
      </c>
      <c r="H10" s="47">
        <v>90</v>
      </c>
      <c r="I10" s="60">
        <v>82.6</v>
      </c>
      <c r="J10" s="47">
        <v>10</v>
      </c>
      <c r="K10" s="47">
        <v>10</v>
      </c>
      <c r="M10" s="29" t="s">
        <v>21</v>
      </c>
      <c r="N10" s="27">
        <f>COUNTIFS(A3:A61,"&gt;=1",A3:A61,"&lt;=37",G3:G61,"&gt;=330",G3:G61,"&lt;=339")</f>
        <v>7</v>
      </c>
      <c r="O10" s="27">
        <f>COUNTIFS(G3:G61,"&gt;=330",G3:G61,"&lt;=339")</f>
        <v>8</v>
      </c>
      <c r="P10" s="28">
        <f t="shared" si="0"/>
        <v>0.875</v>
      </c>
    </row>
    <row r="11" spans="1:16">
      <c r="A11" s="47">
        <v>9</v>
      </c>
      <c r="B11" s="47">
        <v>100013000860260</v>
      </c>
      <c r="C11" s="47">
        <v>70</v>
      </c>
      <c r="D11" s="47">
        <v>74</v>
      </c>
      <c r="E11" s="47">
        <v>135</v>
      </c>
      <c r="F11" s="47">
        <v>109</v>
      </c>
      <c r="G11" s="47">
        <v>388</v>
      </c>
      <c r="H11" s="48">
        <v>87.2</v>
      </c>
      <c r="I11" s="60">
        <v>82.4</v>
      </c>
      <c r="J11" s="47">
        <v>17</v>
      </c>
      <c r="K11" s="47">
        <v>5</v>
      </c>
      <c r="M11" s="29" t="s">
        <v>41</v>
      </c>
      <c r="N11" s="27">
        <f>COUNTIFS(A3:A62,"&gt;=1",A3:A62,"&lt;=37",G3:G62,"&gt;=320",G3:G62,"&lt;=329")</f>
        <v>1</v>
      </c>
      <c r="O11" s="27">
        <f>COUNTIFS(G3:G62,"&gt;=320",G3:G62,"&lt;=329")</f>
        <v>8</v>
      </c>
      <c r="P11" s="28">
        <f t="shared" ref="P11:P12" si="1">(N11/O11)*100%</f>
        <v>0.125</v>
      </c>
    </row>
    <row r="12" spans="1:16">
      <c r="A12" s="47">
        <v>10</v>
      </c>
      <c r="B12" s="47">
        <v>100013000860251</v>
      </c>
      <c r="C12" s="47">
        <v>61</v>
      </c>
      <c r="D12" s="47">
        <v>72</v>
      </c>
      <c r="E12" s="47">
        <v>135</v>
      </c>
      <c r="F12" s="47">
        <v>99</v>
      </c>
      <c r="G12" s="47">
        <v>367</v>
      </c>
      <c r="H12" s="48">
        <v>91.4</v>
      </c>
      <c r="I12" s="60">
        <v>82.4</v>
      </c>
      <c r="J12" s="47">
        <v>7</v>
      </c>
      <c r="K12" s="47">
        <v>16</v>
      </c>
      <c r="M12" s="29" t="s">
        <v>42</v>
      </c>
      <c r="N12" s="27">
        <f>COUNTIFS(A3:A63,"&gt;=1",A3:A63,"&lt;=37",G3:G63,"&gt;=310",G3:G63,"&lt;=319")</f>
        <v>3</v>
      </c>
      <c r="O12" s="27">
        <f>COUNTIFS(G3:G63,"&gt;=310",G3:G63,"&lt;=319")</f>
        <v>5</v>
      </c>
      <c r="P12" s="28">
        <f t="shared" si="1"/>
        <v>0.6</v>
      </c>
    </row>
    <row r="13" spans="1:16">
      <c r="A13" s="47">
        <v>11</v>
      </c>
      <c r="B13" s="47">
        <v>100013000860234</v>
      </c>
      <c r="C13" s="47">
        <v>55</v>
      </c>
      <c r="D13" s="47">
        <v>62</v>
      </c>
      <c r="E13" s="47">
        <v>135</v>
      </c>
      <c r="F13" s="47">
        <v>106</v>
      </c>
      <c r="G13" s="47">
        <v>358</v>
      </c>
      <c r="H13" s="48">
        <v>92.2</v>
      </c>
      <c r="I13" s="60">
        <v>81.9</v>
      </c>
      <c r="J13" s="47">
        <v>5</v>
      </c>
      <c r="K13" s="47">
        <v>18</v>
      </c>
      <c r="M13" s="29" t="s">
        <v>43</v>
      </c>
      <c r="N13" s="27">
        <f>COUNTIFS(A3:A64,"&gt;=1",A3:A64,"&lt;=37",G3:G64,"&gt;=300",G3:G64,"&lt;=309")</f>
        <v>0</v>
      </c>
      <c r="O13" s="27">
        <f>COUNTIFS(G3:G64,"&gt;=300",G3:G64,"&lt;=309")</f>
        <v>2</v>
      </c>
      <c r="P13" s="28">
        <f t="shared" ref="P13" si="2">(N13/O13)*100%</f>
        <v>0</v>
      </c>
    </row>
    <row r="14" spans="1:11">
      <c r="A14" s="47">
        <v>12</v>
      </c>
      <c r="B14" s="47">
        <v>100013000860334</v>
      </c>
      <c r="C14" s="47">
        <v>61</v>
      </c>
      <c r="D14" s="47">
        <v>59</v>
      </c>
      <c r="E14" s="47">
        <v>134</v>
      </c>
      <c r="F14" s="47">
        <v>93</v>
      </c>
      <c r="G14" s="47">
        <v>347</v>
      </c>
      <c r="H14" s="48">
        <v>93.8</v>
      </c>
      <c r="I14" s="60">
        <v>81.6</v>
      </c>
      <c r="J14" s="47">
        <v>3</v>
      </c>
      <c r="K14" s="47">
        <v>22</v>
      </c>
    </row>
    <row r="15" spans="1:11">
      <c r="A15" s="47">
        <v>13</v>
      </c>
      <c r="B15" s="47">
        <v>100013000860013</v>
      </c>
      <c r="C15" s="47">
        <v>70</v>
      </c>
      <c r="D15" s="47">
        <v>80</v>
      </c>
      <c r="E15" s="47">
        <v>133</v>
      </c>
      <c r="F15" s="47">
        <v>101</v>
      </c>
      <c r="G15" s="47">
        <v>384</v>
      </c>
      <c r="H15" s="48">
        <v>86.2</v>
      </c>
      <c r="I15" s="60">
        <v>81.5</v>
      </c>
      <c r="J15" s="47">
        <v>22</v>
      </c>
      <c r="K15" s="47">
        <v>6</v>
      </c>
    </row>
    <row r="16" spans="1:11">
      <c r="A16" s="47">
        <v>14</v>
      </c>
      <c r="B16" s="47">
        <v>100013000860338</v>
      </c>
      <c r="C16" s="47">
        <v>66</v>
      </c>
      <c r="D16" s="47">
        <v>69</v>
      </c>
      <c r="E16" s="47">
        <v>131</v>
      </c>
      <c r="F16" s="47">
        <v>104</v>
      </c>
      <c r="G16" s="47">
        <v>370</v>
      </c>
      <c r="H16" s="48">
        <v>88.6</v>
      </c>
      <c r="I16" s="60">
        <v>81.3</v>
      </c>
      <c r="J16" s="47">
        <v>14</v>
      </c>
      <c r="K16" s="47">
        <v>15</v>
      </c>
    </row>
    <row r="17" spans="1:11">
      <c r="A17" s="47">
        <v>15</v>
      </c>
      <c r="B17" s="47">
        <v>100013000860351</v>
      </c>
      <c r="C17" s="47">
        <v>67</v>
      </c>
      <c r="D17" s="47">
        <v>68</v>
      </c>
      <c r="E17" s="47">
        <v>139</v>
      </c>
      <c r="F17" s="47">
        <v>102</v>
      </c>
      <c r="G17" s="47">
        <v>376</v>
      </c>
      <c r="H17" s="48">
        <v>87.2</v>
      </c>
      <c r="I17" s="60">
        <v>81.2</v>
      </c>
      <c r="J17" s="47">
        <v>18</v>
      </c>
      <c r="K17" s="47">
        <v>11</v>
      </c>
    </row>
    <row r="18" spans="1:11">
      <c r="A18" s="47">
        <v>16</v>
      </c>
      <c r="B18" s="47">
        <v>100013000860254</v>
      </c>
      <c r="C18" s="47">
        <v>62</v>
      </c>
      <c r="D18" s="47">
        <v>60</v>
      </c>
      <c r="E18" s="47">
        <v>140</v>
      </c>
      <c r="F18" s="47">
        <v>114</v>
      </c>
      <c r="G18" s="47">
        <v>376</v>
      </c>
      <c r="H18" s="47">
        <v>87</v>
      </c>
      <c r="I18" s="60">
        <v>81.1</v>
      </c>
      <c r="J18" s="47">
        <v>19</v>
      </c>
      <c r="K18" s="47">
        <v>12</v>
      </c>
    </row>
    <row r="19" spans="1:11">
      <c r="A19" s="47">
        <v>17</v>
      </c>
      <c r="B19" s="47">
        <v>100013000860011</v>
      </c>
      <c r="C19" s="47">
        <v>65</v>
      </c>
      <c r="D19" s="47">
        <v>83</v>
      </c>
      <c r="E19" s="47">
        <v>119</v>
      </c>
      <c r="F19" s="47">
        <v>107</v>
      </c>
      <c r="G19" s="47">
        <v>374</v>
      </c>
      <c r="H19" s="48">
        <v>86.4</v>
      </c>
      <c r="I19" s="60">
        <v>80.6</v>
      </c>
      <c r="J19" s="47">
        <v>20</v>
      </c>
      <c r="K19" s="47">
        <v>14</v>
      </c>
    </row>
    <row r="20" spans="1:11">
      <c r="A20" s="47">
        <v>18</v>
      </c>
      <c r="B20" s="47">
        <v>100013000860327</v>
      </c>
      <c r="C20" s="47">
        <v>59</v>
      </c>
      <c r="D20" s="47">
        <v>78</v>
      </c>
      <c r="E20" s="47">
        <v>136</v>
      </c>
      <c r="F20" s="47">
        <v>107</v>
      </c>
      <c r="G20" s="47">
        <v>380</v>
      </c>
      <c r="H20" s="48">
        <v>84.4</v>
      </c>
      <c r="I20" s="60">
        <v>80.2</v>
      </c>
      <c r="J20" s="47">
        <v>34</v>
      </c>
      <c r="K20" s="47">
        <v>8</v>
      </c>
    </row>
    <row r="21" spans="1:11">
      <c r="A21" s="47">
        <v>19</v>
      </c>
      <c r="B21" s="47">
        <v>100013000860267</v>
      </c>
      <c r="C21" s="47">
        <v>64</v>
      </c>
      <c r="D21" s="47">
        <v>72</v>
      </c>
      <c r="E21" s="47">
        <v>116</v>
      </c>
      <c r="F21" s="47">
        <v>125</v>
      </c>
      <c r="G21" s="47">
        <v>377</v>
      </c>
      <c r="H21" s="48">
        <v>84.8</v>
      </c>
      <c r="I21" s="60">
        <v>80.1</v>
      </c>
      <c r="J21" s="47">
        <v>32</v>
      </c>
      <c r="K21" s="47">
        <v>9</v>
      </c>
    </row>
    <row r="22" spans="1:11">
      <c r="A22" s="47">
        <v>20</v>
      </c>
      <c r="B22" s="47">
        <v>100013000860195</v>
      </c>
      <c r="C22" s="47">
        <v>66</v>
      </c>
      <c r="D22" s="47">
        <v>69</v>
      </c>
      <c r="E22" s="47">
        <v>122</v>
      </c>
      <c r="F22" s="47">
        <v>100</v>
      </c>
      <c r="G22" s="47">
        <v>357</v>
      </c>
      <c r="H22" s="48">
        <v>85.4</v>
      </c>
      <c r="I22" s="60">
        <v>78.4</v>
      </c>
      <c r="J22" s="47">
        <v>27</v>
      </c>
      <c r="K22" s="47">
        <v>19</v>
      </c>
    </row>
    <row r="23" spans="1:11">
      <c r="A23" s="47">
        <v>21</v>
      </c>
      <c r="B23" s="47">
        <v>100013000860219</v>
      </c>
      <c r="C23" s="47">
        <v>64</v>
      </c>
      <c r="D23" s="47">
        <v>65</v>
      </c>
      <c r="E23" s="47">
        <v>109</v>
      </c>
      <c r="F23" s="47">
        <v>113</v>
      </c>
      <c r="G23" s="47">
        <v>351</v>
      </c>
      <c r="H23" s="48">
        <v>86.4</v>
      </c>
      <c r="I23" s="60">
        <v>78.3</v>
      </c>
      <c r="J23" s="47">
        <v>21</v>
      </c>
      <c r="K23" s="47">
        <v>20</v>
      </c>
    </row>
    <row r="24" spans="1:11">
      <c r="A24" s="47">
        <v>22</v>
      </c>
      <c r="B24" s="47">
        <v>100013000860303</v>
      </c>
      <c r="C24" s="47">
        <v>60</v>
      </c>
      <c r="D24" s="47">
        <v>66</v>
      </c>
      <c r="E24" s="47">
        <v>123</v>
      </c>
      <c r="F24" s="47">
        <v>94</v>
      </c>
      <c r="G24" s="47">
        <v>343</v>
      </c>
      <c r="H24" s="48">
        <v>87.8</v>
      </c>
      <c r="I24" s="60">
        <v>78.2</v>
      </c>
      <c r="J24" s="47">
        <v>16</v>
      </c>
      <c r="K24" s="47">
        <v>26</v>
      </c>
    </row>
    <row r="25" spans="1:11">
      <c r="A25" s="47">
        <v>23</v>
      </c>
      <c r="B25" s="47">
        <v>100013000860256</v>
      </c>
      <c r="C25" s="47">
        <v>60</v>
      </c>
      <c r="D25" s="47">
        <v>73</v>
      </c>
      <c r="E25" s="47">
        <v>101</v>
      </c>
      <c r="F25" s="47">
        <v>96</v>
      </c>
      <c r="G25" s="47">
        <v>330</v>
      </c>
      <c r="H25" s="47">
        <v>90</v>
      </c>
      <c r="I25" s="47">
        <v>78</v>
      </c>
      <c r="J25" s="47">
        <v>11</v>
      </c>
      <c r="K25" s="47">
        <v>34</v>
      </c>
    </row>
    <row r="26" spans="1:11">
      <c r="A26" s="47">
        <v>24</v>
      </c>
      <c r="B26" s="47">
        <v>100013000860304</v>
      </c>
      <c r="C26" s="47">
        <v>60</v>
      </c>
      <c r="D26" s="47">
        <v>63</v>
      </c>
      <c r="E26" s="47">
        <v>114</v>
      </c>
      <c r="F26" s="47">
        <v>96</v>
      </c>
      <c r="G26" s="47">
        <v>333</v>
      </c>
      <c r="H26" s="48">
        <v>88.8</v>
      </c>
      <c r="I26" s="60">
        <v>77.7</v>
      </c>
      <c r="J26" s="47">
        <v>13</v>
      </c>
      <c r="K26" s="47">
        <v>31</v>
      </c>
    </row>
    <row r="27" spans="1:11">
      <c r="A27" s="47">
        <v>26</v>
      </c>
      <c r="B27" s="47">
        <v>100013000860285</v>
      </c>
      <c r="C27" s="47">
        <v>62</v>
      </c>
      <c r="D27" s="47">
        <v>64</v>
      </c>
      <c r="E27" s="47">
        <v>125</v>
      </c>
      <c r="F27" s="47">
        <v>96</v>
      </c>
      <c r="G27" s="47">
        <v>347</v>
      </c>
      <c r="H27" s="48">
        <v>85.4</v>
      </c>
      <c r="I27" s="60">
        <v>77.4</v>
      </c>
      <c r="J27" s="47">
        <v>28</v>
      </c>
      <c r="K27" s="47">
        <v>23</v>
      </c>
    </row>
    <row r="28" spans="1:11">
      <c r="A28" s="47">
        <v>27</v>
      </c>
      <c r="B28" s="47">
        <v>100013000860019</v>
      </c>
      <c r="C28" s="47">
        <v>61</v>
      </c>
      <c r="D28" s="47">
        <v>56</v>
      </c>
      <c r="E28" s="47">
        <v>122</v>
      </c>
      <c r="F28" s="47">
        <v>108</v>
      </c>
      <c r="G28" s="47">
        <v>347</v>
      </c>
      <c r="H28" s="48">
        <v>85.4</v>
      </c>
      <c r="I28" s="60">
        <v>77.4</v>
      </c>
      <c r="J28" s="47">
        <v>29</v>
      </c>
      <c r="K28" s="47">
        <v>24</v>
      </c>
    </row>
    <row r="29" spans="1:11">
      <c r="A29" s="47">
        <v>25</v>
      </c>
      <c r="B29" s="47">
        <v>100013000860347</v>
      </c>
      <c r="C29" s="47">
        <v>57</v>
      </c>
      <c r="D29" s="47">
        <v>67</v>
      </c>
      <c r="E29" s="47">
        <v>107</v>
      </c>
      <c r="F29" s="47">
        <v>100</v>
      </c>
      <c r="G29" s="47">
        <v>331</v>
      </c>
      <c r="H29" s="48">
        <v>88.6</v>
      </c>
      <c r="I29" s="60">
        <v>77.4</v>
      </c>
      <c r="J29" s="47">
        <v>15</v>
      </c>
      <c r="K29" s="47">
        <v>33</v>
      </c>
    </row>
    <row r="30" spans="1:11">
      <c r="A30" s="47">
        <v>28</v>
      </c>
      <c r="B30" s="47">
        <v>100013000860306</v>
      </c>
      <c r="C30" s="47">
        <v>54</v>
      </c>
      <c r="D30" s="47">
        <v>64</v>
      </c>
      <c r="E30" s="47">
        <v>116</v>
      </c>
      <c r="F30" s="47">
        <v>106</v>
      </c>
      <c r="G30" s="47">
        <v>340</v>
      </c>
      <c r="H30" s="48">
        <v>85.6</v>
      </c>
      <c r="I30" s="60">
        <v>76.8</v>
      </c>
      <c r="J30" s="47">
        <v>25</v>
      </c>
      <c r="K30" s="47">
        <v>28</v>
      </c>
    </row>
    <row r="31" spans="1:11">
      <c r="A31" s="47">
        <v>29</v>
      </c>
      <c r="B31" s="47">
        <v>100013000860280</v>
      </c>
      <c r="C31" s="47">
        <v>61</v>
      </c>
      <c r="D31" s="47">
        <v>55</v>
      </c>
      <c r="E31" s="47">
        <v>123</v>
      </c>
      <c r="F31" s="47">
        <v>107</v>
      </c>
      <c r="G31" s="47">
        <v>346</v>
      </c>
      <c r="H31" s="48">
        <v>83.2</v>
      </c>
      <c r="I31" s="60">
        <v>76.2</v>
      </c>
      <c r="J31" s="47">
        <v>36</v>
      </c>
      <c r="K31" s="47">
        <v>25</v>
      </c>
    </row>
    <row r="32" spans="1:21">
      <c r="A32" s="47">
        <v>30</v>
      </c>
      <c r="B32" s="47">
        <v>100013000860229</v>
      </c>
      <c r="C32" s="47">
        <v>60</v>
      </c>
      <c r="D32" s="47">
        <v>63</v>
      </c>
      <c r="E32" s="47">
        <v>107</v>
      </c>
      <c r="F32" s="47">
        <v>102</v>
      </c>
      <c r="G32" s="47">
        <v>332</v>
      </c>
      <c r="H32" s="48">
        <v>85.8</v>
      </c>
      <c r="I32" s="60">
        <v>76.1</v>
      </c>
      <c r="J32" s="47">
        <v>24</v>
      </c>
      <c r="K32" s="47">
        <v>32</v>
      </c>
      <c r="M32" s="61" t="s">
        <v>44</v>
      </c>
      <c r="N32" s="62"/>
      <c r="O32" s="62"/>
      <c r="P32" s="62"/>
      <c r="Q32" s="62"/>
      <c r="R32" s="62"/>
      <c r="S32" s="62"/>
      <c r="T32" s="62"/>
      <c r="U32" s="62"/>
    </row>
    <row r="33" spans="1:21">
      <c r="A33" s="47">
        <v>31</v>
      </c>
      <c r="B33" s="47">
        <v>100013000860199</v>
      </c>
      <c r="C33" s="47">
        <v>61</v>
      </c>
      <c r="D33" s="47">
        <v>62</v>
      </c>
      <c r="E33" s="47">
        <v>114</v>
      </c>
      <c r="F33" s="47">
        <v>93</v>
      </c>
      <c r="G33" s="47">
        <v>330</v>
      </c>
      <c r="H33" s="48">
        <v>85.4</v>
      </c>
      <c r="I33" s="60">
        <v>75.7</v>
      </c>
      <c r="J33" s="47">
        <v>30</v>
      </c>
      <c r="K33" s="47">
        <v>35</v>
      </c>
      <c r="M33" s="61" t="s">
        <v>45</v>
      </c>
      <c r="N33" s="62"/>
      <c r="O33" s="62"/>
      <c r="P33" s="62"/>
      <c r="Q33" s="62"/>
      <c r="R33" s="62"/>
      <c r="S33" s="62"/>
      <c r="T33" s="62"/>
      <c r="U33" s="62"/>
    </row>
    <row r="34" spans="1:21">
      <c r="A34" s="47">
        <v>32</v>
      </c>
      <c r="B34" s="47">
        <v>100013000860265</v>
      </c>
      <c r="C34" s="47">
        <v>60</v>
      </c>
      <c r="D34" s="47">
        <v>65</v>
      </c>
      <c r="E34" s="47">
        <v>115</v>
      </c>
      <c r="F34" s="47">
        <v>97</v>
      </c>
      <c r="G34" s="47">
        <v>337</v>
      </c>
      <c r="H34" s="48">
        <v>83.8</v>
      </c>
      <c r="I34" s="60">
        <v>75.6</v>
      </c>
      <c r="J34" s="47">
        <v>35</v>
      </c>
      <c r="K34" s="47">
        <v>29</v>
      </c>
      <c r="M34" s="61" t="s">
        <v>46</v>
      </c>
      <c r="N34" s="62"/>
      <c r="O34" s="62"/>
      <c r="P34" s="62"/>
      <c r="Q34" s="62"/>
      <c r="R34" s="62"/>
      <c r="S34" s="62"/>
      <c r="T34" s="62"/>
      <c r="U34" s="62"/>
    </row>
    <row r="35" spans="1:21">
      <c r="A35" s="47">
        <v>33</v>
      </c>
      <c r="B35" s="47">
        <v>100013000860210</v>
      </c>
      <c r="C35" s="47">
        <v>60</v>
      </c>
      <c r="D35" s="47">
        <v>70</v>
      </c>
      <c r="E35" s="47">
        <v>101</v>
      </c>
      <c r="F35" s="47">
        <v>98</v>
      </c>
      <c r="G35" s="47">
        <v>329</v>
      </c>
      <c r="H35" s="48">
        <v>85.4</v>
      </c>
      <c r="I35" s="60">
        <v>75.6</v>
      </c>
      <c r="J35" s="47">
        <v>31</v>
      </c>
      <c r="K35" s="47">
        <v>37</v>
      </c>
      <c r="M35" s="61" t="s">
        <v>47</v>
      </c>
      <c r="N35" s="62"/>
      <c r="O35" s="62"/>
      <c r="P35" s="62"/>
      <c r="Q35" s="62"/>
      <c r="R35" s="62"/>
      <c r="S35" s="62"/>
      <c r="T35" s="62"/>
      <c r="U35" s="62"/>
    </row>
    <row r="36" spans="1:21">
      <c r="A36" s="47">
        <v>34</v>
      </c>
      <c r="B36" s="47">
        <v>100013000860289</v>
      </c>
      <c r="C36" s="47">
        <v>65</v>
      </c>
      <c r="D36" s="47">
        <v>59</v>
      </c>
      <c r="E36" s="47">
        <v>103</v>
      </c>
      <c r="F36" s="47">
        <v>90</v>
      </c>
      <c r="G36" s="47">
        <v>317</v>
      </c>
      <c r="H36" s="48">
        <v>85.6</v>
      </c>
      <c r="I36" s="60">
        <v>74.5</v>
      </c>
      <c r="J36" s="47">
        <v>26</v>
      </c>
      <c r="K36" s="47">
        <v>45</v>
      </c>
      <c r="M36" s="61" t="s">
        <v>48</v>
      </c>
      <c r="N36" s="62"/>
      <c r="O36" s="62"/>
      <c r="P36" s="62"/>
      <c r="Q36" s="62"/>
      <c r="R36" s="62"/>
      <c r="S36" s="62"/>
      <c r="T36" s="62"/>
      <c r="U36" s="62"/>
    </row>
    <row r="37" spans="1:21">
      <c r="A37" s="47">
        <v>35</v>
      </c>
      <c r="B37" s="47">
        <v>100013000860191</v>
      </c>
      <c r="C37" s="47">
        <v>62</v>
      </c>
      <c r="D37" s="47">
        <v>60</v>
      </c>
      <c r="E37" s="47">
        <v>99</v>
      </c>
      <c r="F37" s="47">
        <v>92</v>
      </c>
      <c r="G37" s="47">
        <v>313</v>
      </c>
      <c r="H37" s="47">
        <v>86</v>
      </c>
      <c r="I37" s="60">
        <v>74.3</v>
      </c>
      <c r="J37" s="47">
        <v>23</v>
      </c>
      <c r="K37" s="47">
        <v>46</v>
      </c>
      <c r="M37" s="61" t="s">
        <v>49</v>
      </c>
      <c r="N37" s="62"/>
      <c r="O37" s="62"/>
      <c r="P37" s="62"/>
      <c r="Q37" s="62"/>
      <c r="R37" s="62"/>
      <c r="S37" s="62"/>
      <c r="T37" s="62"/>
      <c r="U37" s="62"/>
    </row>
    <row r="38" spans="1:21">
      <c r="A38" s="47">
        <v>36</v>
      </c>
      <c r="B38" s="47">
        <v>100013000860308</v>
      </c>
      <c r="C38" s="47">
        <v>54</v>
      </c>
      <c r="D38" s="47">
        <v>64</v>
      </c>
      <c r="E38" s="47">
        <v>97</v>
      </c>
      <c r="F38" s="47">
        <v>96</v>
      </c>
      <c r="G38" s="47">
        <v>311</v>
      </c>
      <c r="H38" s="48">
        <v>84.8</v>
      </c>
      <c r="I38" s="60">
        <v>73.5</v>
      </c>
      <c r="J38" s="47">
        <v>33</v>
      </c>
      <c r="K38" s="47">
        <v>48</v>
      </c>
      <c r="M38" s="61" t="s">
        <v>50</v>
      </c>
      <c r="N38" s="62"/>
      <c r="O38" s="62"/>
      <c r="P38" s="62"/>
      <c r="Q38" s="62"/>
      <c r="R38" s="62"/>
      <c r="S38" s="62"/>
      <c r="T38" s="62"/>
      <c r="U38" s="62"/>
    </row>
    <row r="39" spans="1:21">
      <c r="A39" s="49">
        <v>37</v>
      </c>
      <c r="B39" s="49">
        <v>100013000860209</v>
      </c>
      <c r="C39" s="49">
        <v>57</v>
      </c>
      <c r="D39" s="49">
        <v>62</v>
      </c>
      <c r="E39" s="49">
        <v>109</v>
      </c>
      <c r="F39" s="49">
        <v>107</v>
      </c>
      <c r="G39" s="49">
        <v>335</v>
      </c>
      <c r="H39" s="49">
        <v>73</v>
      </c>
      <c r="I39" s="49">
        <v>70</v>
      </c>
      <c r="J39" s="49">
        <v>37</v>
      </c>
      <c r="K39" s="49">
        <v>30</v>
      </c>
      <c r="M39" s="61" t="s">
        <v>51</v>
      </c>
      <c r="N39" s="62"/>
      <c r="O39" s="62"/>
      <c r="P39" s="62"/>
      <c r="Q39" s="62"/>
      <c r="R39" s="62"/>
      <c r="S39" s="62"/>
      <c r="T39" s="62"/>
      <c r="U39" s="62"/>
    </row>
    <row r="40" spans="1:21">
      <c r="A40" s="50">
        <v>38</v>
      </c>
      <c r="B40" s="50">
        <v>100013000860226</v>
      </c>
      <c r="C40" s="50">
        <v>66</v>
      </c>
      <c r="D40" s="50">
        <v>67</v>
      </c>
      <c r="E40" s="50">
        <v>95</v>
      </c>
      <c r="F40" s="50">
        <v>97</v>
      </c>
      <c r="G40" s="50">
        <v>325</v>
      </c>
      <c r="H40" s="51">
        <v>68.8</v>
      </c>
      <c r="I40" s="63">
        <v>66.9</v>
      </c>
      <c r="J40" s="64">
        <v>38</v>
      </c>
      <c r="K40" s="50">
        <v>41</v>
      </c>
      <c r="M40" s="61" t="s">
        <v>52</v>
      </c>
      <c r="N40" s="62"/>
      <c r="O40" s="62"/>
      <c r="P40" s="62"/>
      <c r="Q40" s="62"/>
      <c r="R40" s="62"/>
      <c r="S40" s="62"/>
      <c r="T40" s="62"/>
      <c r="U40" s="62"/>
    </row>
    <row r="41" spans="1:21">
      <c r="A41" s="47">
        <v>39</v>
      </c>
      <c r="B41" s="47">
        <v>100013000860291</v>
      </c>
      <c r="C41" s="47">
        <v>60</v>
      </c>
      <c r="D41" s="47">
        <v>62</v>
      </c>
      <c r="E41" s="47">
        <v>104</v>
      </c>
      <c r="F41" s="47">
        <v>102</v>
      </c>
      <c r="G41" s="47">
        <v>328</v>
      </c>
      <c r="H41" s="48">
        <v>67.6</v>
      </c>
      <c r="I41" s="60">
        <v>66.6</v>
      </c>
      <c r="J41" s="65">
        <v>39</v>
      </c>
      <c r="K41" s="47">
        <v>40</v>
      </c>
      <c r="M41" s="61" t="s">
        <v>53</v>
      </c>
      <c r="N41" s="62"/>
      <c r="O41" s="62"/>
      <c r="P41" s="62"/>
      <c r="Q41" s="62"/>
      <c r="R41" s="62"/>
      <c r="S41" s="62"/>
      <c r="T41" s="62"/>
      <c r="U41" s="62"/>
    </row>
    <row r="42" spans="1:21">
      <c r="A42" s="47">
        <v>40</v>
      </c>
      <c r="B42" s="47">
        <v>100013000860294</v>
      </c>
      <c r="C42" s="47">
        <v>59</v>
      </c>
      <c r="D42" s="47">
        <v>58</v>
      </c>
      <c r="E42" s="47">
        <v>98</v>
      </c>
      <c r="F42" s="47">
        <v>114</v>
      </c>
      <c r="G42" s="47">
        <v>329</v>
      </c>
      <c r="H42" s="47">
        <v>67</v>
      </c>
      <c r="I42" s="60">
        <v>66.4</v>
      </c>
      <c r="J42" s="65">
        <v>41</v>
      </c>
      <c r="K42" s="47">
        <v>38</v>
      </c>
      <c r="M42" s="61" t="s">
        <v>54</v>
      </c>
      <c r="N42" s="62"/>
      <c r="O42" s="62"/>
      <c r="P42" s="62"/>
      <c r="Q42" s="62"/>
      <c r="R42" s="62"/>
      <c r="S42" s="62"/>
      <c r="T42" s="62"/>
      <c r="U42" s="62"/>
    </row>
    <row r="43" spans="1:11">
      <c r="A43" s="47">
        <v>41</v>
      </c>
      <c r="B43" s="47">
        <v>100013000860249</v>
      </c>
      <c r="C43" s="47">
        <v>62</v>
      </c>
      <c r="D43" s="47">
        <v>57</v>
      </c>
      <c r="E43" s="47">
        <v>111</v>
      </c>
      <c r="F43" s="47">
        <v>91</v>
      </c>
      <c r="G43" s="47">
        <v>321</v>
      </c>
      <c r="H43" s="48">
        <v>67.4</v>
      </c>
      <c r="I43" s="60">
        <v>65.8</v>
      </c>
      <c r="J43" s="65">
        <v>40</v>
      </c>
      <c r="K43" s="47">
        <v>43</v>
      </c>
    </row>
    <row r="44" spans="1:11">
      <c r="A44" s="47">
        <v>43</v>
      </c>
      <c r="B44" s="47">
        <v>100013000860206</v>
      </c>
      <c r="C44" s="47">
        <v>58</v>
      </c>
      <c r="D44" s="47">
        <v>62</v>
      </c>
      <c r="E44" s="47">
        <v>111</v>
      </c>
      <c r="F44" s="47">
        <v>99</v>
      </c>
      <c r="G44" s="47">
        <v>330</v>
      </c>
      <c r="H44" s="48">
        <v>64.8</v>
      </c>
      <c r="I44" s="60">
        <v>65.4</v>
      </c>
      <c r="J44" s="65">
        <v>45</v>
      </c>
      <c r="K44" s="47">
        <v>36</v>
      </c>
    </row>
    <row r="45" spans="1:11">
      <c r="A45" s="47">
        <v>42</v>
      </c>
      <c r="B45" s="47">
        <v>100013000860346</v>
      </c>
      <c r="C45" s="47">
        <v>60</v>
      </c>
      <c r="D45" s="47">
        <v>66</v>
      </c>
      <c r="E45" s="47">
        <v>92</v>
      </c>
      <c r="F45" s="47">
        <v>103</v>
      </c>
      <c r="G45" s="47">
        <v>321</v>
      </c>
      <c r="H45" s="48">
        <v>66.6</v>
      </c>
      <c r="I45" s="60">
        <v>65.4</v>
      </c>
      <c r="J45" s="65">
        <v>42</v>
      </c>
      <c r="K45" s="47">
        <v>44</v>
      </c>
    </row>
    <row r="46" spans="1:11">
      <c r="A46" s="47">
        <v>44</v>
      </c>
      <c r="B46" s="47">
        <v>100013000860317</v>
      </c>
      <c r="C46" s="47">
        <v>61</v>
      </c>
      <c r="D46" s="47">
        <v>56</v>
      </c>
      <c r="E46" s="47">
        <v>104</v>
      </c>
      <c r="F46" s="47">
        <v>102</v>
      </c>
      <c r="G46" s="47">
        <v>323</v>
      </c>
      <c r="H46" s="47">
        <v>66</v>
      </c>
      <c r="I46" s="60">
        <v>65.3</v>
      </c>
      <c r="J46" s="65">
        <v>43</v>
      </c>
      <c r="K46" s="47">
        <v>42</v>
      </c>
    </row>
    <row r="47" spans="1:11">
      <c r="A47" s="52">
        <v>45</v>
      </c>
      <c r="B47" s="52">
        <v>100013000860276</v>
      </c>
      <c r="C47" s="52">
        <v>55</v>
      </c>
      <c r="D47" s="52">
        <v>67</v>
      </c>
      <c r="E47" s="52">
        <v>120</v>
      </c>
      <c r="F47" s="52">
        <v>109</v>
      </c>
      <c r="G47" s="52">
        <v>351</v>
      </c>
      <c r="H47" s="53">
        <v>59.8</v>
      </c>
      <c r="I47" s="52">
        <v>65</v>
      </c>
      <c r="J47" s="66">
        <v>49</v>
      </c>
      <c r="K47" s="52">
        <v>21</v>
      </c>
    </row>
    <row r="48" spans="1:11">
      <c r="A48" s="47">
        <v>46</v>
      </c>
      <c r="B48" s="47">
        <v>100013000860274</v>
      </c>
      <c r="C48" s="47">
        <v>63</v>
      </c>
      <c r="D48" s="47">
        <v>60</v>
      </c>
      <c r="E48" s="47">
        <v>111</v>
      </c>
      <c r="F48" s="47">
        <v>109</v>
      </c>
      <c r="G48" s="47">
        <v>343</v>
      </c>
      <c r="H48" s="48">
        <v>60.4</v>
      </c>
      <c r="I48" s="60">
        <v>64.5</v>
      </c>
      <c r="J48" s="65">
        <v>47</v>
      </c>
      <c r="K48" s="47">
        <v>27</v>
      </c>
    </row>
    <row r="49" spans="1:11">
      <c r="A49" s="47">
        <v>47</v>
      </c>
      <c r="B49" s="47">
        <v>100013000860012</v>
      </c>
      <c r="C49" s="47">
        <v>51</v>
      </c>
      <c r="D49" s="47">
        <v>58</v>
      </c>
      <c r="E49" s="47">
        <v>110</v>
      </c>
      <c r="F49" s="47">
        <v>93</v>
      </c>
      <c r="G49" s="47">
        <v>312</v>
      </c>
      <c r="H49" s="48">
        <v>65.4</v>
      </c>
      <c r="I49" s="60">
        <v>63.9</v>
      </c>
      <c r="J49" s="65">
        <v>44</v>
      </c>
      <c r="K49" s="47">
        <v>47</v>
      </c>
    </row>
    <row r="50" spans="1:11">
      <c r="A50" s="47">
        <v>48</v>
      </c>
      <c r="B50" s="47">
        <v>100013000860344</v>
      </c>
      <c r="C50" s="47">
        <v>60</v>
      </c>
      <c r="D50" s="47">
        <v>55</v>
      </c>
      <c r="E50" s="47">
        <v>93</v>
      </c>
      <c r="F50" s="47">
        <v>98</v>
      </c>
      <c r="G50" s="47">
        <v>306</v>
      </c>
      <c r="H50" s="48">
        <v>62.4</v>
      </c>
      <c r="I50" s="60">
        <v>61.8</v>
      </c>
      <c r="J50" s="65">
        <v>46</v>
      </c>
      <c r="K50" s="47">
        <v>51</v>
      </c>
    </row>
    <row r="51" spans="1:11">
      <c r="A51" s="47">
        <v>49</v>
      </c>
      <c r="B51" s="47">
        <v>100013000860316</v>
      </c>
      <c r="C51" s="47">
        <v>57</v>
      </c>
      <c r="D51" s="47">
        <v>71</v>
      </c>
      <c r="E51" s="47">
        <v>111</v>
      </c>
      <c r="F51" s="47">
        <v>90</v>
      </c>
      <c r="G51" s="47">
        <v>329</v>
      </c>
      <c r="H51" s="47">
        <v>57</v>
      </c>
      <c r="I51" s="60">
        <v>61.4</v>
      </c>
      <c r="J51" s="65">
        <v>50</v>
      </c>
      <c r="K51" s="47">
        <v>39</v>
      </c>
    </row>
    <row r="52" spans="1:11">
      <c r="A52" s="47">
        <v>50</v>
      </c>
      <c r="B52" s="47">
        <v>100013000860333</v>
      </c>
      <c r="C52" s="47">
        <v>56</v>
      </c>
      <c r="D52" s="47">
        <v>65</v>
      </c>
      <c r="E52" s="47">
        <v>90</v>
      </c>
      <c r="F52" s="47">
        <v>99</v>
      </c>
      <c r="G52" s="47">
        <v>310</v>
      </c>
      <c r="H52" s="47">
        <v>60</v>
      </c>
      <c r="I52" s="47">
        <v>61</v>
      </c>
      <c r="J52" s="65">
        <v>48</v>
      </c>
      <c r="K52" s="47">
        <v>49</v>
      </c>
    </row>
    <row r="53" spans="1:11">
      <c r="A53" s="47">
        <v>51</v>
      </c>
      <c r="B53" s="47">
        <v>100013000860278</v>
      </c>
      <c r="C53" s="47">
        <v>64</v>
      </c>
      <c r="D53" s="47">
        <v>58</v>
      </c>
      <c r="E53" s="47">
        <v>95</v>
      </c>
      <c r="F53" s="47">
        <v>90</v>
      </c>
      <c r="G53" s="47">
        <v>307</v>
      </c>
      <c r="H53" s="48">
        <v>52.6</v>
      </c>
      <c r="I53" s="47">
        <v>57</v>
      </c>
      <c r="J53" s="65">
        <v>51</v>
      </c>
      <c r="K53" s="47">
        <v>50</v>
      </c>
    </row>
    <row r="54" spans="1:11">
      <c r="A54" s="54"/>
      <c r="B54" s="55"/>
      <c r="C54" s="56"/>
      <c r="D54" s="57"/>
      <c r="E54" s="57"/>
      <c r="F54" s="56"/>
      <c r="G54" s="56"/>
      <c r="H54" s="56"/>
      <c r="I54" s="67"/>
      <c r="J54" s="68"/>
      <c r="K54" s="69"/>
    </row>
  </sheetData>
  <mergeCells count="13">
    <mergeCell ref="A1:K1"/>
    <mergeCell ref="M32:U32"/>
    <mergeCell ref="M33:U33"/>
    <mergeCell ref="M34:U34"/>
    <mergeCell ref="M35:U35"/>
    <mergeCell ref="M36:U36"/>
    <mergeCell ref="M37:U37"/>
    <mergeCell ref="M38:U38"/>
    <mergeCell ref="M39:U39"/>
    <mergeCell ref="M40:U40"/>
    <mergeCell ref="M41:U41"/>
    <mergeCell ref="M42:U42"/>
    <mergeCell ref="J54:K54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workbookViewId="0">
      <selection activeCell="N3" sqref="N3:N11"/>
    </sheetView>
  </sheetViews>
  <sheetFormatPr defaultColWidth="9" defaultRowHeight="13.5"/>
  <sheetData>
    <row r="1" spans="1:11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1"/>
    </row>
    <row r="2" spans="1:16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4">
        <v>408</v>
      </c>
      <c r="G2" s="3" t="s">
        <v>56</v>
      </c>
      <c r="H2" s="3" t="s">
        <v>37</v>
      </c>
      <c r="I2" s="22" t="s">
        <v>38</v>
      </c>
      <c r="J2" s="3" t="s">
        <v>39</v>
      </c>
      <c r="K2" s="3" t="s">
        <v>57</v>
      </c>
      <c r="M2" s="23"/>
      <c r="N2" s="24" t="s">
        <v>11</v>
      </c>
      <c r="O2" s="24" t="s">
        <v>12</v>
      </c>
      <c r="P2" s="25" t="s">
        <v>13</v>
      </c>
    </row>
    <row r="3" spans="1:16">
      <c r="A3" s="5">
        <v>1</v>
      </c>
      <c r="B3" s="6">
        <v>100012000860010</v>
      </c>
      <c r="C3" s="5">
        <v>76</v>
      </c>
      <c r="D3" s="5">
        <v>75</v>
      </c>
      <c r="E3" s="5">
        <v>120</v>
      </c>
      <c r="F3" s="5">
        <v>122</v>
      </c>
      <c r="G3" s="5">
        <v>393</v>
      </c>
      <c r="H3" s="7">
        <v>95.2</v>
      </c>
      <c r="I3" s="17">
        <v>86.9</v>
      </c>
      <c r="J3" s="5">
        <v>1</v>
      </c>
      <c r="K3" s="5">
        <v>3</v>
      </c>
      <c r="M3" s="26" t="s">
        <v>14</v>
      </c>
      <c r="N3" s="27">
        <f>COUNTIFS(A3:A55,"&gt;=1",A3:A55,"&lt;=39",G3:G55,"&gt;=400")</f>
        <v>1</v>
      </c>
      <c r="O3" s="27">
        <f>COUNTIFS(G3:G62,"&gt;=400")</f>
        <v>1</v>
      </c>
      <c r="P3" s="28">
        <f>(N3/O3)*100%</f>
        <v>1</v>
      </c>
    </row>
    <row r="4" spans="1:16">
      <c r="A4" s="5">
        <v>2</v>
      </c>
      <c r="B4" s="6">
        <v>100012000860021</v>
      </c>
      <c r="C4" s="5">
        <v>71</v>
      </c>
      <c r="D4" s="5">
        <v>79</v>
      </c>
      <c r="E4" s="5">
        <v>134</v>
      </c>
      <c r="F4" s="5">
        <v>125</v>
      </c>
      <c r="G4" s="5">
        <v>409</v>
      </c>
      <c r="H4" s="5">
        <v>91</v>
      </c>
      <c r="I4" s="17">
        <v>86.4</v>
      </c>
      <c r="J4" s="5">
        <v>6</v>
      </c>
      <c r="K4" s="5">
        <v>1</v>
      </c>
      <c r="M4" s="26" t="s">
        <v>15</v>
      </c>
      <c r="N4" s="27">
        <f>COUNTIFS(A3:A55,"&gt;=1",A3:A55,"&lt;=39",G3:G55,"&gt;=390",G3:G55,"&lt;=399")</f>
        <v>3</v>
      </c>
      <c r="O4" s="27">
        <f>COUNTIFS(G3:G55,"&gt;=390",G3:G55,"&lt;=399")</f>
        <v>3</v>
      </c>
      <c r="P4" s="28">
        <f t="shared" ref="P4:P11" si="0">(N4/O4)*100%</f>
        <v>1</v>
      </c>
    </row>
    <row r="5" spans="1:16">
      <c r="A5" s="5">
        <v>3</v>
      </c>
      <c r="B5" s="6">
        <v>100012000860318</v>
      </c>
      <c r="C5" s="5">
        <v>65</v>
      </c>
      <c r="D5" s="5">
        <v>70</v>
      </c>
      <c r="E5" s="5">
        <v>125</v>
      </c>
      <c r="F5" s="5">
        <v>125</v>
      </c>
      <c r="G5" s="5">
        <v>385</v>
      </c>
      <c r="H5" s="7">
        <v>94.2</v>
      </c>
      <c r="I5" s="17">
        <v>85.6</v>
      </c>
      <c r="J5" s="5">
        <v>2</v>
      </c>
      <c r="K5" s="5">
        <v>7</v>
      </c>
      <c r="M5" s="26" t="s">
        <v>16</v>
      </c>
      <c r="N5" s="27">
        <f>COUNTIFS(A3:A56,"&gt;=1",A3:A56,"&lt;=39",G3:G56,"&gt;=380",G3:G56,"&lt;=389")</f>
        <v>5</v>
      </c>
      <c r="O5" s="27">
        <f>COUNTIFS(G3:G56,"&gt;=380",G3:G56,"&lt;=389")</f>
        <v>6</v>
      </c>
      <c r="P5" s="28">
        <f t="shared" si="0"/>
        <v>0.833333333333333</v>
      </c>
    </row>
    <row r="6" spans="1:16">
      <c r="A6" s="5">
        <v>4</v>
      </c>
      <c r="B6" s="6">
        <v>100012000860231</v>
      </c>
      <c r="C6" s="5">
        <v>71</v>
      </c>
      <c r="D6" s="5">
        <v>73</v>
      </c>
      <c r="E6" s="5">
        <v>133</v>
      </c>
      <c r="F6" s="5">
        <v>120</v>
      </c>
      <c r="G6" s="5">
        <v>397</v>
      </c>
      <c r="H6" s="5">
        <v>91</v>
      </c>
      <c r="I6" s="17">
        <v>85.2</v>
      </c>
      <c r="J6" s="5">
        <v>7</v>
      </c>
      <c r="K6" s="5">
        <v>2</v>
      </c>
      <c r="M6" s="29" t="s">
        <v>17</v>
      </c>
      <c r="N6" s="27">
        <f>COUNTIFS(A3:A57,"&gt;=1",A3:A57,"&lt;=39",G3:G57,"&gt;=370",G3:G57,"&lt;=379")</f>
        <v>6</v>
      </c>
      <c r="O6" s="27">
        <f>COUNTIFS(G3:G57,"&gt;=370",G3:G57,"&lt;=379")</f>
        <v>6</v>
      </c>
      <c r="P6" s="28">
        <f t="shared" si="0"/>
        <v>1</v>
      </c>
    </row>
    <row r="7" spans="1:16">
      <c r="A7" s="5">
        <v>5</v>
      </c>
      <c r="B7" s="6">
        <v>100012000860006</v>
      </c>
      <c r="C7" s="5">
        <v>80</v>
      </c>
      <c r="D7" s="5">
        <v>75</v>
      </c>
      <c r="E7" s="5">
        <v>110</v>
      </c>
      <c r="F7" s="5">
        <v>122</v>
      </c>
      <c r="G7" s="5">
        <v>387</v>
      </c>
      <c r="H7" s="7">
        <v>92.2</v>
      </c>
      <c r="I7" s="17">
        <v>84.8</v>
      </c>
      <c r="J7" s="5">
        <v>4</v>
      </c>
      <c r="K7" s="5">
        <v>6</v>
      </c>
      <c r="M7" s="29" t="s">
        <v>18</v>
      </c>
      <c r="N7" s="27">
        <f>COUNTIFS(A3:A58,"&gt;=1",A3:A58,"&lt;=39",G3:G58,"&gt;=360",G3:G58,"&lt;=369")</f>
        <v>7</v>
      </c>
      <c r="O7" s="27">
        <f>COUNTIFS(G3:G58,"&gt;=360",G3:G58,"&lt;=369")</f>
        <v>8</v>
      </c>
      <c r="P7" s="28">
        <f t="shared" si="0"/>
        <v>0.875</v>
      </c>
    </row>
    <row r="8" spans="1:16">
      <c r="A8" s="5">
        <v>6</v>
      </c>
      <c r="B8" s="6">
        <v>100012000860208</v>
      </c>
      <c r="C8" s="5">
        <v>75</v>
      </c>
      <c r="D8" s="5">
        <v>79</v>
      </c>
      <c r="E8" s="5">
        <v>126</v>
      </c>
      <c r="F8" s="5">
        <v>109</v>
      </c>
      <c r="G8" s="5">
        <v>389</v>
      </c>
      <c r="H8" s="5">
        <v>90</v>
      </c>
      <c r="I8" s="17">
        <v>83.9</v>
      </c>
      <c r="J8" s="5">
        <v>8</v>
      </c>
      <c r="K8" s="5">
        <v>5</v>
      </c>
      <c r="M8" s="29" t="s">
        <v>19</v>
      </c>
      <c r="N8" s="27">
        <f>COUNTIFS(A3:A59,"&gt;=1",A3:A59,"&lt;=39",G3:G59,"&gt;=350",G3:G59,"&lt;=359")</f>
        <v>5</v>
      </c>
      <c r="O8" s="27">
        <f>COUNTIFS(G3:G59,"&gt;=350",G3:G59,"&lt;=359")</f>
        <v>6</v>
      </c>
      <c r="P8" s="28">
        <f t="shared" si="0"/>
        <v>0.833333333333333</v>
      </c>
    </row>
    <row r="9" spans="1:16">
      <c r="A9" s="5">
        <v>7</v>
      </c>
      <c r="B9" s="6">
        <v>100012000860214</v>
      </c>
      <c r="C9" s="5">
        <v>70</v>
      </c>
      <c r="D9" s="5">
        <v>77</v>
      </c>
      <c r="E9" s="5">
        <v>120</v>
      </c>
      <c r="F9" s="5">
        <v>118</v>
      </c>
      <c r="G9" s="5">
        <v>385</v>
      </c>
      <c r="H9" s="7">
        <v>88.8</v>
      </c>
      <c r="I9" s="17">
        <v>82.9</v>
      </c>
      <c r="J9" s="5">
        <v>11</v>
      </c>
      <c r="K9" s="5">
        <v>8</v>
      </c>
      <c r="M9" s="29" t="s">
        <v>20</v>
      </c>
      <c r="N9" s="27">
        <f>COUNTIFS(A3:A60,"&gt;=1",A3:A60,"&lt;=39",G3:G60,"&gt;=340",G3:G60,"&lt;=349")</f>
        <v>7</v>
      </c>
      <c r="O9" s="27">
        <f>COUNTIFS(G3:G60,"&gt;=340",G3:G60,"&lt;=349")</f>
        <v>9</v>
      </c>
      <c r="P9" s="28">
        <f t="shared" si="0"/>
        <v>0.777777777777778</v>
      </c>
    </row>
    <row r="10" spans="1:16">
      <c r="A10" s="5">
        <v>8</v>
      </c>
      <c r="B10" s="6">
        <v>100012000860315</v>
      </c>
      <c r="C10" s="5">
        <v>77</v>
      </c>
      <c r="D10" s="5">
        <v>76</v>
      </c>
      <c r="E10" s="5">
        <v>118</v>
      </c>
      <c r="F10" s="5">
        <v>111</v>
      </c>
      <c r="G10" s="5">
        <v>382</v>
      </c>
      <c r="H10" s="5">
        <v>88</v>
      </c>
      <c r="I10" s="17">
        <v>82.2</v>
      </c>
      <c r="J10" s="5">
        <v>14</v>
      </c>
      <c r="K10" s="5">
        <v>9</v>
      </c>
      <c r="M10" s="29" t="s">
        <v>21</v>
      </c>
      <c r="N10" s="27">
        <f>COUNTIFS(A3:A61,"&gt;=1",A3:A61,"&lt;=39",G3:G61,"&gt;=330",G3:G61,"&lt;=339")</f>
        <v>4</v>
      </c>
      <c r="O10" s="27">
        <f>COUNTIFS(G3:G61,"&gt;=330",G3:G61,"&lt;=339")</f>
        <v>5</v>
      </c>
      <c r="P10" s="28">
        <f t="shared" si="0"/>
        <v>0.8</v>
      </c>
    </row>
    <row r="11" spans="1:16">
      <c r="A11" s="5">
        <v>9</v>
      </c>
      <c r="B11" s="6">
        <v>100012000860227</v>
      </c>
      <c r="C11" s="5">
        <v>69</v>
      </c>
      <c r="D11" s="5">
        <v>72</v>
      </c>
      <c r="E11" s="5">
        <v>126</v>
      </c>
      <c r="F11" s="5">
        <v>111</v>
      </c>
      <c r="G11" s="5">
        <v>378</v>
      </c>
      <c r="H11" s="7">
        <v>88.8</v>
      </c>
      <c r="I11" s="17">
        <v>82.2</v>
      </c>
      <c r="J11" s="5">
        <v>12</v>
      </c>
      <c r="K11" s="5">
        <v>12</v>
      </c>
      <c r="M11" s="29" t="s">
        <v>41</v>
      </c>
      <c r="N11" s="27">
        <f>COUNTIFS(A3:A62,"&gt;=1",A3:A62,"&lt;=39",G3:G62,"&gt;=320",G3:G62,"&lt;=329")</f>
        <v>1</v>
      </c>
      <c r="O11" s="27">
        <f>COUNTIFS(G3:G62,"&gt;=320",G3:G62,"&lt;=329")</f>
        <v>3</v>
      </c>
      <c r="P11" s="28">
        <f t="shared" si="0"/>
        <v>0.333333333333333</v>
      </c>
    </row>
    <row r="12" spans="1:15">
      <c r="A12" s="5">
        <v>10</v>
      </c>
      <c r="B12" s="6">
        <v>100012000860199</v>
      </c>
      <c r="C12" s="5">
        <v>81</v>
      </c>
      <c r="D12" s="5">
        <v>73</v>
      </c>
      <c r="E12" s="5">
        <v>122</v>
      </c>
      <c r="F12" s="5">
        <v>115</v>
      </c>
      <c r="G12" s="5">
        <v>391</v>
      </c>
      <c r="H12" s="7">
        <v>85.6</v>
      </c>
      <c r="I12" s="17">
        <v>81.9</v>
      </c>
      <c r="J12" s="5">
        <v>25</v>
      </c>
      <c r="K12" s="5">
        <v>4</v>
      </c>
      <c r="M12" s="30"/>
      <c r="O12" s="31"/>
    </row>
    <row r="13" spans="1:13">
      <c r="A13" s="5">
        <v>11</v>
      </c>
      <c r="B13" s="6">
        <v>100012000860291</v>
      </c>
      <c r="C13" s="5">
        <v>75</v>
      </c>
      <c r="D13" s="5">
        <v>74</v>
      </c>
      <c r="E13" s="5">
        <v>101</v>
      </c>
      <c r="F13" s="5">
        <v>104</v>
      </c>
      <c r="G13" s="5">
        <v>354</v>
      </c>
      <c r="H13" s="7">
        <v>92.6</v>
      </c>
      <c r="I13" s="17">
        <v>81.7</v>
      </c>
      <c r="J13" s="5">
        <v>3</v>
      </c>
      <c r="K13" s="5">
        <v>27</v>
      </c>
      <c r="M13" s="30"/>
    </row>
    <row r="14" spans="1:11">
      <c r="A14" s="5">
        <v>12</v>
      </c>
      <c r="B14" s="6">
        <v>100012000860281</v>
      </c>
      <c r="C14" s="5">
        <v>59</v>
      </c>
      <c r="D14" s="5">
        <v>74</v>
      </c>
      <c r="E14" s="5">
        <v>137</v>
      </c>
      <c r="F14" s="5">
        <v>104</v>
      </c>
      <c r="G14" s="5">
        <v>374</v>
      </c>
      <c r="H14" s="7">
        <v>88.2</v>
      </c>
      <c r="I14" s="17">
        <v>81.5</v>
      </c>
      <c r="J14" s="5">
        <v>13</v>
      </c>
      <c r="K14" s="5">
        <v>15</v>
      </c>
    </row>
    <row r="15" spans="1:11">
      <c r="A15" s="5">
        <v>13</v>
      </c>
      <c r="B15" s="6">
        <v>100012000860294</v>
      </c>
      <c r="C15" s="5">
        <v>72</v>
      </c>
      <c r="D15" s="5">
        <v>71</v>
      </c>
      <c r="E15" s="5">
        <v>100</v>
      </c>
      <c r="F15" s="5">
        <v>109</v>
      </c>
      <c r="G15" s="5">
        <v>352</v>
      </c>
      <c r="H15" s="7">
        <v>91.8</v>
      </c>
      <c r="I15" s="17">
        <v>81.1</v>
      </c>
      <c r="J15" s="5">
        <v>5</v>
      </c>
      <c r="K15" s="5">
        <v>29</v>
      </c>
    </row>
    <row r="16" spans="1:11">
      <c r="A16" s="5">
        <v>14</v>
      </c>
      <c r="B16" s="6">
        <v>100012000860320</v>
      </c>
      <c r="C16" s="5">
        <v>66</v>
      </c>
      <c r="D16" s="5">
        <v>77</v>
      </c>
      <c r="E16" s="5">
        <v>114</v>
      </c>
      <c r="F16" s="5">
        <v>118</v>
      </c>
      <c r="G16" s="5">
        <v>375</v>
      </c>
      <c r="H16" s="5">
        <v>87</v>
      </c>
      <c r="I16" s="5">
        <v>81</v>
      </c>
      <c r="J16" s="5">
        <v>20</v>
      </c>
      <c r="K16" s="5">
        <v>14</v>
      </c>
    </row>
    <row r="17" spans="1:11">
      <c r="A17" s="5">
        <v>15</v>
      </c>
      <c r="B17" s="6">
        <v>100012000860230</v>
      </c>
      <c r="C17" s="5">
        <v>74</v>
      </c>
      <c r="D17" s="5">
        <v>72</v>
      </c>
      <c r="E17" s="5">
        <v>99</v>
      </c>
      <c r="F17" s="5">
        <v>121</v>
      </c>
      <c r="G17" s="5">
        <v>366</v>
      </c>
      <c r="H17" s="7">
        <v>86.4</v>
      </c>
      <c r="I17" s="17">
        <v>79.8</v>
      </c>
      <c r="J17" s="5">
        <v>21</v>
      </c>
      <c r="K17" s="5">
        <v>20</v>
      </c>
    </row>
    <row r="18" spans="1:11">
      <c r="A18" s="5">
        <v>16</v>
      </c>
      <c r="B18" s="6">
        <v>100012000860256</v>
      </c>
      <c r="C18" s="5">
        <v>76</v>
      </c>
      <c r="D18" s="5">
        <v>68</v>
      </c>
      <c r="E18" s="5">
        <v>97</v>
      </c>
      <c r="F18" s="5">
        <v>126</v>
      </c>
      <c r="G18" s="5">
        <v>367</v>
      </c>
      <c r="H18" s="5">
        <v>86</v>
      </c>
      <c r="I18" s="17">
        <v>79.7</v>
      </c>
      <c r="J18" s="5">
        <v>23</v>
      </c>
      <c r="K18" s="5">
        <v>19</v>
      </c>
    </row>
    <row r="19" spans="1:11">
      <c r="A19" s="5">
        <v>17</v>
      </c>
      <c r="B19" s="6">
        <v>100012000860282</v>
      </c>
      <c r="C19" s="5">
        <v>68</v>
      </c>
      <c r="D19" s="5">
        <v>71</v>
      </c>
      <c r="E19" s="5">
        <v>120</v>
      </c>
      <c r="F19" s="5">
        <v>101</v>
      </c>
      <c r="G19" s="5">
        <v>360</v>
      </c>
      <c r="H19" s="7">
        <v>87.4</v>
      </c>
      <c r="I19" s="17">
        <v>79.7</v>
      </c>
      <c r="J19" s="5">
        <v>18</v>
      </c>
      <c r="K19" s="5">
        <v>22</v>
      </c>
    </row>
    <row r="20" spans="1:11">
      <c r="A20" s="5">
        <v>18</v>
      </c>
      <c r="B20" s="6">
        <v>100012000860298</v>
      </c>
      <c r="C20" s="5">
        <v>68</v>
      </c>
      <c r="D20" s="5">
        <v>66</v>
      </c>
      <c r="E20" s="5">
        <v>120</v>
      </c>
      <c r="F20" s="5">
        <v>118</v>
      </c>
      <c r="G20" s="5">
        <v>372</v>
      </c>
      <c r="H20" s="7">
        <v>84.6</v>
      </c>
      <c r="I20" s="17">
        <v>79.5</v>
      </c>
      <c r="J20" s="5">
        <v>28</v>
      </c>
      <c r="K20" s="5">
        <v>16</v>
      </c>
    </row>
    <row r="21" spans="1:11">
      <c r="A21" s="5">
        <v>19</v>
      </c>
      <c r="B21" s="6">
        <v>100012000860016</v>
      </c>
      <c r="C21" s="5">
        <v>59</v>
      </c>
      <c r="D21" s="5">
        <v>71</v>
      </c>
      <c r="E21" s="5">
        <v>114</v>
      </c>
      <c r="F21" s="5">
        <v>120</v>
      </c>
      <c r="G21" s="5">
        <v>364</v>
      </c>
      <c r="H21" s="7">
        <v>85.4</v>
      </c>
      <c r="I21" s="17">
        <v>79.1</v>
      </c>
      <c r="J21" s="5">
        <v>26</v>
      </c>
      <c r="K21" s="5">
        <v>21</v>
      </c>
    </row>
    <row r="22" spans="1:11">
      <c r="A22" s="5">
        <v>20</v>
      </c>
      <c r="B22" s="6">
        <v>100012000860250</v>
      </c>
      <c r="C22" s="5">
        <v>64</v>
      </c>
      <c r="D22" s="5">
        <v>81</v>
      </c>
      <c r="E22" s="5">
        <v>123</v>
      </c>
      <c r="F22" s="5">
        <v>108</v>
      </c>
      <c r="G22" s="5">
        <v>376</v>
      </c>
      <c r="H22" s="7">
        <v>82.8</v>
      </c>
      <c r="I22" s="5">
        <v>79</v>
      </c>
      <c r="J22" s="5">
        <v>31</v>
      </c>
      <c r="K22" s="5">
        <v>13</v>
      </c>
    </row>
    <row r="23" spans="1:11">
      <c r="A23" s="5">
        <v>21</v>
      </c>
      <c r="B23" s="6">
        <v>100012000860262</v>
      </c>
      <c r="C23" s="5">
        <v>81</v>
      </c>
      <c r="D23" s="5">
        <v>63</v>
      </c>
      <c r="E23" s="5">
        <v>102</v>
      </c>
      <c r="F23" s="5">
        <v>110</v>
      </c>
      <c r="G23" s="5">
        <v>356</v>
      </c>
      <c r="H23" s="7">
        <v>86.4</v>
      </c>
      <c r="I23" s="17">
        <v>78.8</v>
      </c>
      <c r="J23" s="5">
        <v>22</v>
      </c>
      <c r="K23" s="5">
        <v>26</v>
      </c>
    </row>
    <row r="24" spans="1:11">
      <c r="A24" s="5">
        <v>22</v>
      </c>
      <c r="B24" s="6">
        <v>100012000860278</v>
      </c>
      <c r="C24" s="5">
        <v>69</v>
      </c>
      <c r="D24" s="5">
        <v>57</v>
      </c>
      <c r="E24" s="5">
        <v>123</v>
      </c>
      <c r="F24" s="5">
        <v>92</v>
      </c>
      <c r="G24" s="5">
        <v>341</v>
      </c>
      <c r="H24" s="7">
        <v>89.4</v>
      </c>
      <c r="I24" s="17">
        <v>78.8</v>
      </c>
      <c r="J24" s="5">
        <v>9</v>
      </c>
      <c r="K24" s="5">
        <v>39</v>
      </c>
    </row>
    <row r="25" spans="1:11">
      <c r="A25" s="5">
        <v>23</v>
      </c>
      <c r="B25" s="6">
        <v>100012000860179</v>
      </c>
      <c r="C25" s="5">
        <v>58</v>
      </c>
      <c r="D25" s="5">
        <v>60</v>
      </c>
      <c r="E25" s="5">
        <v>105</v>
      </c>
      <c r="F25" s="5">
        <v>120</v>
      </c>
      <c r="G25" s="5">
        <v>343</v>
      </c>
      <c r="H25" s="5">
        <v>89</v>
      </c>
      <c r="I25" s="17">
        <v>78.8</v>
      </c>
      <c r="J25" s="5">
        <v>10</v>
      </c>
      <c r="K25" s="5">
        <v>37</v>
      </c>
    </row>
    <row r="26" spans="1:11">
      <c r="A26" s="5">
        <v>24</v>
      </c>
      <c r="B26" s="6">
        <v>100012000860207</v>
      </c>
      <c r="C26" s="5">
        <v>66</v>
      </c>
      <c r="D26" s="5">
        <v>73</v>
      </c>
      <c r="E26" s="5">
        <v>110</v>
      </c>
      <c r="F26" s="5">
        <v>100</v>
      </c>
      <c r="G26" s="5">
        <v>349</v>
      </c>
      <c r="H26" s="7">
        <v>87.4</v>
      </c>
      <c r="I26" s="17">
        <v>78.6</v>
      </c>
      <c r="J26" s="5">
        <v>19</v>
      </c>
      <c r="K26" s="5">
        <v>31</v>
      </c>
    </row>
    <row r="27" spans="1:11">
      <c r="A27" s="5">
        <v>25</v>
      </c>
      <c r="B27" s="6">
        <v>100012000860264</v>
      </c>
      <c r="C27" s="5">
        <v>71</v>
      </c>
      <c r="D27" s="5">
        <v>72</v>
      </c>
      <c r="E27" s="5">
        <v>113</v>
      </c>
      <c r="F27" s="5">
        <v>113</v>
      </c>
      <c r="G27" s="5">
        <v>369</v>
      </c>
      <c r="H27" s="7">
        <v>82.4</v>
      </c>
      <c r="I27" s="17">
        <v>78.1</v>
      </c>
      <c r="J27" s="5">
        <v>32</v>
      </c>
      <c r="K27" s="5">
        <v>17</v>
      </c>
    </row>
    <row r="28" spans="1:11">
      <c r="A28" s="5">
        <v>26</v>
      </c>
      <c r="B28" s="6">
        <v>100012000860221</v>
      </c>
      <c r="C28" s="5">
        <v>66</v>
      </c>
      <c r="D28" s="5">
        <v>71</v>
      </c>
      <c r="E28" s="5">
        <v>103</v>
      </c>
      <c r="F28" s="5">
        <v>99</v>
      </c>
      <c r="G28" s="5">
        <v>339</v>
      </c>
      <c r="H28" s="5">
        <v>88</v>
      </c>
      <c r="I28" s="17">
        <v>77.9</v>
      </c>
      <c r="J28" s="5">
        <v>15</v>
      </c>
      <c r="K28" s="5">
        <v>40</v>
      </c>
    </row>
    <row r="29" spans="1:11">
      <c r="A29" s="5">
        <v>27</v>
      </c>
      <c r="B29" s="6">
        <v>100012000860313</v>
      </c>
      <c r="C29" s="5">
        <v>61</v>
      </c>
      <c r="D29" s="5">
        <v>70</v>
      </c>
      <c r="E29" s="5">
        <v>103</v>
      </c>
      <c r="F29" s="5">
        <v>103</v>
      </c>
      <c r="G29" s="5">
        <v>337</v>
      </c>
      <c r="H29" s="5">
        <v>88</v>
      </c>
      <c r="I29" s="17">
        <v>77.7</v>
      </c>
      <c r="J29" s="5">
        <v>16</v>
      </c>
      <c r="K29" s="5">
        <v>43</v>
      </c>
    </row>
    <row r="30" spans="1:11">
      <c r="A30" s="5">
        <v>28</v>
      </c>
      <c r="B30" s="6">
        <v>100012000860258</v>
      </c>
      <c r="C30" s="5">
        <v>64</v>
      </c>
      <c r="D30" s="5">
        <v>68</v>
      </c>
      <c r="E30" s="5">
        <v>110</v>
      </c>
      <c r="F30" s="5">
        <v>110</v>
      </c>
      <c r="G30" s="5">
        <v>352</v>
      </c>
      <c r="H30" s="7">
        <v>84.6</v>
      </c>
      <c r="I30" s="17">
        <v>77.5</v>
      </c>
      <c r="J30" s="5">
        <v>29</v>
      </c>
      <c r="K30" s="5">
        <v>30</v>
      </c>
    </row>
    <row r="31" spans="1:11">
      <c r="A31" s="5">
        <v>29</v>
      </c>
      <c r="B31" s="6">
        <v>100012000860012</v>
      </c>
      <c r="C31" s="5">
        <v>69</v>
      </c>
      <c r="D31" s="5">
        <v>66</v>
      </c>
      <c r="E31" s="5">
        <v>91</v>
      </c>
      <c r="F31" s="5">
        <v>117</v>
      </c>
      <c r="G31" s="5">
        <v>343</v>
      </c>
      <c r="H31" s="5">
        <v>86</v>
      </c>
      <c r="I31" s="17">
        <v>77.3</v>
      </c>
      <c r="J31" s="5">
        <v>24</v>
      </c>
      <c r="K31" s="5">
        <v>38</v>
      </c>
    </row>
    <row r="32" spans="1:11">
      <c r="A32" s="5">
        <v>30</v>
      </c>
      <c r="B32" s="6">
        <v>100012000860206</v>
      </c>
      <c r="C32" s="5">
        <v>65</v>
      </c>
      <c r="D32" s="5">
        <v>71</v>
      </c>
      <c r="E32" s="5">
        <v>116</v>
      </c>
      <c r="F32" s="5">
        <v>108</v>
      </c>
      <c r="G32" s="5">
        <v>360</v>
      </c>
      <c r="H32" s="7">
        <v>82.2</v>
      </c>
      <c r="I32" s="17">
        <v>77.1</v>
      </c>
      <c r="J32" s="5">
        <v>34</v>
      </c>
      <c r="K32" s="5">
        <v>23</v>
      </c>
    </row>
    <row r="33" spans="1:11">
      <c r="A33" s="5">
        <v>31</v>
      </c>
      <c r="B33" s="6">
        <v>100012000860015</v>
      </c>
      <c r="C33" s="5">
        <v>59</v>
      </c>
      <c r="D33" s="5">
        <v>74</v>
      </c>
      <c r="E33" s="5">
        <v>119</v>
      </c>
      <c r="F33" s="5">
        <v>95</v>
      </c>
      <c r="G33" s="5">
        <v>347</v>
      </c>
      <c r="H33" s="7">
        <v>84.8</v>
      </c>
      <c r="I33" s="17">
        <v>77.1</v>
      </c>
      <c r="J33" s="5">
        <v>27</v>
      </c>
      <c r="K33" s="5">
        <v>33</v>
      </c>
    </row>
    <row r="34" spans="1:11">
      <c r="A34" s="5">
        <v>32</v>
      </c>
      <c r="B34" s="6">
        <v>100012000860288</v>
      </c>
      <c r="C34" s="5">
        <v>72</v>
      </c>
      <c r="D34" s="5">
        <v>72</v>
      </c>
      <c r="E34" s="5">
        <v>94</v>
      </c>
      <c r="F34" s="5">
        <v>116</v>
      </c>
      <c r="G34" s="5">
        <v>354</v>
      </c>
      <c r="H34" s="7">
        <v>83.2</v>
      </c>
      <c r="I34" s="5">
        <v>77</v>
      </c>
      <c r="J34" s="5">
        <v>30</v>
      </c>
      <c r="K34" s="5">
        <v>28</v>
      </c>
    </row>
    <row r="35" spans="1:11">
      <c r="A35" s="5">
        <v>33</v>
      </c>
      <c r="B35" s="6">
        <v>100012000860289</v>
      </c>
      <c r="C35" s="5">
        <v>72</v>
      </c>
      <c r="D35" s="5">
        <v>76</v>
      </c>
      <c r="E35" s="5">
        <v>113</v>
      </c>
      <c r="F35" s="5">
        <v>99</v>
      </c>
      <c r="G35" s="5">
        <v>360</v>
      </c>
      <c r="H35" s="7">
        <v>81.6</v>
      </c>
      <c r="I35" s="17">
        <v>76.8</v>
      </c>
      <c r="J35" s="5">
        <v>35</v>
      </c>
      <c r="K35" s="5">
        <v>24</v>
      </c>
    </row>
    <row r="36" spans="1:11">
      <c r="A36" s="5">
        <v>34</v>
      </c>
      <c r="B36" s="6">
        <v>100012000860255</v>
      </c>
      <c r="C36" s="5">
        <v>72</v>
      </c>
      <c r="D36" s="5">
        <v>83</v>
      </c>
      <c r="E36" s="5">
        <v>120</v>
      </c>
      <c r="F36" s="5">
        <v>104</v>
      </c>
      <c r="G36" s="5">
        <v>379</v>
      </c>
      <c r="H36" s="7">
        <v>77.4</v>
      </c>
      <c r="I36" s="17">
        <v>76.6</v>
      </c>
      <c r="J36" s="5">
        <v>39</v>
      </c>
      <c r="K36" s="5">
        <v>11</v>
      </c>
    </row>
    <row r="37" spans="1:11">
      <c r="A37" s="5">
        <v>35</v>
      </c>
      <c r="B37" s="6">
        <v>100012000860022</v>
      </c>
      <c r="C37" s="5">
        <v>63</v>
      </c>
      <c r="D37" s="5">
        <v>63</v>
      </c>
      <c r="E37" s="5">
        <v>99</v>
      </c>
      <c r="F37" s="5">
        <v>99</v>
      </c>
      <c r="G37" s="5">
        <v>324</v>
      </c>
      <c r="H37" s="7">
        <v>87.8</v>
      </c>
      <c r="I37" s="17">
        <v>76.3</v>
      </c>
      <c r="J37" s="5">
        <v>17</v>
      </c>
      <c r="K37" s="5">
        <v>47</v>
      </c>
    </row>
    <row r="38" spans="1:11">
      <c r="A38" s="5">
        <v>36</v>
      </c>
      <c r="B38" s="6">
        <v>100012000860014</v>
      </c>
      <c r="C38" s="5">
        <v>61</v>
      </c>
      <c r="D38" s="5">
        <v>71</v>
      </c>
      <c r="E38" s="5">
        <v>106</v>
      </c>
      <c r="F38" s="5">
        <v>106</v>
      </c>
      <c r="G38" s="5">
        <v>344</v>
      </c>
      <c r="H38" s="7">
        <v>81.4</v>
      </c>
      <c r="I38" s="17">
        <v>75.1</v>
      </c>
      <c r="J38" s="5">
        <v>37</v>
      </c>
      <c r="K38" s="5">
        <v>36</v>
      </c>
    </row>
    <row r="39" spans="1:11">
      <c r="A39" s="5">
        <v>37</v>
      </c>
      <c r="B39" s="6">
        <v>100012000860220</v>
      </c>
      <c r="C39" s="5">
        <v>69</v>
      </c>
      <c r="D39" s="5">
        <v>66</v>
      </c>
      <c r="E39" s="5">
        <v>95</v>
      </c>
      <c r="F39" s="5">
        <v>109</v>
      </c>
      <c r="G39" s="5">
        <v>339</v>
      </c>
      <c r="H39" s="7">
        <v>82.4</v>
      </c>
      <c r="I39" s="17">
        <v>75.1</v>
      </c>
      <c r="J39" s="5">
        <v>33</v>
      </c>
      <c r="K39" s="5">
        <v>41</v>
      </c>
    </row>
    <row r="40" spans="1:11">
      <c r="A40" s="5">
        <v>38</v>
      </c>
      <c r="B40" s="6">
        <v>100012000860177</v>
      </c>
      <c r="C40" s="5">
        <v>66</v>
      </c>
      <c r="D40" s="5">
        <v>71</v>
      </c>
      <c r="E40" s="5">
        <v>99</v>
      </c>
      <c r="F40" s="5">
        <v>111</v>
      </c>
      <c r="G40" s="5">
        <v>347</v>
      </c>
      <c r="H40" s="7">
        <v>79.6</v>
      </c>
      <c r="I40" s="17">
        <v>74.5</v>
      </c>
      <c r="J40" s="5">
        <v>38</v>
      </c>
      <c r="K40" s="5">
        <v>34</v>
      </c>
    </row>
    <row r="41" spans="1:11">
      <c r="A41" s="8">
        <v>39</v>
      </c>
      <c r="B41" s="9">
        <v>100012000860287</v>
      </c>
      <c r="C41" s="8">
        <v>68</v>
      </c>
      <c r="D41" s="8">
        <v>64</v>
      </c>
      <c r="E41" s="8">
        <v>90</v>
      </c>
      <c r="F41" s="8">
        <v>113</v>
      </c>
      <c r="G41" s="8">
        <v>335</v>
      </c>
      <c r="H41" s="10">
        <v>81.6</v>
      </c>
      <c r="I41" s="32">
        <v>74.3</v>
      </c>
      <c r="J41" s="8">
        <v>36</v>
      </c>
      <c r="K41" s="8">
        <v>44</v>
      </c>
    </row>
    <row r="42" spans="1:11">
      <c r="A42" s="11">
        <v>40</v>
      </c>
      <c r="B42" s="12">
        <v>100012000860280</v>
      </c>
      <c r="C42" s="11">
        <v>73</v>
      </c>
      <c r="D42" s="11">
        <v>69</v>
      </c>
      <c r="E42" s="11">
        <v>136</v>
      </c>
      <c r="F42" s="11">
        <v>104</v>
      </c>
      <c r="G42" s="11">
        <v>382</v>
      </c>
      <c r="H42" s="13">
        <v>65.8</v>
      </c>
      <c r="I42" s="33">
        <v>71.1</v>
      </c>
      <c r="J42" s="34">
        <v>42</v>
      </c>
      <c r="K42" s="11">
        <v>10</v>
      </c>
    </row>
    <row r="43" spans="1:11">
      <c r="A43" s="14">
        <v>41</v>
      </c>
      <c r="B43" s="15">
        <v>100012000860187</v>
      </c>
      <c r="C43" s="14">
        <v>72</v>
      </c>
      <c r="D43" s="14">
        <v>68</v>
      </c>
      <c r="E43" s="14">
        <v>117</v>
      </c>
      <c r="F43" s="14">
        <v>111</v>
      </c>
      <c r="G43" s="14">
        <v>368</v>
      </c>
      <c r="H43" s="16">
        <v>65.8</v>
      </c>
      <c r="I43" s="35">
        <v>69.7</v>
      </c>
      <c r="J43" s="36">
        <v>43</v>
      </c>
      <c r="K43" s="14">
        <v>18</v>
      </c>
    </row>
    <row r="44" spans="1:11">
      <c r="A44" s="5">
        <v>42</v>
      </c>
      <c r="B44" s="6">
        <v>100012000860306</v>
      </c>
      <c r="C44" s="5">
        <v>55</v>
      </c>
      <c r="D44" s="5">
        <v>72</v>
      </c>
      <c r="E44" s="5">
        <v>108</v>
      </c>
      <c r="F44" s="5">
        <v>104</v>
      </c>
      <c r="G44" s="5">
        <v>339</v>
      </c>
      <c r="H44" s="7">
        <v>71.6</v>
      </c>
      <c r="I44" s="17">
        <v>69.7</v>
      </c>
      <c r="J44" s="37">
        <v>40</v>
      </c>
      <c r="K44" s="5">
        <v>42</v>
      </c>
    </row>
    <row r="45" spans="1:11">
      <c r="A45" s="5">
        <v>43</v>
      </c>
      <c r="B45" s="6">
        <v>100012000860284</v>
      </c>
      <c r="C45" s="5">
        <v>71</v>
      </c>
      <c r="D45" s="5">
        <v>72</v>
      </c>
      <c r="E45" s="5">
        <v>105</v>
      </c>
      <c r="F45" s="5">
        <v>110</v>
      </c>
      <c r="G45" s="5">
        <v>358</v>
      </c>
      <c r="H45" s="7">
        <v>65.8</v>
      </c>
      <c r="I45" s="17">
        <v>68.7</v>
      </c>
      <c r="J45" s="37">
        <v>44</v>
      </c>
      <c r="K45" s="5">
        <v>25</v>
      </c>
    </row>
    <row r="46" spans="1:11">
      <c r="A46" s="5">
        <v>44</v>
      </c>
      <c r="B46" s="6">
        <v>100012000860025</v>
      </c>
      <c r="C46" s="5">
        <v>69</v>
      </c>
      <c r="D46" s="5">
        <v>73</v>
      </c>
      <c r="E46" s="5">
        <v>112</v>
      </c>
      <c r="F46" s="5">
        <v>93</v>
      </c>
      <c r="G46" s="5">
        <v>347</v>
      </c>
      <c r="H46" s="5">
        <v>65</v>
      </c>
      <c r="I46" s="7">
        <v>67.2</v>
      </c>
      <c r="J46" s="37">
        <v>46</v>
      </c>
      <c r="K46" s="5">
        <v>35</v>
      </c>
    </row>
    <row r="47" spans="1:11">
      <c r="A47" s="5">
        <v>45</v>
      </c>
      <c r="B47" s="6">
        <v>100012000860261</v>
      </c>
      <c r="C47" s="5">
        <v>60</v>
      </c>
      <c r="D47" s="5">
        <v>62</v>
      </c>
      <c r="E47" s="5">
        <v>110</v>
      </c>
      <c r="F47" s="5">
        <v>116</v>
      </c>
      <c r="G47" s="5">
        <v>348</v>
      </c>
      <c r="H47" s="17">
        <v>64.6</v>
      </c>
      <c r="I47" s="7">
        <v>67.1</v>
      </c>
      <c r="J47" s="37">
        <v>47</v>
      </c>
      <c r="K47" s="5">
        <v>32</v>
      </c>
    </row>
    <row r="48" spans="1:11">
      <c r="A48" s="5">
        <v>46</v>
      </c>
      <c r="B48" s="6">
        <v>100012000860254</v>
      </c>
      <c r="C48" s="5">
        <v>58</v>
      </c>
      <c r="D48" s="5">
        <v>69</v>
      </c>
      <c r="E48" s="5">
        <v>95</v>
      </c>
      <c r="F48" s="5">
        <v>104</v>
      </c>
      <c r="G48" s="5">
        <v>326</v>
      </c>
      <c r="H48" s="17">
        <v>68.8</v>
      </c>
      <c r="I48" s="5">
        <v>67</v>
      </c>
      <c r="J48" s="37">
        <v>41</v>
      </c>
      <c r="K48" s="5">
        <v>45</v>
      </c>
    </row>
    <row r="49" spans="1:11">
      <c r="A49" s="5">
        <v>47</v>
      </c>
      <c r="B49" s="6">
        <v>100012000860270</v>
      </c>
      <c r="C49" s="5">
        <v>61</v>
      </c>
      <c r="D49" s="5">
        <v>71</v>
      </c>
      <c r="E49" s="5">
        <v>101</v>
      </c>
      <c r="F49" s="5">
        <v>92</v>
      </c>
      <c r="G49" s="5">
        <v>325</v>
      </c>
      <c r="H49" s="17">
        <v>65.8</v>
      </c>
      <c r="I49" s="7">
        <v>65.4</v>
      </c>
      <c r="J49" s="37">
        <v>45</v>
      </c>
      <c r="K49" s="5">
        <v>46</v>
      </c>
    </row>
    <row r="50" spans="1:11">
      <c r="A50" s="3"/>
      <c r="B50" s="18"/>
      <c r="C50" s="19"/>
      <c r="D50" s="19"/>
      <c r="E50" s="19"/>
      <c r="F50" s="20"/>
      <c r="G50" s="20"/>
      <c r="H50" s="20"/>
      <c r="I50" s="38"/>
      <c r="J50" s="39"/>
      <c r="K50" s="40"/>
    </row>
  </sheetData>
  <mergeCells count="2">
    <mergeCell ref="A1:K1"/>
    <mergeCell ref="J50:K5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</vt:lpstr>
      <vt:lpstr>2023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丁垒</dc:creator>
  <cp:lastModifiedBy>企业用户_582319014</cp:lastModifiedBy>
  <dcterms:created xsi:type="dcterms:W3CDTF">2023-05-12T11:15:00Z</dcterms:created>
  <dcterms:modified xsi:type="dcterms:W3CDTF">2024-04-18T03:04:45Z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C16DC4BC60794A08BB1EC28F92DBCAA9_13</vt:lpwstr>
  </property>
</Properties>
</file>