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50" windowWidth="20730" windowHeight="819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45" i="1"/>
  <c r="F45"/>
  <c r="B59"/>
  <c r="B60"/>
  <c r="B42"/>
  <c r="B45" s="1"/>
  <c r="B52"/>
  <c r="B51"/>
  <c r="F55"/>
  <c r="F54"/>
  <c r="B73"/>
  <c r="B54"/>
  <c r="B81" l="1"/>
  <c r="B82"/>
  <c r="B41" l="1"/>
  <c r="B43" s="1"/>
  <c r="E36"/>
  <c r="G31"/>
  <c r="I31" s="1"/>
  <c r="B92" l="1"/>
  <c r="B79"/>
  <c r="B80" s="1"/>
  <c r="G16" l="1"/>
  <c r="E17"/>
  <c r="E14"/>
  <c r="G13"/>
  <c r="E13"/>
  <c r="C13"/>
  <c r="M40" l="1"/>
  <c r="J41"/>
  <c r="E42" l="1"/>
  <c r="H42"/>
  <c r="E43"/>
  <c r="E68"/>
  <c r="F4"/>
  <c r="F5"/>
  <c r="F6"/>
  <c r="E18" l="1"/>
  <c r="G18"/>
  <c r="C18"/>
  <c r="G17"/>
  <c r="E16"/>
  <c r="C17"/>
  <c r="G15"/>
  <c r="E15"/>
  <c r="E19" s="1"/>
  <c r="C16"/>
  <c r="C15"/>
  <c r="G14"/>
  <c r="C14"/>
  <c r="G19" l="1"/>
  <c r="C19"/>
  <c r="G65"/>
  <c r="G66"/>
  <c r="C70" s="1"/>
  <c r="G64"/>
  <c r="C68"/>
  <c r="D68"/>
  <c r="C7"/>
  <c r="D43" s="1"/>
  <c r="D7"/>
  <c r="G42" s="1"/>
  <c r="B7"/>
  <c r="D42" s="1"/>
  <c r="B86" l="1"/>
  <c r="J42"/>
  <c r="J43" s="1"/>
  <c r="B49"/>
  <c r="F7"/>
  <c r="B55"/>
  <c r="B71"/>
  <c r="D71" s="1"/>
  <c r="F71" s="1"/>
  <c r="G68"/>
  <c r="B48"/>
  <c r="B70"/>
  <c r="B89" l="1"/>
  <c r="B94" s="1"/>
  <c r="D70"/>
  <c r="F70" s="1"/>
  <c r="G29"/>
  <c r="H29" s="1"/>
  <c r="B74" l="1"/>
  <c r="E35"/>
  <c r="B77" l="1"/>
  <c r="B46"/>
  <c r="B76" l="1"/>
  <c r="D49"/>
  <c r="D55"/>
  <c r="D48"/>
  <c r="D54" l="1"/>
  <c r="W19"/>
  <c r="W21" l="1"/>
  <c r="X19"/>
  <c r="W20"/>
  <c r="W22"/>
  <c r="B83" l="1"/>
  <c r="W23"/>
</calcChain>
</file>

<file path=xl/comments1.xml><?xml version="1.0" encoding="utf-8"?>
<comments xmlns="http://schemas.openxmlformats.org/spreadsheetml/2006/main">
  <authors>
    <author>VTA25</author>
    <author>Maksim Dorosh</author>
  </authors>
  <commentList>
    <comment ref="B35" authorId="0">
      <text>
        <r>
          <rPr>
            <sz val="9"/>
            <color indexed="81"/>
            <rFont val="Tahoma"/>
            <family val="2"/>
            <charset val="204"/>
          </rPr>
          <t xml:space="preserve">розрахункова швидкість на магістралі 1-3
</t>
        </r>
      </text>
    </comment>
    <comment ref="D3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пропускна спроможність однієї смуги руху транспорту на перегоні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35" authorId="0">
      <text>
        <r>
          <rPr>
            <b/>
            <sz val="9"/>
            <color indexed="81"/>
            <rFont val="Tahoma"/>
            <family val="2"/>
            <charset val="204"/>
          </rPr>
          <t>авт/год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36" authorId="0">
      <text>
        <r>
          <rPr>
            <sz val="9"/>
            <color indexed="81"/>
            <rFont val="Tahoma"/>
            <family val="2"/>
            <charset val="204"/>
          </rPr>
          <t xml:space="preserve">розрахункова швидкість на магістралі 2-4
</t>
        </r>
      </text>
    </comment>
    <comment ref="D3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пропускна спроможність однієї смуги руху транспорту на перегоні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36" authorId="0">
      <text>
        <r>
          <rPr>
            <b/>
            <sz val="9"/>
            <color indexed="81"/>
            <rFont val="Tahoma"/>
            <family val="2"/>
            <charset val="204"/>
          </rPr>
          <t>авт/год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40" authorId="1">
      <text>
        <r>
          <rPr>
            <b/>
            <sz val="9"/>
            <color indexed="81"/>
            <rFont val="Tahoma"/>
            <family val="2"/>
            <charset val="204"/>
          </rPr>
          <t>Maksim Dorosh:</t>
        </r>
        <r>
          <rPr>
            <sz val="9"/>
            <color indexed="81"/>
            <rFont val="Tahoma"/>
            <family val="2"/>
            <charset val="204"/>
          </rPr>
          <t xml:space="preserve">
відстань між сусідніми перехрестями магістралі
</t>
        </r>
      </text>
    </comment>
    <comment ref="B41" authorId="1">
      <text>
        <r>
          <rPr>
            <b/>
            <sz val="9"/>
            <color indexed="81"/>
            <rFont val="Tahoma"/>
            <family val="2"/>
            <charset val="204"/>
          </rPr>
          <t>Maksim Dorosh:</t>
        </r>
        <r>
          <rPr>
            <sz val="9"/>
            <color indexed="81"/>
            <rFont val="Tahoma"/>
            <family val="2"/>
            <charset val="204"/>
          </rPr>
          <t xml:space="preserve">
відстань між сусідніми перехрестями магістралі</t>
        </r>
      </text>
    </comment>
    <comment ref="B51" authorId="1">
      <text>
        <r>
          <rPr>
            <b/>
            <sz val="9"/>
            <color indexed="81"/>
            <rFont val="Tahoma"/>
            <family val="2"/>
            <charset val="204"/>
          </rPr>
          <t>Maksim Dorosh:</t>
        </r>
        <r>
          <rPr>
            <sz val="9"/>
            <color indexed="81"/>
            <rFont val="Tahoma"/>
            <family val="2"/>
            <charset val="204"/>
          </rPr>
          <t xml:space="preserve">
Змінити коеф. багатосмуговості</t>
        </r>
      </text>
    </comment>
    <comment ref="B52" authorId="1">
      <text>
        <r>
          <rPr>
            <b/>
            <sz val="9"/>
            <color indexed="81"/>
            <rFont val="Tahoma"/>
            <family val="2"/>
            <charset val="204"/>
          </rPr>
          <t>Maksim Dorosh:</t>
        </r>
        <r>
          <rPr>
            <sz val="9"/>
            <color indexed="81"/>
            <rFont val="Tahoma"/>
            <family val="2"/>
            <charset val="204"/>
          </rPr>
          <t xml:space="preserve">
Змінити коеф. багатосмуговості</t>
        </r>
      </text>
    </comment>
    <comment ref="B57" authorId="1">
      <text>
        <r>
          <rPr>
            <b/>
            <sz val="9"/>
            <color indexed="81"/>
            <rFont val="Tahoma"/>
            <family val="2"/>
            <charset val="204"/>
          </rPr>
          <t>Maksim Dorosh:</t>
        </r>
        <r>
          <rPr>
            <sz val="9"/>
            <color indexed="81"/>
            <rFont val="Tahoma"/>
            <family val="2"/>
            <charset val="204"/>
          </rPr>
          <t xml:space="preserve">
Ширина центральної розділювальні смуги (п2,11, ДБН В2.3.5-2001)
</t>
        </r>
      </text>
    </comment>
    <comment ref="B58" authorId="1">
      <text>
        <r>
          <rPr>
            <b/>
            <sz val="9"/>
            <color indexed="81"/>
            <rFont val="Tahoma"/>
            <family val="2"/>
            <charset val="204"/>
          </rPr>
          <t>Maksim Dorosh:</t>
        </r>
        <r>
          <rPr>
            <sz val="9"/>
            <color indexed="81"/>
            <rFont val="Tahoma"/>
            <family val="2"/>
            <charset val="204"/>
          </rPr>
          <t xml:space="preserve">
вулицях і дорогах регульованого руху
6 смуг - неменше 3м
інших магістраля - 2м</t>
        </r>
      </text>
    </comment>
    <comment ref="E70" authorId="0">
      <text>
        <r>
          <rPr>
            <b/>
            <sz val="9"/>
            <color indexed="81"/>
            <rFont val="Tahoma"/>
            <family val="2"/>
            <charset val="204"/>
          </rPr>
          <t>VTA25:</t>
        </r>
        <r>
          <rPr>
            <sz val="9"/>
            <color indexed="81"/>
            <rFont val="Tahoma"/>
            <family val="2"/>
            <charset val="204"/>
          </rPr>
          <t xml:space="preserve">
2.20 Пропускну здатність однієї смуги тротуару та пішохідної доріжки слід приймати за табли¬цею 2.7. (ДБН В.2.3.5-2001)</t>
        </r>
      </text>
    </comment>
    <comment ref="G70" authorId="0">
      <text>
        <r>
          <rPr>
            <b/>
            <sz val="9"/>
            <color indexed="81"/>
            <rFont val="Tahoma"/>
            <family val="2"/>
            <charset val="204"/>
          </rPr>
          <t>кількість смуг руху на тротуарі</t>
        </r>
      </text>
    </comment>
    <comment ref="G71" authorId="0">
      <text>
        <r>
          <rPr>
            <b/>
            <sz val="9"/>
            <color indexed="81"/>
            <rFont val="Tahoma"/>
            <family val="2"/>
            <charset val="204"/>
          </rPr>
          <t>кількість смуг руху на тротуарі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3" authorId="0">
      <text>
        <r>
          <rPr>
            <b/>
            <sz val="9"/>
            <color indexed="81"/>
            <rFont val="Tahoma"/>
            <family val="2"/>
            <charset val="204"/>
          </rPr>
          <t>Ширина тротуару,м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73" authorId="0">
      <text>
        <r>
          <rPr>
            <b/>
            <sz val="9"/>
            <color indexed="81"/>
            <rFont val="Tahoma"/>
            <family val="2"/>
            <charset val="204"/>
          </rPr>
          <t>VTA25:</t>
        </r>
        <r>
          <rPr>
            <sz val="9"/>
            <color indexed="81"/>
            <rFont val="Tahoma"/>
            <family val="2"/>
            <charset val="204"/>
          </rPr>
          <t xml:space="preserve">
Прийнята Ширина тротуару,м
</t>
        </r>
      </text>
    </comment>
    <comment ref="B74" authorId="0">
      <text>
        <r>
          <rPr>
            <b/>
            <sz val="9"/>
            <color indexed="81"/>
            <rFont val="Tahoma"/>
            <family val="2"/>
            <charset val="204"/>
          </rPr>
          <t>Ширина тротуару,м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74" authorId="0">
      <text>
        <r>
          <rPr>
            <b/>
            <sz val="9"/>
            <color indexed="81"/>
            <rFont val="Tahoma"/>
            <family val="2"/>
            <charset val="204"/>
          </rPr>
          <t>VTA25:</t>
        </r>
        <r>
          <rPr>
            <sz val="9"/>
            <color indexed="81"/>
            <rFont val="Tahoma"/>
            <family val="2"/>
            <charset val="204"/>
          </rPr>
          <t xml:space="preserve">
Прийнята Ширина тротуару,м</t>
        </r>
      </text>
    </comment>
    <comment ref="A7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розрахункова швидкість руху на перехресті (див. завдання)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9" authorId="1">
      <text>
        <r>
          <rPr>
            <b/>
            <sz val="9"/>
            <color indexed="81"/>
            <rFont val="Tahoma"/>
            <family val="2"/>
            <charset val="204"/>
          </rPr>
          <t>Maksim Dorosh:</t>
        </r>
        <r>
          <rPr>
            <sz val="9"/>
            <color indexed="81"/>
            <rFont val="Tahoma"/>
            <family val="2"/>
            <charset val="204"/>
          </rPr>
          <t xml:space="preserve">
33
км/год розрах. Швидк. На перехресті (див завдання)</t>
        </r>
      </text>
    </comment>
    <comment ref="C80" authorId="1">
      <text>
        <r>
          <rPr>
            <b/>
            <sz val="9"/>
            <color indexed="81"/>
            <rFont val="Tahoma"/>
            <family val="2"/>
            <charset val="204"/>
          </rPr>
          <t>Maksim Dorosh:</t>
        </r>
        <r>
          <rPr>
            <sz val="9"/>
            <color indexed="81"/>
            <rFont val="Tahoma"/>
            <family val="2"/>
            <charset val="204"/>
          </rPr>
          <t xml:space="preserve">
для швидкості 34км/год
приймаємо 39м</t>
        </r>
      </text>
    </comment>
    <comment ref="A81" authorId="1">
      <text>
        <r>
          <rPr>
            <b/>
            <sz val="9"/>
            <color indexed="81"/>
            <rFont val="Tahoma"/>
            <family val="2"/>
            <charset val="204"/>
          </rPr>
          <t>Maksim Dorosh:</t>
        </r>
        <r>
          <rPr>
            <sz val="9"/>
            <color indexed="81"/>
            <rFont val="Tahoma"/>
            <family val="2"/>
            <charset val="204"/>
          </rPr>
          <t xml:space="preserve">
B’ – відстань між осями крайніх смуг магістралей, що виходять на перехрестя</t>
        </r>
      </text>
    </comment>
    <comment ref="B86" authorId="1">
      <text>
        <r>
          <rPr>
            <b/>
            <sz val="9"/>
            <color indexed="81"/>
            <rFont val="Tahoma"/>
            <family val="2"/>
            <charset val="204"/>
          </rPr>
          <t>Maksim Dorosh:</t>
        </r>
        <r>
          <rPr>
            <sz val="9"/>
            <color indexed="81"/>
            <rFont val="Tahoma"/>
            <family val="2"/>
            <charset val="204"/>
          </rPr>
          <t xml:space="preserve">
Nмакс з перерізів - N(яке піде по естакаді)</t>
        </r>
      </text>
    </comment>
  </commentList>
</comments>
</file>

<file path=xl/sharedStrings.xml><?xml version="1.0" encoding="utf-8"?>
<sst xmlns="http://schemas.openxmlformats.org/spreadsheetml/2006/main" count="168" uniqueCount="130">
  <si>
    <t>Перспективна інтенсивність</t>
  </si>
  <si>
    <t>І пер</t>
  </si>
  <si>
    <t>напрям руху</t>
  </si>
  <si>
    <t>Nр авт/год</t>
  </si>
  <si>
    <t>ІІ пер</t>
  </si>
  <si>
    <t>ІІІ пер</t>
  </si>
  <si>
    <t>1-1</t>
  </si>
  <si>
    <t>2-1</t>
  </si>
  <si>
    <t>2-2</t>
  </si>
  <si>
    <t>2-3</t>
  </si>
  <si>
    <t>3-1</t>
  </si>
  <si>
    <t>3-3</t>
  </si>
  <si>
    <t>1-2</t>
  </si>
  <si>
    <t>3-2</t>
  </si>
  <si>
    <t>1-3</t>
  </si>
  <si>
    <t>∑</t>
  </si>
  <si>
    <t>1. Визначення доцільності влаштування перетинів
магістралей кільцевого типу</t>
  </si>
  <si>
    <t>2. Вибір розрахункових швидкостей на перетинах
магістралей в різних рівнях</t>
  </si>
  <si>
    <t>La</t>
  </si>
  <si>
    <t>Lб</t>
  </si>
  <si>
    <t>g</t>
  </si>
  <si>
    <t>φ</t>
  </si>
  <si>
    <r>
      <t>f</t>
    </r>
    <r>
      <rPr>
        <b/>
        <sz val="11"/>
        <color theme="1"/>
        <rFont val="Times New Roman"/>
        <family val="1"/>
        <charset val="204"/>
      </rPr>
      <t xml:space="preserve"> </t>
    </r>
  </si>
  <si>
    <t xml:space="preserve">i </t>
  </si>
  <si>
    <r>
      <t>k</t>
    </r>
    <r>
      <rPr>
        <b/>
        <i/>
        <vertAlign val="subscript"/>
        <sz val="14"/>
        <color theme="1"/>
        <rFont val="Times New Roman"/>
        <family val="1"/>
        <charset val="204"/>
      </rPr>
      <t>е</t>
    </r>
  </si>
  <si>
    <r>
      <t>k</t>
    </r>
    <r>
      <rPr>
        <b/>
        <i/>
        <vertAlign val="subscript"/>
        <sz val="14"/>
        <color theme="1"/>
        <rFont val="Times New Roman"/>
        <family val="1"/>
        <charset val="204"/>
      </rPr>
      <t>1</t>
    </r>
  </si>
  <si>
    <t>Vопт</t>
  </si>
  <si>
    <t>R</t>
  </si>
  <si>
    <t>V</t>
  </si>
  <si>
    <r>
      <rPr>
        <b/>
        <sz val="11"/>
        <color theme="1"/>
        <rFont val="Times New Roman"/>
        <family val="1"/>
        <charset val="204"/>
      </rPr>
      <t>2. Підрахунок інтенсивності руху в найбільш завантажених перерізах</t>
    </r>
    <r>
      <rPr>
        <sz val="11"/>
        <color theme="1"/>
        <rFont val="Times New Roman"/>
        <family val="1"/>
        <charset val="204"/>
      </rPr>
      <t xml:space="preserve"> </t>
    </r>
  </si>
  <si>
    <t>3. Проектування поперечних профілів магістралей</t>
  </si>
  <si>
    <t>Vp(1-3)</t>
  </si>
  <si>
    <t>Vp(2-4)</t>
  </si>
  <si>
    <t>Nсм(1-3)</t>
  </si>
  <si>
    <t>Nсм2-4)</t>
  </si>
  <si>
    <t>δ1-3</t>
  </si>
  <si>
    <t>δ2-4</t>
  </si>
  <si>
    <t>L1-3</t>
  </si>
  <si>
    <t>L2-4</t>
  </si>
  <si>
    <t>tж1-3</t>
  </si>
  <si>
    <t>tч1-3</t>
  </si>
  <si>
    <t>tж2-4</t>
  </si>
  <si>
    <t>tч2-4</t>
  </si>
  <si>
    <t>а</t>
  </si>
  <si>
    <t>b</t>
  </si>
  <si>
    <t>Nпер</t>
  </si>
  <si>
    <t>Nроз1-3</t>
  </si>
  <si>
    <t>Nроз2-4</t>
  </si>
  <si>
    <t>∑вхід</t>
  </si>
  <si>
    <t>∑вихід</t>
  </si>
  <si>
    <t>n1-3</t>
  </si>
  <si>
    <t>n2-4</t>
  </si>
  <si>
    <t>Nмаг1-3</t>
  </si>
  <si>
    <t>Nмаг2-4</t>
  </si>
  <si>
    <t>Коеф. Багатосмуговості</t>
  </si>
  <si>
    <t>Nроз              1-3(max)</t>
  </si>
  <si>
    <t>&gt;</t>
  </si>
  <si>
    <t>- умова виконується</t>
  </si>
  <si>
    <t xml:space="preserve">пропускна спроможність магістралі </t>
  </si>
  <si>
    <t xml:space="preserve">кількість смуг руху </t>
  </si>
  <si>
    <t xml:space="preserve">пропускну спроможність однієї смуги </t>
  </si>
  <si>
    <t xml:space="preserve">коефіцієнт впливу світлофорного регулювання </t>
  </si>
  <si>
    <t xml:space="preserve">ширина проїжджої частини </t>
  </si>
  <si>
    <t>Bмаг1-3</t>
  </si>
  <si>
    <t>Bмаг2-4</t>
  </si>
  <si>
    <t>Розрахунок ширини пішохідної частини тротуарів</t>
  </si>
  <si>
    <t>Напрям магістралі</t>
  </si>
  <si>
    <t>Вихід</t>
  </si>
  <si>
    <t>∑вих</t>
  </si>
  <si>
    <t>Вхід</t>
  </si>
  <si>
    <t>-</t>
  </si>
  <si>
    <t>Nсм трот</t>
  </si>
  <si>
    <t xml:space="preserve">кількість смуг руху на пішохідній частині </t>
  </si>
  <si>
    <t xml:space="preserve">Ширина пішохідної частини тротуару </t>
  </si>
  <si>
    <t>Втр1-3</t>
  </si>
  <si>
    <t>Втр2-4</t>
  </si>
  <si>
    <t>якщо менше 3м, приймаємо 3м</t>
  </si>
  <si>
    <t xml:space="preserve">Величина пропускної спроможності пішохідної частини тротуару </t>
  </si>
  <si>
    <t>Nтр1-3</t>
  </si>
  <si>
    <t>Nтр2-4</t>
  </si>
  <si>
    <r>
      <t>L</t>
    </r>
    <r>
      <rPr>
        <b/>
        <vertAlign val="subscript"/>
        <sz val="11"/>
        <color theme="1"/>
        <rFont val="Times New Roman"/>
        <family val="1"/>
        <charset val="204"/>
      </rPr>
      <t>П</t>
    </r>
  </si>
  <si>
    <t>B'1-3</t>
  </si>
  <si>
    <t>B'2-4</t>
  </si>
  <si>
    <t>Розрахун­кова</t>
  </si>
  <si>
    <t>швидкість</t>
  </si>
  <si>
    <t>руху, км/год</t>
  </si>
  <si>
    <t>Ширина проїзної</t>
  </si>
  <si>
    <t>частини кільця, м</t>
  </si>
  <si>
    <t>Довжина ділянки</t>
  </si>
  <si>
    <t>перестро­ювання, м</t>
  </si>
  <si>
    <t>Найбільша пропускна здатність ділянок перестроювання, од/год, при швидкості руху, км/год</t>
  </si>
  <si>
    <t xml:space="preserve">                   приймається у межах 30-40 км/год.</t>
  </si>
  <si>
    <r>
      <t xml:space="preserve">Примітка. </t>
    </r>
    <r>
      <rPr>
        <sz val="10"/>
        <color theme="1"/>
        <rFont val="Times New Roman"/>
        <family val="1"/>
        <charset val="204"/>
      </rPr>
      <t xml:space="preserve">Розрахункова швидкість руху на кільцевих площах з метою економії території    </t>
    </r>
  </si>
  <si>
    <t>Магістралі</t>
  </si>
  <si>
    <t>районного значення</t>
  </si>
  <si>
    <t>загальноміського значення</t>
  </si>
  <si>
    <t>r1-3</t>
  </si>
  <si>
    <t>Δ1-3</t>
  </si>
  <si>
    <t>Δ2-4</t>
  </si>
  <si>
    <t xml:space="preserve">межах червоних ліній приймати, м:
</t>
  </si>
  <si>
    <t>районного значення                         40-50</t>
  </si>
  <si>
    <t>загальноміського значення             50-80</t>
  </si>
  <si>
    <t>R0</t>
  </si>
  <si>
    <t>Кількість смуг руху на кільці</t>
  </si>
  <si>
    <t>n</t>
  </si>
  <si>
    <t>Ширина проїжджої частини на кільці</t>
  </si>
  <si>
    <t>Вк=</t>
  </si>
  <si>
    <t xml:space="preserve">Радіус правоповоротного з’їзду  </t>
  </si>
  <si>
    <t>R=</t>
  </si>
  <si>
    <t>N'см1-3</t>
  </si>
  <si>
    <t>N'см2-4</t>
  </si>
  <si>
    <t xml:space="preserve">перевіряємо виконання умови Nмаг ≥ Nрозр.                                 </t>
  </si>
  <si>
    <t xml:space="preserve">Довжину лінії переплетення на кільці </t>
  </si>
  <si>
    <t>tз1-3</t>
  </si>
  <si>
    <t>tз2-4</t>
  </si>
  <si>
    <t>Тц=</t>
  </si>
  <si>
    <t>T1=</t>
  </si>
  <si>
    <t>T3=</t>
  </si>
  <si>
    <t>Т=</t>
  </si>
  <si>
    <t>T2=</t>
  </si>
  <si>
    <t>S=</t>
  </si>
  <si>
    <t>V, км/год</t>
  </si>
  <si>
    <t>A</t>
  </si>
  <si>
    <t>B</t>
  </si>
  <si>
    <t>C</t>
  </si>
  <si>
    <t>D</t>
  </si>
  <si>
    <t>E</t>
  </si>
  <si>
    <t>Nроз          2-4(max)</t>
  </si>
  <si>
    <t>r2-4</t>
  </si>
  <si>
    <t>Rзовн =</t>
  </si>
</sst>
</file>

<file path=xl/styles.xml><?xml version="1.0" encoding="utf-8"?>
<styleSheet xmlns="http://schemas.openxmlformats.org/spreadsheetml/2006/main">
  <numFmts count="1">
    <numFmt numFmtId="164" formatCode="0.0"/>
  </numFmts>
  <fonts count="22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vertAlign val="subscript"/>
      <sz val="14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i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</font>
    <font>
      <b/>
      <sz val="11"/>
      <name val="Times New Roman"/>
      <family val="1"/>
      <charset val="204"/>
    </font>
    <font>
      <sz val="11"/>
      <color theme="4"/>
      <name val="Times New Roman"/>
      <family val="1"/>
      <charset val="204"/>
    </font>
    <font>
      <sz val="1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2" fontId="2" fillId="0" borderId="0" xfId="0" applyNumberFormat="1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2" fontId="2" fillId="0" borderId="1" xfId="0" applyNumberFormat="1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/>
    <xf numFmtId="0" fontId="4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0" fontId="13" fillId="0" borderId="14" xfId="0" applyFont="1" applyBorder="1" applyAlignment="1">
      <alignment vertical="top" wrapText="1"/>
    </xf>
    <xf numFmtId="0" fontId="4" fillId="0" borderId="1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2" fontId="2" fillId="7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justify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justify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4" fillId="0" borderId="0" xfId="0" applyFont="1"/>
    <xf numFmtId="0" fontId="2" fillId="6" borderId="1" xfId="0" applyFont="1" applyFill="1" applyBorder="1"/>
    <xf numFmtId="164" fontId="2" fillId="6" borderId="1" xfId="0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2" fontId="2" fillId="3" borderId="3" xfId="0" applyNumberFormat="1" applyFont="1" applyFill="1" applyBorder="1"/>
    <xf numFmtId="1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2" fontId="2" fillId="3" borderId="3" xfId="0" applyNumberFormat="1" applyFont="1" applyFill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2" fillId="6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2" fontId="2" fillId="6" borderId="1" xfId="0" applyNumberFormat="1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10" fillId="6" borderId="1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2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3" fontId="2" fillId="0" borderId="0" xfId="0" applyNumberFormat="1" applyFont="1"/>
    <xf numFmtId="164" fontId="2" fillId="0" borderId="0" xfId="0" applyNumberFormat="1" applyFont="1"/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18" fillId="2" borderId="3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0" fontId="3" fillId="8" borderId="0" xfId="0" applyFont="1" applyFill="1"/>
    <xf numFmtId="0" fontId="17" fillId="0" borderId="0" xfId="0" applyFont="1"/>
    <xf numFmtId="1" fontId="20" fillId="0" borderId="0" xfId="0" applyNumberFormat="1" applyFont="1"/>
    <xf numFmtId="0" fontId="20" fillId="0" borderId="0" xfId="0" applyFont="1" applyBorder="1" applyAlignment="1">
      <alignment horizontal="center" vertical="center"/>
    </xf>
    <xf numFmtId="0" fontId="20" fillId="0" borderId="0" xfId="0" applyFont="1"/>
    <xf numFmtId="0" fontId="21" fillId="8" borderId="0" xfId="0" applyFont="1" applyFill="1"/>
    <xf numFmtId="0" fontId="2" fillId="2" borderId="0" xfId="0" applyFont="1" applyFill="1"/>
    <xf numFmtId="0" fontId="2" fillId="3" borderId="0" xfId="0" applyFont="1" applyFill="1"/>
    <xf numFmtId="0" fontId="3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2" fillId="6" borderId="2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6"/>
  <sheetViews>
    <sheetView tabSelected="1" topLeftCell="A44" zoomScale="80" zoomScaleNormal="80" workbookViewId="0">
      <selection activeCell="E51" sqref="E51"/>
    </sheetView>
  </sheetViews>
  <sheetFormatPr defaultRowHeight="15"/>
  <cols>
    <col min="1" max="1" width="10.7109375" style="1" customWidth="1"/>
    <col min="2" max="2" width="12" style="1" bestFit="1" customWidth="1"/>
    <col min="3" max="3" width="9.140625" style="1"/>
    <col min="4" max="4" width="14.42578125" style="1" customWidth="1"/>
    <col min="5" max="6" width="9.140625" style="1"/>
    <col min="7" max="7" width="10.42578125" style="1" bestFit="1" customWidth="1"/>
    <col min="8" max="11" width="9.140625" style="1"/>
    <col min="12" max="12" width="13.140625" style="1" bestFit="1" customWidth="1"/>
    <col min="13" max="13" width="18.5703125" style="1" bestFit="1" customWidth="1"/>
    <col min="14" max="14" width="20.42578125" style="1" customWidth="1"/>
    <col min="15" max="15" width="9.140625" style="1"/>
    <col min="16" max="16" width="12.7109375" style="1" customWidth="1"/>
    <col min="17" max="20" width="9.140625" style="1"/>
    <col min="21" max="21" width="11.7109375" style="1" customWidth="1"/>
    <col min="22" max="22" width="9.140625" style="1"/>
    <col min="23" max="23" width="11.7109375" style="1" bestFit="1" customWidth="1"/>
    <col min="24" max="16384" width="9.140625" style="1"/>
  </cols>
  <sheetData>
    <row r="1" spans="1:23" ht="30.75" customHeight="1">
      <c r="A1" s="116" t="s">
        <v>16</v>
      </c>
      <c r="B1" s="116"/>
      <c r="C1" s="116"/>
      <c r="D1" s="116"/>
      <c r="E1" s="116"/>
      <c r="F1" s="116"/>
      <c r="G1" s="116"/>
      <c r="H1" s="116"/>
    </row>
    <row r="2" spans="1:23">
      <c r="A2" s="127" t="s">
        <v>0</v>
      </c>
      <c r="B2" s="128"/>
      <c r="C2" s="128"/>
      <c r="D2" s="128"/>
      <c r="E2" s="81"/>
    </row>
    <row r="3" spans="1:23">
      <c r="B3" s="3">
        <v>1</v>
      </c>
      <c r="C3" s="3">
        <v>2</v>
      </c>
      <c r="D3" s="73">
        <v>3</v>
      </c>
      <c r="E3" s="82"/>
      <c r="F3" s="74" t="s">
        <v>49</v>
      </c>
    </row>
    <row r="4" spans="1:23" ht="15.75" thickBot="1">
      <c r="A4" s="3">
        <v>1</v>
      </c>
      <c r="B4" s="4">
        <v>10</v>
      </c>
      <c r="C4" s="4">
        <v>805</v>
      </c>
      <c r="D4" s="4">
        <v>1900</v>
      </c>
      <c r="E4" s="82"/>
      <c r="F4" s="74">
        <f>SUM(B4:D4)</f>
        <v>2715</v>
      </c>
      <c r="H4" s="99"/>
      <c r="I4" s="99"/>
      <c r="J4" s="99"/>
      <c r="M4" s="74"/>
      <c r="N4" s="74"/>
      <c r="O4" s="74"/>
      <c r="P4" s="12"/>
    </row>
    <row r="5" spans="1:23" ht="15.75" thickBot="1">
      <c r="A5" s="3">
        <v>2</v>
      </c>
      <c r="B5" s="4">
        <v>300</v>
      </c>
      <c r="C5" s="4">
        <v>25</v>
      </c>
      <c r="D5" s="4">
        <v>700</v>
      </c>
      <c r="E5" s="26"/>
      <c r="F5" s="74">
        <f>SUM(B5:D5)</f>
        <v>1025</v>
      </c>
      <c r="H5" s="99"/>
      <c r="I5" s="99"/>
      <c r="J5" s="99"/>
      <c r="M5" s="74"/>
      <c r="N5" s="74"/>
      <c r="O5" s="74"/>
      <c r="P5" s="12"/>
    </row>
    <row r="6" spans="1:23" ht="15.75" thickBot="1">
      <c r="A6" s="3">
        <v>3</v>
      </c>
      <c r="B6" s="4">
        <v>2000</v>
      </c>
      <c r="C6" s="4">
        <v>205</v>
      </c>
      <c r="D6" s="4">
        <v>30</v>
      </c>
      <c r="E6" s="26"/>
      <c r="F6" s="74">
        <f>SUM(B6:D6)</f>
        <v>2235</v>
      </c>
      <c r="H6" s="99"/>
      <c r="I6" s="99"/>
      <c r="J6" s="99"/>
      <c r="M6" s="74"/>
      <c r="N6" s="74"/>
      <c r="O6" s="74"/>
      <c r="P6" s="12"/>
    </row>
    <row r="7" spans="1:23">
      <c r="A7" s="4" t="s">
        <v>48</v>
      </c>
      <c r="B7" s="1">
        <f>SUM(B4:B6)</f>
        <v>2310</v>
      </c>
      <c r="C7" s="1">
        <f>SUM(C4:C6)</f>
        <v>1035</v>
      </c>
      <c r="D7" s="1">
        <f>SUM(D4:D6)</f>
        <v>2630</v>
      </c>
      <c r="F7" s="72">
        <f>SUM(B7:D7)</f>
        <v>5975</v>
      </c>
      <c r="M7" s="12"/>
      <c r="N7" s="12"/>
      <c r="O7" s="12"/>
      <c r="P7" s="12"/>
      <c r="R7" s="100"/>
      <c r="S7" s="12"/>
      <c r="W7" s="1">
        <v>15749400</v>
      </c>
    </row>
    <row r="8" spans="1:23">
      <c r="A8" s="26"/>
      <c r="F8" s="12"/>
      <c r="W8" s="1">
        <v>7260462</v>
      </c>
    </row>
    <row r="9" spans="1:23" ht="25.5" customHeight="1">
      <c r="A9" s="129" t="s">
        <v>29</v>
      </c>
      <c r="B9" s="129"/>
      <c r="C9" s="129"/>
      <c r="D9" s="129"/>
      <c r="E9" s="129"/>
      <c r="F9" s="129"/>
      <c r="G9" s="129"/>
      <c r="H9" s="129"/>
      <c r="I9" s="129"/>
      <c r="W9" s="1">
        <v>2850200</v>
      </c>
    </row>
    <row r="10" spans="1:23" ht="27" customHeight="1">
      <c r="A10" s="130"/>
      <c r="B10" s="130"/>
      <c r="C10" s="130"/>
      <c r="D10" s="130"/>
      <c r="E10" s="130"/>
      <c r="F10" s="130"/>
      <c r="G10" s="130"/>
      <c r="H10" s="130"/>
      <c r="I10" s="130"/>
      <c r="N10" s="85"/>
      <c r="W10" s="1">
        <v>1444400</v>
      </c>
    </row>
    <row r="11" spans="1:23" ht="35.25" customHeight="1">
      <c r="A11" s="125"/>
      <c r="B11" s="123" t="s">
        <v>1</v>
      </c>
      <c r="C11" s="124"/>
      <c r="D11" s="123" t="s">
        <v>4</v>
      </c>
      <c r="E11" s="124"/>
      <c r="F11" s="123" t="s">
        <v>5</v>
      </c>
      <c r="G11" s="124"/>
      <c r="H11" s="123"/>
      <c r="I11" s="124"/>
    </row>
    <row r="12" spans="1:23" ht="29.25" customHeight="1">
      <c r="A12" s="126"/>
      <c r="B12" s="6" t="s">
        <v>2</v>
      </c>
      <c r="C12" s="7" t="s">
        <v>3</v>
      </c>
      <c r="D12" s="6" t="s">
        <v>2</v>
      </c>
      <c r="E12" s="8" t="s">
        <v>3</v>
      </c>
      <c r="F12" s="6" t="s">
        <v>2</v>
      </c>
      <c r="G12" s="8" t="s">
        <v>3</v>
      </c>
      <c r="H12" s="6"/>
      <c r="I12" s="8"/>
      <c r="M12" s="85"/>
      <c r="W12" s="1">
        <v>1295800</v>
      </c>
    </row>
    <row r="13" spans="1:23">
      <c r="A13" s="3">
        <v>1</v>
      </c>
      <c r="B13" s="9" t="s">
        <v>6</v>
      </c>
      <c r="C13" s="4">
        <f>B4</f>
        <v>10</v>
      </c>
      <c r="D13" s="9" t="s">
        <v>6</v>
      </c>
      <c r="E13" s="74">
        <f>B4</f>
        <v>10</v>
      </c>
      <c r="F13" s="9" t="s">
        <v>6</v>
      </c>
      <c r="G13" s="4">
        <f>B4</f>
        <v>10</v>
      </c>
      <c r="H13" s="9"/>
      <c r="I13" s="4"/>
      <c r="W13" s="89">
        <v>8400000</v>
      </c>
    </row>
    <row r="14" spans="1:23">
      <c r="A14" s="3">
        <v>2</v>
      </c>
      <c r="B14" s="9" t="s">
        <v>12</v>
      </c>
      <c r="C14" s="4">
        <f>C4</f>
        <v>805</v>
      </c>
      <c r="D14" s="9" t="s">
        <v>7</v>
      </c>
      <c r="E14" s="11">
        <f>B5</f>
        <v>300</v>
      </c>
      <c r="F14" s="9" t="s">
        <v>12</v>
      </c>
      <c r="G14" s="4">
        <f>C4</f>
        <v>805</v>
      </c>
      <c r="H14" s="9"/>
      <c r="I14" s="4"/>
      <c r="W14" s="1">
        <v>2723680</v>
      </c>
    </row>
    <row r="15" spans="1:23">
      <c r="A15" s="3">
        <v>3</v>
      </c>
      <c r="B15" s="9" t="s">
        <v>14</v>
      </c>
      <c r="C15" s="4">
        <f>D4</f>
        <v>1900</v>
      </c>
      <c r="D15" s="9" t="s">
        <v>8</v>
      </c>
      <c r="E15" s="4">
        <f>C5</f>
        <v>25</v>
      </c>
      <c r="F15" s="9" t="s">
        <v>8</v>
      </c>
      <c r="G15" s="4">
        <f>C5</f>
        <v>25</v>
      </c>
      <c r="H15" s="9"/>
      <c r="I15" s="4"/>
      <c r="W15" s="1">
        <v>79200</v>
      </c>
    </row>
    <row r="16" spans="1:23">
      <c r="A16" s="3">
        <v>4</v>
      </c>
      <c r="B16" s="9" t="s">
        <v>8</v>
      </c>
      <c r="C16" s="4">
        <f>C5</f>
        <v>25</v>
      </c>
      <c r="D16" s="9" t="s">
        <v>9</v>
      </c>
      <c r="E16" s="4">
        <f>D5</f>
        <v>700</v>
      </c>
      <c r="F16" s="9" t="s">
        <v>10</v>
      </c>
      <c r="G16" s="4">
        <f>B6</f>
        <v>2000</v>
      </c>
      <c r="H16" s="9"/>
      <c r="I16" s="4"/>
      <c r="W16" s="1">
        <v>411920</v>
      </c>
    </row>
    <row r="17" spans="1:24">
      <c r="A17" s="3">
        <v>5</v>
      </c>
      <c r="B17" s="9" t="s">
        <v>9</v>
      </c>
      <c r="C17" s="4">
        <f>D5</f>
        <v>700</v>
      </c>
      <c r="D17" s="9" t="s">
        <v>10</v>
      </c>
      <c r="E17" s="11">
        <f>B6</f>
        <v>2000</v>
      </c>
      <c r="F17" s="9" t="s">
        <v>13</v>
      </c>
      <c r="G17" s="4">
        <f>C6</f>
        <v>205</v>
      </c>
      <c r="H17" s="9"/>
      <c r="I17" s="4"/>
      <c r="P17" s="12"/>
      <c r="W17" s="1">
        <v>430000</v>
      </c>
    </row>
    <row r="18" spans="1:24">
      <c r="A18" s="3">
        <v>6</v>
      </c>
      <c r="B18" s="9" t="s">
        <v>11</v>
      </c>
      <c r="C18" s="4">
        <f>D6</f>
        <v>30</v>
      </c>
      <c r="D18" s="9" t="s">
        <v>11</v>
      </c>
      <c r="E18" s="11">
        <f>D6</f>
        <v>30</v>
      </c>
      <c r="F18" s="9" t="s">
        <v>11</v>
      </c>
      <c r="G18" s="4">
        <f>D6</f>
        <v>30</v>
      </c>
      <c r="H18" s="9"/>
      <c r="I18" s="4"/>
      <c r="W18" s="1">
        <v>76752</v>
      </c>
    </row>
    <row r="19" spans="1:24">
      <c r="A19" s="34" t="s">
        <v>15</v>
      </c>
      <c r="B19" s="4"/>
      <c r="C19" s="34">
        <f>SUM(C13:C18)</f>
        <v>3470</v>
      </c>
      <c r="D19" s="4"/>
      <c r="E19" s="4">
        <f>SUM(E13:E18)</f>
        <v>3065</v>
      </c>
      <c r="F19" s="4"/>
      <c r="G19" s="34">
        <f>SUM(G13:G18)</f>
        <v>3075</v>
      </c>
      <c r="H19" s="4"/>
      <c r="I19" s="34"/>
      <c r="W19" s="12">
        <f>SUM(W7:W18)</f>
        <v>40721814</v>
      </c>
      <c r="X19" s="1">
        <f>W19*0.15</f>
        <v>6108272.0999999996</v>
      </c>
    </row>
    <row r="20" spans="1:24">
      <c r="A20" s="64"/>
      <c r="B20" s="64"/>
      <c r="C20" s="64"/>
      <c r="D20" s="64"/>
      <c r="E20" s="64"/>
      <c r="F20" s="64"/>
      <c r="G20" s="64"/>
      <c r="H20" s="64"/>
      <c r="I20" s="26"/>
      <c r="O20" s="12"/>
      <c r="W20" s="90">
        <f>W19*0.04</f>
        <v>1628872.56</v>
      </c>
    </row>
    <row r="21" spans="1:24">
      <c r="A21" s="64"/>
      <c r="B21" s="64"/>
      <c r="C21" s="64"/>
      <c r="D21" s="64"/>
      <c r="E21" s="64"/>
      <c r="F21" s="64"/>
      <c r="G21" s="64"/>
      <c r="H21" s="64"/>
      <c r="I21" s="26"/>
      <c r="W21" s="90">
        <f>W19*0.05</f>
        <v>2036090.7000000002</v>
      </c>
    </row>
    <row r="22" spans="1:24" ht="18.75">
      <c r="A22" s="64"/>
      <c r="B22" s="64"/>
      <c r="C22" s="64"/>
      <c r="D22" s="64"/>
      <c r="E22" s="64"/>
      <c r="F22" s="64"/>
      <c r="G22" s="64"/>
      <c r="H22" s="64"/>
      <c r="I22" s="26"/>
      <c r="L22" s="101"/>
      <c r="W22" s="90">
        <f>W19*0.02</f>
        <v>814436.28</v>
      </c>
    </row>
    <row r="23" spans="1:24" ht="18.75">
      <c r="A23" s="64"/>
      <c r="B23" s="64"/>
      <c r="C23" s="64"/>
      <c r="D23" s="64"/>
      <c r="E23" s="64"/>
      <c r="F23" s="64"/>
      <c r="G23" s="64"/>
      <c r="L23" s="101"/>
      <c r="W23" s="90">
        <f>SUM(W19:W22,X19)</f>
        <v>51309485.640000008</v>
      </c>
    </row>
    <row r="24" spans="1:24">
      <c r="A24" s="64"/>
      <c r="B24" s="64"/>
      <c r="C24" s="64"/>
      <c r="D24" s="64"/>
      <c r="E24" s="64"/>
      <c r="F24" s="64"/>
      <c r="G24" s="64"/>
    </row>
    <row r="25" spans="1:24">
      <c r="A25" s="64"/>
      <c r="B25" s="64"/>
      <c r="C25" s="64"/>
      <c r="D25" s="64"/>
      <c r="E25" s="64"/>
      <c r="F25" s="64"/>
      <c r="G25" s="64"/>
    </row>
    <row r="27" spans="1:24" ht="27" customHeight="1">
      <c r="A27" s="116" t="s">
        <v>17</v>
      </c>
      <c r="B27" s="116"/>
      <c r="C27" s="116"/>
      <c r="D27" s="116"/>
      <c r="E27" s="116"/>
      <c r="F27" s="116"/>
      <c r="G27" s="116"/>
      <c r="H27" s="116"/>
    </row>
    <row r="28" spans="1:24">
      <c r="A28" s="20" t="s">
        <v>18</v>
      </c>
      <c r="B28" s="5">
        <v>5</v>
      </c>
      <c r="C28" s="21" t="s">
        <v>22</v>
      </c>
      <c r="D28" s="5">
        <v>0.02</v>
      </c>
      <c r="E28" s="36"/>
      <c r="F28" s="119"/>
      <c r="G28" s="119"/>
      <c r="H28" s="119"/>
      <c r="I28" s="122"/>
    </row>
    <row r="29" spans="1:24">
      <c r="A29" s="14" t="s">
        <v>19</v>
      </c>
      <c r="B29" s="15">
        <v>2</v>
      </c>
      <c r="C29" s="16" t="s">
        <v>23</v>
      </c>
      <c r="D29" s="15">
        <v>0.02</v>
      </c>
      <c r="E29" s="15"/>
      <c r="F29" s="92" t="s">
        <v>26</v>
      </c>
      <c r="G29" s="4">
        <f>(((B28+B29)*2*B30*(B31+D28+D29))/(D30-D31))^0.5</f>
        <v>10.993598137097791</v>
      </c>
      <c r="H29" s="4">
        <f>G29*3.6</f>
        <v>39.576953293552052</v>
      </c>
      <c r="I29" s="78">
        <v>40</v>
      </c>
    </row>
    <row r="30" spans="1:24" ht="16.5" customHeight="1">
      <c r="A30" s="14" t="s">
        <v>20</v>
      </c>
      <c r="B30" s="15">
        <v>9.81</v>
      </c>
      <c r="C30" s="17" t="s">
        <v>24</v>
      </c>
      <c r="D30" s="15">
        <v>1.5</v>
      </c>
      <c r="E30" s="37"/>
      <c r="F30" s="91" t="s">
        <v>121</v>
      </c>
      <c r="G30" s="87">
        <v>32</v>
      </c>
    </row>
    <row r="31" spans="1:24" ht="21">
      <c r="A31" s="14" t="s">
        <v>21</v>
      </c>
      <c r="B31" s="15">
        <v>0.4</v>
      </c>
      <c r="C31" s="17" t="s">
        <v>25</v>
      </c>
      <c r="D31" s="15">
        <v>1</v>
      </c>
      <c r="E31" s="15"/>
      <c r="F31" s="32" t="s">
        <v>28</v>
      </c>
      <c r="G31" s="31">
        <f>G30/3.6</f>
        <v>8.8888888888888893</v>
      </c>
      <c r="H31" s="32" t="s">
        <v>27</v>
      </c>
      <c r="I31" s="10">
        <f>G31^2/((9.81*(0.3+0.02)))</f>
        <v>25.169580045556941</v>
      </c>
      <c r="J31" s="78">
        <v>26</v>
      </c>
    </row>
    <row r="33" spans="1:13">
      <c r="A33" s="112" t="s">
        <v>30</v>
      </c>
      <c r="B33" s="112"/>
      <c r="C33" s="112"/>
      <c r="D33" s="112"/>
      <c r="E33" s="112"/>
      <c r="F33" s="112"/>
    </row>
    <row r="35" spans="1:13">
      <c r="A35" s="32" t="s">
        <v>31</v>
      </c>
      <c r="B35" s="31">
        <v>25</v>
      </c>
      <c r="C35" s="4"/>
      <c r="D35" s="3" t="s">
        <v>33</v>
      </c>
      <c r="E35" s="3">
        <f>(3600*B35)/((B28+B29+B35*1)+(D30-D31)*B35^2/(2*B30*(B31+D28+D29)))</f>
        <v>1319.6645908549237</v>
      </c>
      <c r="F35" s="23">
        <v>1320</v>
      </c>
    </row>
    <row r="36" spans="1:13">
      <c r="A36" s="32" t="s">
        <v>32</v>
      </c>
      <c r="B36" s="31">
        <v>22.22</v>
      </c>
      <c r="C36" s="4"/>
      <c r="D36" s="3" t="s">
        <v>34</v>
      </c>
      <c r="E36" s="3">
        <f>(3600*B36)/((B28+B29+B36*1)+(D30-D31)*B36^2/(2*B30*(B31+D28+D29)))</f>
        <v>1383.5598386884349</v>
      </c>
      <c r="F36" s="23">
        <v>1384</v>
      </c>
    </row>
    <row r="37" spans="1:13">
      <c r="A37" s="121" t="s">
        <v>61</v>
      </c>
      <c r="B37" s="121"/>
      <c r="C37" s="121"/>
      <c r="D37" s="121"/>
      <c r="E37" s="121"/>
      <c r="F37" s="121"/>
    </row>
    <row r="38" spans="1:13">
      <c r="A38" s="88"/>
      <c r="B38" s="88"/>
      <c r="C38" s="88"/>
      <c r="D38" s="88"/>
      <c r="E38" s="88"/>
      <c r="F38" s="86" t="s">
        <v>122</v>
      </c>
      <c r="G38" s="86" t="s">
        <v>123</v>
      </c>
      <c r="H38" s="86" t="s">
        <v>124</v>
      </c>
      <c r="I38" s="86" t="s">
        <v>125</v>
      </c>
      <c r="J38" s="86" t="s">
        <v>126</v>
      </c>
    </row>
    <row r="39" spans="1:13">
      <c r="A39" s="88"/>
      <c r="B39" s="88"/>
      <c r="C39" s="88"/>
      <c r="D39" s="88"/>
      <c r="E39" s="88"/>
      <c r="F39" s="18">
        <v>500</v>
      </c>
      <c r="G39" s="18">
        <v>550</v>
      </c>
      <c r="H39" s="18">
        <v>600</v>
      </c>
      <c r="I39" s="18">
        <v>650</v>
      </c>
      <c r="J39" s="18">
        <v>700</v>
      </c>
    </row>
    <row r="40" spans="1:13">
      <c r="A40" s="86" t="s">
        <v>37</v>
      </c>
      <c r="B40" s="29">
        <v>650</v>
      </c>
      <c r="C40" s="4" t="s">
        <v>39</v>
      </c>
      <c r="D40" s="29">
        <v>3</v>
      </c>
      <c r="E40" s="65" t="s">
        <v>40</v>
      </c>
      <c r="F40" s="30">
        <v>30</v>
      </c>
      <c r="G40" s="4" t="s">
        <v>43</v>
      </c>
      <c r="H40" s="4">
        <v>1.2</v>
      </c>
      <c r="I40" s="74" t="s">
        <v>113</v>
      </c>
      <c r="J40" s="77">
        <v>30</v>
      </c>
      <c r="L40" s="74" t="s">
        <v>115</v>
      </c>
      <c r="M40" s="67">
        <f>F40+J40+2*D40</f>
        <v>66</v>
      </c>
    </row>
    <row r="41" spans="1:13">
      <c r="A41" s="86" t="s">
        <v>38</v>
      </c>
      <c r="B41" s="29">
        <f>H39</f>
        <v>600</v>
      </c>
      <c r="C41" s="4" t="s">
        <v>41</v>
      </c>
      <c r="D41" s="29">
        <v>3</v>
      </c>
      <c r="E41" s="65" t="s">
        <v>42</v>
      </c>
      <c r="F41" s="30">
        <v>30</v>
      </c>
      <c r="G41" s="10" t="s">
        <v>44</v>
      </c>
      <c r="H41" s="4">
        <v>1.5</v>
      </c>
      <c r="I41" s="74" t="s">
        <v>114</v>
      </c>
      <c r="J41" s="77">
        <f>F40</f>
        <v>30</v>
      </c>
    </row>
    <row r="42" spans="1:13">
      <c r="A42" s="93" t="s">
        <v>35</v>
      </c>
      <c r="B42" s="10">
        <f>B40/((B40+B35^2/(2*H40)+B35^2/(2*H41)+(B35*(F40+2*D40))/2))</f>
        <v>0.41434262948207173</v>
      </c>
      <c r="C42" s="26" t="s">
        <v>116</v>
      </c>
      <c r="D42" s="102">
        <f>MAX(F4,B7)*E42</f>
        <v>46625.874242424245</v>
      </c>
      <c r="E42" s="103">
        <f>(F40+2*D40)/(2*3600*M40)*((F40+2*D40)+0.56*22.22)*(365/0.078)</f>
        <v>17.173434343434344</v>
      </c>
      <c r="F42" s="103" t="s">
        <v>117</v>
      </c>
      <c r="G42" s="102">
        <f>MAX(F6,D7)*H42</f>
        <v>45166.132323232327</v>
      </c>
      <c r="H42" s="103">
        <f>(F40+2*D40)/(2*3600*M40)*((F40+2*D40)+0.56*22.22)*(365/0.078)</f>
        <v>17.173434343434344</v>
      </c>
      <c r="I42" s="104" t="s">
        <v>118</v>
      </c>
      <c r="J42" s="102">
        <f>D42+D43+G42+G43</f>
        <v>109566.51111111112</v>
      </c>
    </row>
    <row r="43" spans="1:13">
      <c r="A43" s="94" t="s">
        <v>36</v>
      </c>
      <c r="B43" s="10">
        <f>B41/((B41+B36^2/(2*H41)+B36^2/(2*H40)+(B36*(F41+2*D41))/2))</f>
        <v>0.43787428673015405</v>
      </c>
      <c r="C43" s="26" t="s">
        <v>119</v>
      </c>
      <c r="D43" s="102">
        <f>MAX(F5,C7)*E43</f>
        <v>17774.504545454547</v>
      </c>
      <c r="E43" s="103">
        <f>(F41+2*D41)/(2*3600*M40)*((F41+2*D41)+0.56*22.22)*(365/0.078)</f>
        <v>17.173434343434344</v>
      </c>
      <c r="F43" s="103"/>
      <c r="G43" s="102"/>
      <c r="H43" s="103"/>
      <c r="I43" s="104" t="s">
        <v>120</v>
      </c>
      <c r="J43" s="102">
        <f>J42*40</f>
        <v>4382660.444444445</v>
      </c>
    </row>
    <row r="44" spans="1:13">
      <c r="A44" s="120" t="s">
        <v>60</v>
      </c>
      <c r="B44" s="120"/>
      <c r="C44" s="120"/>
      <c r="D44" s="120"/>
      <c r="E44" s="35"/>
    </row>
    <row r="45" spans="1:13">
      <c r="A45" s="95" t="s">
        <v>109</v>
      </c>
      <c r="B45" s="25">
        <f>F35*B42</f>
        <v>546.93227091633469</v>
      </c>
      <c r="C45" s="24">
        <v>581</v>
      </c>
      <c r="E45" s="74" t="s">
        <v>45</v>
      </c>
      <c r="F45" s="74">
        <f>3600*(J40-0.5*8.89/H40)/(2.8*M40)</f>
        <v>512.2564935064936</v>
      </c>
      <c r="G45" s="67">
        <v>567</v>
      </c>
      <c r="L45" s="1">
        <f>B42*F35</f>
        <v>546.93227091633469</v>
      </c>
    </row>
    <row r="46" spans="1:13">
      <c r="A46" s="95" t="s">
        <v>110</v>
      </c>
      <c r="B46" s="25">
        <f>F36*B43</f>
        <v>606.01801283453324</v>
      </c>
      <c r="C46" s="24">
        <v>609</v>
      </c>
      <c r="G46" s="105">
        <v>477</v>
      </c>
    </row>
    <row r="47" spans="1:13">
      <c r="C47" s="119" t="s">
        <v>59</v>
      </c>
      <c r="D47" s="119"/>
      <c r="E47" s="37"/>
      <c r="G47" s="117" t="s">
        <v>54</v>
      </c>
      <c r="H47" s="117"/>
      <c r="I47" s="117"/>
    </row>
    <row r="48" spans="1:13">
      <c r="A48" s="32" t="s">
        <v>46</v>
      </c>
      <c r="B48" s="59">
        <f>MAX(B7,F4,F6,D7)</f>
        <v>2715</v>
      </c>
      <c r="C48" s="19" t="s">
        <v>50</v>
      </c>
      <c r="D48" s="15">
        <f>B48/C45</f>
        <v>4.6729776247848536</v>
      </c>
      <c r="E48" s="67">
        <v>4</v>
      </c>
      <c r="G48" s="3">
        <v>2</v>
      </c>
      <c r="H48" s="3">
        <v>3</v>
      </c>
      <c r="I48" s="3">
        <v>4</v>
      </c>
    </row>
    <row r="49" spans="1:9">
      <c r="A49" s="32" t="s">
        <v>47</v>
      </c>
      <c r="B49" s="59">
        <f>MAX(C7,F5,)</f>
        <v>1035</v>
      </c>
      <c r="C49" s="19" t="s">
        <v>51</v>
      </c>
      <c r="D49" s="15">
        <f>B49/C46</f>
        <v>1.6995073891625616</v>
      </c>
      <c r="E49" s="67">
        <v>2</v>
      </c>
      <c r="G49" s="15">
        <v>1.9</v>
      </c>
      <c r="H49" s="15">
        <v>2.7</v>
      </c>
      <c r="I49" s="15">
        <v>3.5</v>
      </c>
    </row>
    <row r="50" spans="1:9" ht="18" customHeight="1">
      <c r="A50" s="118" t="s">
        <v>58</v>
      </c>
      <c r="B50" s="118"/>
      <c r="C50" s="118"/>
      <c r="D50" s="118"/>
      <c r="E50" s="62"/>
    </row>
    <row r="51" spans="1:9">
      <c r="A51" s="92" t="s">
        <v>52</v>
      </c>
      <c r="B51" s="57">
        <f>C45*I49</f>
        <v>2033.5</v>
      </c>
      <c r="C51" s="24">
        <v>2034</v>
      </c>
    </row>
    <row r="52" spans="1:9">
      <c r="A52" s="92" t="s">
        <v>53</v>
      </c>
      <c r="B52" s="58">
        <f>C46*G49</f>
        <v>1157.0999999999999</v>
      </c>
      <c r="C52" s="24">
        <v>1158</v>
      </c>
    </row>
    <row r="53" spans="1:9" ht="15" customHeight="1">
      <c r="A53" s="12"/>
      <c r="B53" s="68"/>
      <c r="C53" s="68"/>
      <c r="D53" s="115" t="s">
        <v>111</v>
      </c>
      <c r="E53" s="115"/>
      <c r="F53" s="115"/>
      <c r="G53" s="115"/>
      <c r="H53" s="115"/>
      <c r="I53" s="115"/>
    </row>
    <row r="54" spans="1:9" ht="28.5">
      <c r="A54" s="96" t="s">
        <v>55</v>
      </c>
      <c r="B54" s="66">
        <f>MAX(B7,D7)+MAX(F4,F6)</f>
        <v>5345</v>
      </c>
      <c r="D54" s="66">
        <f>C51</f>
        <v>2034</v>
      </c>
      <c r="E54" s="66" t="s">
        <v>56</v>
      </c>
      <c r="F54" s="66">
        <f>B48</f>
        <v>2715</v>
      </c>
      <c r="G54" s="114" t="s">
        <v>57</v>
      </c>
      <c r="H54" s="114"/>
      <c r="I54" s="114"/>
    </row>
    <row r="55" spans="1:9" ht="30" customHeight="1">
      <c r="A55" s="97" t="s">
        <v>127</v>
      </c>
      <c r="B55" s="63">
        <f>MAX(C7,)+MAX(F5,)</f>
        <v>2060</v>
      </c>
      <c r="D55" s="63">
        <f>C52</f>
        <v>1158</v>
      </c>
      <c r="E55" s="63" t="s">
        <v>56</v>
      </c>
      <c r="F55" s="63">
        <f>B49</f>
        <v>1035</v>
      </c>
      <c r="G55" s="113" t="s">
        <v>57</v>
      </c>
      <c r="H55" s="113"/>
      <c r="I55" s="113"/>
    </row>
    <row r="56" spans="1:9">
      <c r="A56" s="109" t="s">
        <v>62</v>
      </c>
      <c r="B56" s="109"/>
      <c r="C56" s="109"/>
      <c r="D56" s="109"/>
      <c r="E56" s="109"/>
      <c r="F56" s="109"/>
    </row>
    <row r="57" spans="1:9">
      <c r="B57" s="4" t="s">
        <v>96</v>
      </c>
      <c r="C57" s="29">
        <v>2</v>
      </c>
      <c r="D57" s="4" t="s">
        <v>97</v>
      </c>
      <c r="E57" s="69">
        <v>0.5</v>
      </c>
    </row>
    <row r="58" spans="1:9">
      <c r="B58" s="4" t="s">
        <v>128</v>
      </c>
      <c r="C58" s="29">
        <v>2</v>
      </c>
      <c r="D58" s="4" t="s">
        <v>98</v>
      </c>
      <c r="E58" s="69">
        <v>0.3</v>
      </c>
    </row>
    <row r="59" spans="1:9">
      <c r="A59" s="32" t="s">
        <v>63</v>
      </c>
      <c r="B59" s="60">
        <f>2*E48*3.75+C57+2*E57</f>
        <v>33</v>
      </c>
    </row>
    <row r="60" spans="1:9">
      <c r="A60" s="32" t="s">
        <v>64</v>
      </c>
      <c r="B60" s="70">
        <f>2*E49*3.75+C58+2*E58</f>
        <v>17.600000000000001</v>
      </c>
    </row>
    <row r="61" spans="1:9" ht="16.5" customHeight="1">
      <c r="A61" s="116" t="s">
        <v>65</v>
      </c>
      <c r="B61" s="116"/>
      <c r="C61" s="116"/>
      <c r="D61" s="116"/>
      <c r="E61" s="116"/>
      <c r="F61" s="116"/>
      <c r="G61" s="116"/>
    </row>
    <row r="62" spans="1:9">
      <c r="A62" s="110" t="s">
        <v>66</v>
      </c>
      <c r="B62" s="110"/>
      <c r="C62" s="111" t="s">
        <v>67</v>
      </c>
      <c r="D62" s="111"/>
      <c r="E62" s="111"/>
      <c r="F62" s="111"/>
      <c r="G62" s="111" t="s">
        <v>68</v>
      </c>
    </row>
    <row r="63" spans="1:9">
      <c r="A63" s="110"/>
      <c r="B63" s="110"/>
      <c r="C63" s="4">
        <v>1</v>
      </c>
      <c r="D63" s="4">
        <v>2</v>
      </c>
      <c r="E63" s="4">
        <v>3</v>
      </c>
      <c r="F63" s="4"/>
      <c r="G63" s="111"/>
    </row>
    <row r="64" spans="1:9">
      <c r="A64" s="132" t="s">
        <v>69</v>
      </c>
      <c r="B64" s="28">
        <v>1</v>
      </c>
      <c r="C64" s="79" t="s">
        <v>70</v>
      </c>
      <c r="D64" s="79">
        <v>1250</v>
      </c>
      <c r="E64" s="79">
        <v>755</v>
      </c>
      <c r="F64" s="79"/>
      <c r="G64" s="83">
        <f>SUM(C64:F64)</f>
        <v>2005</v>
      </c>
    </row>
    <row r="65" spans="1:12">
      <c r="A65" s="132"/>
      <c r="B65" s="28">
        <v>2</v>
      </c>
      <c r="C65" s="79">
        <v>1200</v>
      </c>
      <c r="D65" s="79" t="s">
        <v>70</v>
      </c>
      <c r="E65" s="79">
        <v>150</v>
      </c>
      <c r="F65" s="79"/>
      <c r="G65" s="83">
        <f>SUM(C65:F65)</f>
        <v>1350</v>
      </c>
    </row>
    <row r="66" spans="1:12">
      <c r="A66" s="132"/>
      <c r="B66" s="28">
        <v>3</v>
      </c>
      <c r="C66" s="79">
        <v>350</v>
      </c>
      <c r="D66" s="79">
        <v>100</v>
      </c>
      <c r="E66" s="79" t="s">
        <v>70</v>
      </c>
      <c r="F66" s="79"/>
      <c r="G66" s="83">
        <f>SUM(C66:F66)</f>
        <v>450</v>
      </c>
    </row>
    <row r="67" spans="1:12">
      <c r="A67" s="132"/>
      <c r="B67" s="28"/>
      <c r="C67" s="79"/>
      <c r="D67" s="79"/>
      <c r="E67" s="79"/>
      <c r="F67" s="79"/>
      <c r="G67" s="83"/>
    </row>
    <row r="68" spans="1:12">
      <c r="A68" s="111" t="s">
        <v>48</v>
      </c>
      <c r="B68" s="111"/>
      <c r="C68" s="79">
        <f>SUM(C64:C67)</f>
        <v>1550</v>
      </c>
      <c r="D68" s="79">
        <f>SUM(D64:D67)</f>
        <v>1350</v>
      </c>
      <c r="E68" s="79">
        <f>SUM(E64:E66)</f>
        <v>905</v>
      </c>
      <c r="F68" s="79"/>
      <c r="G68" s="84">
        <f>SUM(C68:F68)</f>
        <v>3805</v>
      </c>
    </row>
    <row r="69" spans="1:12">
      <c r="A69" s="149" t="s">
        <v>72</v>
      </c>
      <c r="B69" s="149"/>
      <c r="C69" s="149"/>
      <c r="D69" s="149"/>
      <c r="E69" s="71" t="s">
        <v>71</v>
      </c>
    </row>
    <row r="70" spans="1:12">
      <c r="A70" s="32" t="s">
        <v>50</v>
      </c>
      <c r="B70" s="11">
        <f>SUM(C68,G64)</f>
        <v>3555</v>
      </c>
      <c r="C70" s="11">
        <f>SUM(G66,E68)</f>
        <v>1355</v>
      </c>
      <c r="D70" s="61">
        <f>MAX(B70:C70)</f>
        <v>3555</v>
      </c>
      <c r="E70" s="77">
        <v>1000</v>
      </c>
      <c r="F70" s="15">
        <f>D70/E70</f>
        <v>3.5550000000000002</v>
      </c>
      <c r="G70" s="108">
        <v>4</v>
      </c>
    </row>
    <row r="71" spans="1:12">
      <c r="A71" s="32" t="s">
        <v>51</v>
      </c>
      <c r="B71" s="11">
        <f>SUM(G65,D68)</f>
        <v>2700</v>
      </c>
      <c r="C71" s="11" t="s">
        <v>70</v>
      </c>
      <c r="D71" s="61">
        <f>MAX(B71:C71)</f>
        <v>2700</v>
      </c>
      <c r="E71" s="77">
        <v>1000</v>
      </c>
      <c r="F71" s="15">
        <f>D71/E71</f>
        <v>2.7</v>
      </c>
      <c r="G71" s="33">
        <v>3</v>
      </c>
    </row>
    <row r="72" spans="1:12">
      <c r="A72" s="148" t="s">
        <v>73</v>
      </c>
      <c r="B72" s="148"/>
      <c r="C72" s="148"/>
      <c r="D72" s="148"/>
      <c r="E72" s="148"/>
    </row>
    <row r="73" spans="1:12">
      <c r="A73" s="2" t="s">
        <v>74</v>
      </c>
      <c r="B73" s="2">
        <f>G70*0.75</f>
        <v>3</v>
      </c>
      <c r="C73" s="147" t="s">
        <v>76</v>
      </c>
      <c r="D73" s="147"/>
      <c r="E73" s="78">
        <v>3</v>
      </c>
    </row>
    <row r="74" spans="1:12">
      <c r="A74" s="2" t="s">
        <v>75</v>
      </c>
      <c r="B74" s="2">
        <f>G71*0.75</f>
        <v>2.25</v>
      </c>
      <c r="C74" s="147" t="s">
        <v>76</v>
      </c>
      <c r="D74" s="147"/>
      <c r="E74" s="78">
        <v>3</v>
      </c>
    </row>
    <row r="75" spans="1:12">
      <c r="A75" s="131" t="s">
        <v>77</v>
      </c>
      <c r="B75" s="131"/>
      <c r="C75" s="131"/>
      <c r="D75" s="131"/>
      <c r="E75" s="131"/>
      <c r="F75" s="131"/>
      <c r="G75" s="131"/>
      <c r="H75" s="27"/>
    </row>
    <row r="76" spans="1:12">
      <c r="A76" s="2" t="s">
        <v>78</v>
      </c>
      <c r="B76" s="13">
        <f>E70*E73/0.75</f>
        <v>4000</v>
      </c>
    </row>
    <row r="77" spans="1:12">
      <c r="A77" s="2" t="s">
        <v>79</v>
      </c>
      <c r="B77" s="76">
        <f>E71*E74/0.75</f>
        <v>4000</v>
      </c>
    </row>
    <row r="78" spans="1:12" ht="15.75" thickBot="1">
      <c r="A78" s="131" t="s">
        <v>112</v>
      </c>
      <c r="B78" s="131"/>
      <c r="C78" s="131"/>
      <c r="D78" s="131"/>
      <c r="E78" s="131"/>
      <c r="F78" s="131"/>
      <c r="G78" s="131"/>
    </row>
    <row r="79" spans="1:12" ht="25.5" customHeight="1">
      <c r="A79" s="32" t="s">
        <v>28</v>
      </c>
      <c r="B79" s="31">
        <f>G31</f>
        <v>8.8888888888888893</v>
      </c>
      <c r="D79" s="39" t="s">
        <v>83</v>
      </c>
      <c r="E79" s="41"/>
      <c r="F79" s="40" t="s">
        <v>86</v>
      </c>
      <c r="G79" s="40" t="s">
        <v>88</v>
      </c>
      <c r="H79" s="135" t="s">
        <v>90</v>
      </c>
      <c r="I79" s="136"/>
      <c r="J79" s="136"/>
      <c r="K79" s="136"/>
      <c r="L79" s="137"/>
    </row>
    <row r="80" spans="1:12" ht="26.25" thickBot="1">
      <c r="A80" s="32" t="s">
        <v>80</v>
      </c>
      <c r="B80" s="50">
        <f>B79*4</f>
        <v>35.555555555555557</v>
      </c>
      <c r="C80" s="78">
        <v>37</v>
      </c>
      <c r="D80" s="42" t="s">
        <v>84</v>
      </c>
      <c r="E80" s="42"/>
      <c r="F80" s="42" t="s">
        <v>87</v>
      </c>
      <c r="G80" s="42" t="s">
        <v>89</v>
      </c>
      <c r="H80" s="138"/>
      <c r="I80" s="139"/>
      <c r="J80" s="139"/>
      <c r="K80" s="139"/>
      <c r="L80" s="140"/>
    </row>
    <row r="81" spans="1:16" ht="15.75" thickBot="1">
      <c r="A81" s="4" t="s">
        <v>81</v>
      </c>
      <c r="B81" s="75">
        <f>B59-3.75</f>
        <v>29.25</v>
      </c>
      <c r="D81" s="43" t="s">
        <v>85</v>
      </c>
      <c r="E81" s="46"/>
      <c r="F81" s="44"/>
      <c r="G81" s="45"/>
      <c r="H81" s="46">
        <v>20</v>
      </c>
      <c r="I81" s="47">
        <v>30</v>
      </c>
      <c r="J81" s="47">
        <v>40</v>
      </c>
      <c r="K81" s="47">
        <v>50</v>
      </c>
      <c r="L81" s="47">
        <v>60</v>
      </c>
    </row>
    <row r="82" spans="1:16" ht="15.75" thickBot="1">
      <c r="A82" s="4" t="s">
        <v>82</v>
      </c>
      <c r="B82" s="75">
        <f>B60-3.75</f>
        <v>13.850000000000001</v>
      </c>
      <c r="D82" s="48">
        <v>25</v>
      </c>
      <c r="E82" s="49"/>
      <c r="F82" s="49">
        <v>8.5</v>
      </c>
      <c r="G82" s="49">
        <v>25</v>
      </c>
      <c r="H82" s="49">
        <v>600</v>
      </c>
      <c r="I82" s="49" t="s">
        <v>70</v>
      </c>
      <c r="J82" s="49" t="s">
        <v>70</v>
      </c>
      <c r="K82" s="49" t="s">
        <v>70</v>
      </c>
      <c r="L82" s="49" t="s">
        <v>70</v>
      </c>
    </row>
    <row r="83" spans="1:16" ht="15.75" thickBot="1">
      <c r="A83" s="32" t="s">
        <v>102</v>
      </c>
      <c r="B83" s="25">
        <f>((C80+B81)*2+(C80+B82)*2)/(2*3.14)</f>
        <v>37.292993630573243</v>
      </c>
      <c r="C83" s="78">
        <v>38</v>
      </c>
      <c r="D83" s="49">
        <v>30</v>
      </c>
      <c r="E83" s="49"/>
      <c r="F83" s="49">
        <v>10</v>
      </c>
      <c r="G83" s="49">
        <v>35</v>
      </c>
      <c r="H83" s="49">
        <v>800</v>
      </c>
      <c r="I83" s="49" t="s">
        <v>70</v>
      </c>
      <c r="J83" s="49" t="s">
        <v>70</v>
      </c>
      <c r="K83" s="49" t="s">
        <v>70</v>
      </c>
      <c r="L83" s="49" t="s">
        <v>70</v>
      </c>
    </row>
    <row r="84" spans="1:16" ht="15.75" thickBot="1">
      <c r="B84" s="22"/>
      <c r="D84" s="48">
        <v>40</v>
      </c>
      <c r="E84" s="49"/>
      <c r="F84" s="49">
        <v>11.5</v>
      </c>
      <c r="G84" s="49">
        <v>45</v>
      </c>
      <c r="H84" s="49">
        <v>1000</v>
      </c>
      <c r="I84" s="49">
        <v>1200</v>
      </c>
      <c r="J84" s="49" t="s">
        <v>70</v>
      </c>
      <c r="K84" s="49" t="s">
        <v>70</v>
      </c>
      <c r="L84" s="49" t="s">
        <v>70</v>
      </c>
    </row>
    <row r="85" spans="1:16" ht="15.75" thickBot="1">
      <c r="A85" s="133" t="s">
        <v>103</v>
      </c>
      <c r="B85" s="133"/>
      <c r="C85" s="134"/>
      <c r="D85" s="48">
        <v>50</v>
      </c>
      <c r="E85" s="49"/>
      <c r="F85" s="49">
        <v>13</v>
      </c>
      <c r="G85" s="49">
        <v>60</v>
      </c>
      <c r="H85" s="49">
        <v>1200</v>
      </c>
      <c r="I85" s="49">
        <v>1400</v>
      </c>
      <c r="J85" s="49">
        <v>1600</v>
      </c>
      <c r="K85" s="49" t="s">
        <v>70</v>
      </c>
      <c r="L85" s="49" t="s">
        <v>70</v>
      </c>
    </row>
    <row r="86" spans="1:16" ht="15.75" thickBot="1">
      <c r="A86" s="32" t="s">
        <v>104</v>
      </c>
      <c r="B86" s="80">
        <f>(MAX(C19,E19,G19,I19))/1000+1</f>
        <v>4.4700000000000006</v>
      </c>
      <c r="C86" s="78">
        <v>4</v>
      </c>
      <c r="D86" s="49">
        <v>60</v>
      </c>
      <c r="E86" s="49"/>
      <c r="F86" s="49">
        <v>14.5</v>
      </c>
      <c r="G86" s="49">
        <v>70</v>
      </c>
      <c r="H86" s="49">
        <v>1400</v>
      </c>
      <c r="I86" s="49">
        <v>1600</v>
      </c>
      <c r="J86" s="49">
        <v>1800</v>
      </c>
      <c r="K86" s="49" t="s">
        <v>70</v>
      </c>
      <c r="L86" s="49" t="s">
        <v>70</v>
      </c>
    </row>
    <row r="87" spans="1:16" ht="15.75" thickBot="1">
      <c r="D87" s="48">
        <v>70</v>
      </c>
      <c r="E87" s="49"/>
      <c r="F87" s="49">
        <v>15.5</v>
      </c>
      <c r="G87" s="49">
        <v>80</v>
      </c>
      <c r="H87" s="49">
        <v>1200</v>
      </c>
      <c r="I87" s="49">
        <v>1400</v>
      </c>
      <c r="J87" s="49">
        <v>1600</v>
      </c>
      <c r="K87" s="49">
        <v>1400</v>
      </c>
      <c r="L87" s="49">
        <v>1200</v>
      </c>
    </row>
    <row r="88" spans="1:16" ht="15.75" thickBot="1">
      <c r="A88" s="56" t="s">
        <v>105</v>
      </c>
      <c r="D88" s="48">
        <v>80</v>
      </c>
      <c r="E88" s="49"/>
      <c r="F88" s="49">
        <v>16</v>
      </c>
      <c r="G88" s="49">
        <v>90</v>
      </c>
      <c r="H88" s="49">
        <v>1000</v>
      </c>
      <c r="I88" s="49">
        <v>1200</v>
      </c>
      <c r="J88" s="49">
        <v>1400</v>
      </c>
      <c r="K88" s="49">
        <v>1200</v>
      </c>
      <c r="L88" s="49">
        <v>1000</v>
      </c>
    </row>
    <row r="89" spans="1:16" ht="31.5" customHeight="1">
      <c r="A89" s="32" t="s">
        <v>106</v>
      </c>
      <c r="B89" s="78">
        <f>C86*4</f>
        <v>16</v>
      </c>
      <c r="D89" s="141" t="s">
        <v>92</v>
      </c>
      <c r="E89" s="142"/>
      <c r="F89" s="142"/>
      <c r="G89" s="142"/>
      <c r="H89" s="142"/>
      <c r="I89" s="142"/>
      <c r="J89" s="142"/>
      <c r="K89" s="142"/>
      <c r="L89" s="143"/>
    </row>
    <row r="90" spans="1:16" ht="15.75" customHeight="1" thickBot="1">
      <c r="D90" s="144" t="s">
        <v>91</v>
      </c>
      <c r="E90" s="145"/>
      <c r="F90" s="145"/>
      <c r="G90" s="145"/>
      <c r="H90" s="145"/>
      <c r="I90" s="145"/>
      <c r="J90" s="145"/>
      <c r="K90" s="145"/>
      <c r="L90" s="146"/>
    </row>
    <row r="91" spans="1:16">
      <c r="A91" s="56" t="s">
        <v>107</v>
      </c>
    </row>
    <row r="92" spans="1:16" ht="18.75">
      <c r="A92" s="73" t="s">
        <v>108</v>
      </c>
      <c r="B92" s="98">
        <f>G31^2/(9.81*0.32)</f>
        <v>25.169580045556941</v>
      </c>
      <c r="C92" s="78">
        <v>26</v>
      </c>
      <c r="D92" s="51"/>
      <c r="E92" s="51"/>
      <c r="H92" s="54" t="s">
        <v>93</v>
      </c>
    </row>
    <row r="93" spans="1:16">
      <c r="D93" s="55" t="s">
        <v>94</v>
      </c>
      <c r="E93" s="55"/>
      <c r="F93" s="38"/>
      <c r="J93" s="55" t="s">
        <v>95</v>
      </c>
    </row>
    <row r="94" spans="1:16" ht="15" customHeight="1">
      <c r="A94" s="106" t="s">
        <v>129</v>
      </c>
      <c r="B94" s="107">
        <f>B89+C83</f>
        <v>54</v>
      </c>
      <c r="D94" s="52"/>
      <c r="E94" s="52"/>
      <c r="N94" s="129" t="s">
        <v>99</v>
      </c>
      <c r="O94" s="129"/>
      <c r="P94" s="129"/>
    </row>
    <row r="95" spans="1:16" ht="21" customHeight="1">
      <c r="D95" s="53"/>
      <c r="E95" s="53"/>
      <c r="N95" s="129" t="s">
        <v>101</v>
      </c>
      <c r="O95" s="129"/>
      <c r="P95" s="129"/>
    </row>
    <row r="96" spans="1:16">
      <c r="N96" s="117" t="s">
        <v>100</v>
      </c>
      <c r="O96" s="117"/>
      <c r="P96" s="117"/>
    </row>
  </sheetData>
  <mergeCells count="39">
    <mergeCell ref="A78:G78"/>
    <mergeCell ref="A64:A67"/>
    <mergeCell ref="A68:B68"/>
    <mergeCell ref="N96:P96"/>
    <mergeCell ref="N94:P94"/>
    <mergeCell ref="A85:C85"/>
    <mergeCell ref="H79:L80"/>
    <mergeCell ref="D89:L89"/>
    <mergeCell ref="D90:L90"/>
    <mergeCell ref="N95:P95"/>
    <mergeCell ref="C73:D73"/>
    <mergeCell ref="C74:D74"/>
    <mergeCell ref="A75:G75"/>
    <mergeCell ref="A72:E72"/>
    <mergeCell ref="A69:D69"/>
    <mergeCell ref="A1:H1"/>
    <mergeCell ref="A27:H27"/>
    <mergeCell ref="F28:I28"/>
    <mergeCell ref="H11:I11"/>
    <mergeCell ref="A11:A12"/>
    <mergeCell ref="A2:D2"/>
    <mergeCell ref="B11:C11"/>
    <mergeCell ref="D11:E11"/>
    <mergeCell ref="F11:G11"/>
    <mergeCell ref="A9:I10"/>
    <mergeCell ref="A56:F56"/>
    <mergeCell ref="A62:B63"/>
    <mergeCell ref="C62:F62"/>
    <mergeCell ref="A33:F33"/>
    <mergeCell ref="G55:I55"/>
    <mergeCell ref="G54:I54"/>
    <mergeCell ref="D53:I53"/>
    <mergeCell ref="G62:G63"/>
    <mergeCell ref="A61:G61"/>
    <mergeCell ref="G47:I47"/>
    <mergeCell ref="A50:D50"/>
    <mergeCell ref="C47:D47"/>
    <mergeCell ref="A44:D44"/>
    <mergeCell ref="A37:F37"/>
  </mergeCells>
  <pageMargins left="0.7" right="0.7" top="0.75" bottom="0.75" header="0.3" footer="0.3"/>
  <pageSetup paperSize="9" orientation="portrait" horizontalDpi="4294967293" verticalDpi="4294967293" r:id="rId1"/>
  <legacyDrawing r:id="rId2"/>
  <oleObjects>
    <oleObject progId="AutoCAD.Drawing.15" shapeId="1041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VTA25</dc:creator>
  <cp:lastModifiedBy>Роксолана</cp:lastModifiedBy>
  <dcterms:created xsi:type="dcterms:W3CDTF">2014-08-20T08:09:57Z</dcterms:created>
  <dcterms:modified xsi:type="dcterms:W3CDTF">2016-11-07T22:32:49Z</dcterms:modified>
</cp:coreProperties>
</file>