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-15" yWindow="0" windowWidth="22425" windowHeight="6015" tabRatio="880" activeTab="7"/>
  </bookViews>
  <sheets>
    <sheet name="Airflow" sheetId="12" r:id="rId1"/>
    <sheet name="Fan Laws" sheetId="10" r:id="rId2"/>
    <sheet name="Psychrometrics &amp; Charging" sheetId="11" r:id="rId3"/>
    <sheet name="Properties of Air" sheetId="9" r:id="rId4"/>
    <sheet name="Duct Traverse" sheetId="8" r:id="rId5"/>
    <sheet name="Conversions" sheetId="1" r:id="rId6"/>
    <sheet name="Pipe Bending" sheetId="13" r:id="rId7"/>
    <sheet name="Boiler" sheetId="18" r:id="rId8"/>
    <sheet name="Oil Line Calcs" sheetId="15" r:id="rId9"/>
    <sheet name="Pump Pressures" sheetId="14" r:id="rId10"/>
    <sheet name="Delta T Evap Chart" sheetId="6" r:id="rId11"/>
    <sheet name="SH Chart" sheetId="5" r:id="rId12"/>
    <sheet name="Enthalpy Chart" sheetId="3" r:id="rId13"/>
    <sheet name="Enthalpy Calcs" sheetId="4" r:id="rId14"/>
    <sheet name="Traverse Points" sheetId="7" r:id="rId15"/>
    <sheet name="Notes" sheetId="2" r:id="rId16"/>
    <sheet name="Formulae" sheetId="16" r:id="rId17"/>
    <sheet name="Key" sheetId="17" r:id="rId18"/>
  </sheets>
  <externalReferences>
    <externalReference r:id="rId19"/>
  </externalReferences>
  <definedNames>
    <definedName name="Above">Formulae!$B$15:$B$16</definedName>
    <definedName name="AboveBelow">[1]Formulae!$B$15:$B$16</definedName>
    <definedName name="BTU">Formulae!$B$23:$B$25</definedName>
    <definedName name="BTUCONTENT">[1]Formulae!$B$23:$B$25</definedName>
    <definedName name="FuelLineSizes">[1]Formulae!$B$10:$B$12</definedName>
    <definedName name="Line">Formulae!$B$10:$B$12</definedName>
    <definedName name="_xlnm.Print_Area" localSheetId="0">Airflow!$A$1:$K$34</definedName>
    <definedName name="_xlnm.Print_Area" localSheetId="5">Conversions!$A$1:$A$34</definedName>
    <definedName name="_xlnm.Print_Area" localSheetId="1">'Fan Laws'!$A$1:$I$34</definedName>
    <definedName name="_xlnm.Print_Area" localSheetId="2">'Psychrometrics &amp; Charging'!$A$1:$J$34</definedName>
    <definedName name="PumpList">Key!$C$6:$C$40</definedName>
    <definedName name="SingleTwo">[1]Formulae!$B$19:$B$20</definedName>
    <definedName name="Stage">Formulae!$B$19:$B$20</definedName>
  </definedNames>
  <calcPr calcId="125725"/>
</workbook>
</file>

<file path=xl/calcChain.xml><?xml version="1.0" encoding="utf-8"?>
<calcChain xmlns="http://schemas.openxmlformats.org/spreadsheetml/2006/main">
  <c r="F95" i="12"/>
  <c r="F78"/>
  <c r="B45"/>
  <c r="D37" i="1"/>
  <c r="B22" i="15"/>
  <c r="C22" s="1"/>
  <c r="B33"/>
  <c r="C33" s="1"/>
  <c r="B12"/>
  <c r="B13" s="1"/>
  <c r="B8"/>
  <c r="C5" i="18"/>
  <c r="G28"/>
  <c r="G30" s="1"/>
  <c r="G11"/>
  <c r="G12" s="1"/>
  <c r="E15" s="1"/>
  <c r="G6"/>
  <c r="G21" s="1"/>
  <c r="B18" i="15"/>
  <c r="E16"/>
  <c r="B27"/>
  <c r="D2" i="14"/>
  <c r="E25" i="15"/>
  <c r="E4"/>
  <c r="H29" i="1"/>
  <c r="B29" s="1"/>
  <c r="D96" i="11"/>
  <c r="D89"/>
  <c r="D93" s="1"/>
  <c r="C12" i="14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9" i="8"/>
  <c r="I7" i="14"/>
  <c r="J4" i="13"/>
  <c r="B5" s="1"/>
  <c r="E4"/>
  <c r="C20"/>
  <c r="E20" s="1"/>
  <c r="C19"/>
  <c r="E19" s="1"/>
  <c r="C18"/>
  <c r="E18" s="1"/>
  <c r="C17"/>
  <c r="E17" s="1"/>
  <c r="C16"/>
  <c r="E16" s="1"/>
  <c r="C15"/>
  <c r="E15" s="1"/>
  <c r="C14"/>
  <c r="E14" s="1"/>
  <c r="B13"/>
  <c r="C11"/>
  <c r="E11" s="1"/>
  <c r="C9"/>
  <c r="E9" s="1"/>
  <c r="E8"/>
  <c r="C8"/>
  <c r="E6"/>
  <c r="E4" i="1"/>
  <c r="B16"/>
  <c r="I6"/>
  <c r="B6"/>
  <c r="D89" i="12"/>
  <c r="D91" s="1"/>
  <c r="F96" s="1"/>
  <c r="D97" s="1"/>
  <c r="D64"/>
  <c r="D65" s="1"/>
  <c r="B68" s="1"/>
  <c r="D59"/>
  <c r="D73" s="1"/>
  <c r="B49"/>
  <c r="M7" i="8"/>
  <c r="E7"/>
  <c r="B41" i="12"/>
  <c r="F39"/>
  <c r="B36"/>
  <c r="H29"/>
  <c r="C30" s="1"/>
  <c r="B21"/>
  <c r="F23" s="1"/>
  <c r="B16"/>
  <c r="B13"/>
  <c r="B8"/>
  <c r="B4"/>
  <c r="B84" i="11"/>
  <c r="J83"/>
  <c r="D84" s="1"/>
  <c r="D78"/>
  <c r="H77"/>
  <c r="D77"/>
  <c r="B77"/>
  <c r="B69"/>
  <c r="B67"/>
  <c r="H69" s="1"/>
  <c r="D69" s="1"/>
  <c r="B60"/>
  <c r="H60" s="1"/>
  <c r="D61" s="1"/>
  <c r="B57"/>
  <c r="F52"/>
  <c r="G51"/>
  <c r="F46"/>
  <c r="F47" s="1"/>
  <c r="F44"/>
  <c r="B38"/>
  <c r="H23"/>
  <c r="H26" s="1"/>
  <c r="H16"/>
  <c r="H15"/>
  <c r="H10"/>
  <c r="B10"/>
  <c r="F3"/>
  <c r="H5" s="1"/>
  <c r="B5" s="1"/>
  <c r="B50" i="10"/>
  <c r="B47"/>
  <c r="B42"/>
  <c r="B39"/>
  <c r="B32"/>
  <c r="B34" s="1"/>
  <c r="B29"/>
  <c r="B24"/>
  <c r="B17"/>
  <c r="B10"/>
  <c r="B7"/>
  <c r="E31" i="9"/>
  <c r="E10"/>
  <c r="E6"/>
  <c r="E25"/>
  <c r="F6"/>
  <c r="E20" s="1"/>
  <c r="D9"/>
  <c r="I8"/>
  <c r="I9"/>
  <c r="I14"/>
  <c r="I16"/>
  <c r="D16"/>
  <c r="J15"/>
  <c r="E15"/>
  <c r="D14"/>
  <c r="E12"/>
  <c r="B29" i="12" l="1"/>
  <c r="D66"/>
  <c r="F29" i="15"/>
  <c r="G29"/>
  <c r="G13" i="18"/>
  <c r="B3" i="16"/>
  <c r="B6"/>
  <c r="B5"/>
  <c r="B4"/>
  <c r="B21" i="15"/>
  <c r="B4" i="14"/>
  <c r="B30" i="1"/>
  <c r="C94" i="11"/>
  <c r="F12" i="14"/>
  <c r="C10" i="13"/>
  <c r="E10" s="1"/>
  <c r="D10" i="9"/>
  <c r="H17" i="11"/>
  <c r="F18" s="1"/>
  <c r="B18" s="1"/>
  <c r="B19" s="1"/>
  <c r="B61"/>
  <c r="F51"/>
  <c r="F48"/>
  <c r="F84"/>
  <c r="H25"/>
  <c r="H27" s="1"/>
  <c r="I12" i="9"/>
  <c r="I13" s="1"/>
  <c r="I15"/>
  <c r="I17" s="1"/>
  <c r="I11"/>
  <c r="J6"/>
  <c r="J10" s="1"/>
  <c r="I10" s="1"/>
  <c r="D15"/>
  <c r="D11"/>
  <c r="D12"/>
  <c r="D13" s="1"/>
  <c r="D74" i="12" l="1"/>
  <c r="F79"/>
  <c r="D80" s="1"/>
  <c r="B31" i="15"/>
  <c r="G22" i="18"/>
  <c r="E16"/>
  <c r="B69" i="12"/>
  <c r="E24" i="9"/>
  <c r="E27" s="1"/>
  <c r="E38"/>
  <c r="E30"/>
  <c r="E32" s="1"/>
  <c r="D33" i="11"/>
  <c r="B33" s="1"/>
  <c r="F28"/>
  <c r="B28" s="1"/>
  <c r="B29" s="1"/>
  <c r="G19" i="9"/>
  <c r="G20" s="1"/>
  <c r="E44"/>
  <c r="E42"/>
  <c r="D17"/>
  <c r="B14" i="1"/>
  <c r="W10" i="8"/>
  <c r="W9"/>
  <c r="Z8"/>
  <c r="V8" s="1"/>
  <c r="O19"/>
  <c r="K19" s="1"/>
  <c r="O20"/>
  <c r="K20" s="1"/>
  <c r="O21"/>
  <c r="K21" s="1"/>
  <c r="O22"/>
  <c r="K22" s="1"/>
  <c r="O23"/>
  <c r="K23" s="1"/>
  <c r="O24"/>
  <c r="K24" s="1"/>
  <c r="O25"/>
  <c r="K25" s="1"/>
  <c r="O26"/>
  <c r="K26" s="1"/>
  <c r="O27"/>
  <c r="K27" s="1"/>
  <c r="O28"/>
  <c r="K28" s="1"/>
  <c r="O29"/>
  <c r="K29" s="1"/>
  <c r="O30"/>
  <c r="K30" s="1"/>
  <c r="O31"/>
  <c r="K31" s="1"/>
  <c r="O32"/>
  <c r="K32" s="1"/>
  <c r="O33"/>
  <c r="K33" s="1"/>
  <c r="O34"/>
  <c r="K34" s="1"/>
  <c r="O35"/>
  <c r="K35" s="1"/>
  <c r="O36"/>
  <c r="K36" s="1"/>
  <c r="O37"/>
  <c r="K37" s="1"/>
  <c r="O38"/>
  <c r="K38" s="1"/>
  <c r="G49"/>
  <c r="C49" s="1"/>
  <c r="G50"/>
  <c r="C50" s="1"/>
  <c r="G51"/>
  <c r="C51" s="1"/>
  <c r="G52"/>
  <c r="C52" s="1"/>
  <c r="G53"/>
  <c r="C53" s="1"/>
  <c r="G54"/>
  <c r="C54" s="1"/>
  <c r="G55"/>
  <c r="C55" s="1"/>
  <c r="G56"/>
  <c r="C56" s="1"/>
  <c r="G57"/>
  <c r="C57" s="1"/>
  <c r="G16"/>
  <c r="C16" s="1"/>
  <c r="G17"/>
  <c r="C17" s="1"/>
  <c r="G18"/>
  <c r="C18" s="1"/>
  <c r="G19"/>
  <c r="C19" s="1"/>
  <c r="G20"/>
  <c r="C20" s="1"/>
  <c r="G21"/>
  <c r="C21" s="1"/>
  <c r="G22"/>
  <c r="C22" s="1"/>
  <c r="G23"/>
  <c r="C23" s="1"/>
  <c r="G24"/>
  <c r="C24" s="1"/>
  <c r="G25"/>
  <c r="C25" s="1"/>
  <c r="G26"/>
  <c r="C26" s="1"/>
  <c r="G27"/>
  <c r="C27" s="1"/>
  <c r="G28"/>
  <c r="C28" s="1"/>
  <c r="G29"/>
  <c r="C29" s="1"/>
  <c r="G30"/>
  <c r="C30" s="1"/>
  <c r="G31"/>
  <c r="C31" s="1"/>
  <c r="G32"/>
  <c r="C32" s="1"/>
  <c r="G33"/>
  <c r="C33" s="1"/>
  <c r="G34"/>
  <c r="C34" s="1"/>
  <c r="G35"/>
  <c r="C35" s="1"/>
  <c r="G36"/>
  <c r="C36" s="1"/>
  <c r="G37"/>
  <c r="C37" s="1"/>
  <c r="G38"/>
  <c r="C38" s="1"/>
  <c r="G39"/>
  <c r="C39" s="1"/>
  <c r="G40"/>
  <c r="C40" s="1"/>
  <c r="G41"/>
  <c r="C41" s="1"/>
  <c r="G42"/>
  <c r="C42" s="1"/>
  <c r="G43"/>
  <c r="C43" s="1"/>
  <c r="G44"/>
  <c r="C44" s="1"/>
  <c r="G45"/>
  <c r="C45" s="1"/>
  <c r="G46"/>
  <c r="C46" s="1"/>
  <c r="G47"/>
  <c r="C47" s="1"/>
  <c r="G48"/>
  <c r="C48" s="1"/>
  <c r="O18"/>
  <c r="K18" s="1"/>
  <c r="O17"/>
  <c r="K17" s="1"/>
  <c r="O16"/>
  <c r="K16" s="1"/>
  <c r="O15"/>
  <c r="K15" s="1"/>
  <c r="O14"/>
  <c r="K14" s="1"/>
  <c r="O13"/>
  <c r="K13" s="1"/>
  <c r="O12"/>
  <c r="K12" s="1"/>
  <c r="O11"/>
  <c r="K11" s="1"/>
  <c r="O10"/>
  <c r="K10" s="1"/>
  <c r="O9"/>
  <c r="K9" s="1"/>
  <c r="G15"/>
  <c r="C15" s="1"/>
  <c r="G14"/>
  <c r="C14" s="1"/>
  <c r="G13"/>
  <c r="C13" s="1"/>
  <c r="G12"/>
  <c r="C12" s="1"/>
  <c r="G11"/>
  <c r="C11" s="1"/>
  <c r="G10"/>
  <c r="C10" s="1"/>
  <c r="G9"/>
  <c r="W17"/>
  <c r="S17" s="1"/>
  <c r="D16" i="7"/>
  <c r="A25" s="1"/>
  <c r="I1"/>
  <c r="K11" s="1"/>
  <c r="C1"/>
  <c r="E14" s="1"/>
  <c r="E26" i="9" l="1"/>
  <c r="E43"/>
  <c r="E45" s="1"/>
  <c r="E37"/>
  <c r="E33"/>
  <c r="C7" i="8"/>
  <c r="K7"/>
  <c r="C22" i="7"/>
  <c r="A26"/>
  <c r="C31"/>
  <c r="C27"/>
  <c r="C23"/>
  <c r="C26"/>
  <c r="C30"/>
  <c r="A27"/>
  <c r="C25"/>
  <c r="C29"/>
  <c r="A23"/>
  <c r="A24"/>
  <c r="C24"/>
  <c r="C28"/>
  <c r="A22"/>
  <c r="G10"/>
  <c r="G8"/>
  <c r="I8"/>
  <c r="I12"/>
  <c r="K10"/>
  <c r="K14"/>
  <c r="G12"/>
  <c r="I11"/>
  <c r="K9"/>
  <c r="K13"/>
  <c r="G11"/>
  <c r="I10"/>
  <c r="K8"/>
  <c r="K12"/>
  <c r="G9"/>
  <c r="I9"/>
  <c r="I13"/>
  <c r="A11"/>
  <c r="A9"/>
  <c r="C8"/>
  <c r="A8"/>
  <c r="A12"/>
  <c r="C11"/>
  <c r="E9"/>
  <c r="E13"/>
  <c r="C10"/>
  <c r="E8"/>
  <c r="E12"/>
  <c r="A10"/>
  <c r="C9"/>
  <c r="C13"/>
  <c r="E11"/>
  <c r="C12"/>
  <c r="E10"/>
  <c r="B31" i="4"/>
  <c r="B25"/>
  <c r="B18"/>
  <c r="A8"/>
  <c r="B13"/>
  <c r="B14" s="1"/>
  <c r="B19"/>
  <c r="B9"/>
  <c r="B20" i="1"/>
  <c r="B23"/>
  <c r="B35" i="2"/>
  <c r="B37"/>
  <c r="B15" i="1"/>
  <c r="E6"/>
  <c r="B10"/>
  <c r="B4"/>
  <c r="B32" i="2"/>
  <c r="B27"/>
  <c r="B26"/>
  <c r="A3" i="7" l="1"/>
  <c r="A19"/>
  <c r="A18"/>
  <c r="G5"/>
  <c r="G3"/>
  <c r="A5"/>
  <c r="G4"/>
  <c r="K4" s="1"/>
  <c r="A4"/>
  <c r="E4" s="1"/>
  <c r="B3" i="4"/>
  <c r="U12" i="8" l="1"/>
  <c r="W11" s="1"/>
  <c r="E5" i="7"/>
  <c r="U4" i="8" s="1"/>
  <c r="K3" i="7"/>
  <c r="E3"/>
  <c r="K5"/>
  <c r="U5" i="8" s="1"/>
  <c r="E36" i="9" l="1"/>
  <c r="E39" s="1"/>
  <c r="I12" i="14"/>
  <c r="F13"/>
  <c r="I13" l="1"/>
  <c r="F14"/>
  <c r="F15" l="1"/>
  <c r="I14"/>
  <c r="I15" l="1"/>
  <c r="F16"/>
  <c r="I16" l="1"/>
  <c r="F17"/>
  <c r="I17" l="1"/>
  <c r="F18"/>
  <c r="I18" l="1"/>
  <c r="F19"/>
  <c r="F20" l="1"/>
  <c r="I19"/>
  <c r="I20" l="1"/>
  <c r="F22" l="1"/>
  <c r="F21"/>
  <c r="I21" s="1"/>
  <c r="I22" l="1"/>
  <c r="F23"/>
  <c r="I23" l="1"/>
  <c r="F24"/>
  <c r="F25" l="1"/>
  <c r="I24"/>
  <c r="I25" l="1"/>
  <c r="F26"/>
  <c r="F27" l="1"/>
  <c r="I26"/>
  <c r="F28" l="1"/>
  <c r="I27"/>
  <c r="I28" l="1"/>
  <c r="F29"/>
  <c r="F30" l="1"/>
  <c r="I29"/>
  <c r="I30" l="1"/>
  <c r="F31"/>
  <c r="F32" l="1"/>
  <c r="I31"/>
  <c r="F33" l="1"/>
  <c r="I32"/>
  <c r="F34" l="1"/>
  <c r="I33"/>
  <c r="F35" l="1"/>
  <c r="I34"/>
  <c r="I35" l="1"/>
  <c r="F36"/>
  <c r="I36" l="1"/>
  <c r="F37"/>
  <c r="F38" l="1"/>
  <c r="I37"/>
  <c r="F39" l="1"/>
  <c r="I38"/>
  <c r="I39" l="1"/>
  <c r="B32" i="15" l="1"/>
  <c r="C32" s="1"/>
</calcChain>
</file>

<file path=xl/sharedStrings.xml><?xml version="1.0" encoding="utf-8"?>
<sst xmlns="http://schemas.openxmlformats.org/spreadsheetml/2006/main" count="732" uniqueCount="469">
  <si>
    <t>CFM</t>
  </si>
  <si>
    <t>BTU/H</t>
  </si>
  <si>
    <t>=</t>
  </si>
  <si>
    <t>/</t>
  </si>
  <si>
    <t>▲T</t>
  </si>
  <si>
    <t>Heating CFM</t>
  </si>
  <si>
    <t>Cooling CFM</t>
  </si>
  <si>
    <t>Tons</t>
  </si>
  <si>
    <t>CFM/Ton</t>
  </si>
  <si>
    <t xml:space="preserve"> 400 CFM/Ton (Typical)</t>
  </si>
  <si>
    <t xml:space="preserve"> CFM</t>
  </si>
  <si>
    <t>@</t>
  </si>
  <si>
    <t>1.08 x CFM (Typical)</t>
  </si>
  <si>
    <t>(1.08 x ▲T)</t>
  </si>
  <si>
    <r>
      <t xml:space="preserve">Airflow required when you know the furnace </t>
    </r>
    <r>
      <rPr>
        <b/>
        <i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and</t>
    </r>
  </si>
  <si>
    <t>Total Sensible Heat.</t>
  </si>
  <si>
    <t>TSH</t>
  </si>
  <si>
    <t>X</t>
  </si>
  <si>
    <t xml:space="preserve">CFM X 1.08 x ▲T </t>
  </si>
  <si>
    <t>PRESSURE = TOTAL-STATIC, THEN SQRT OF PRESSURE x 4005 x SQFT OF DUCT (FT LENGTH X FT WIDTH) OR pi*RADIUS^2</t>
  </si>
  <si>
    <t>New CFM= (new rpm x existing cfm)/existing rpm</t>
  </si>
  <si>
    <t>New CFM</t>
  </si>
  <si>
    <t>New RPM</t>
  </si>
  <si>
    <t>Existing CFM</t>
  </si>
  <si>
    <t>New RPM=</t>
  </si>
  <si>
    <t>Existing RPM</t>
  </si>
  <si>
    <t xml:space="preserve">Static Pressure  </t>
  </si>
  <si>
    <t>New s.p=existing s.p x (new RPM/existing RPM)^2</t>
  </si>
  <si>
    <t>New Static Pressure</t>
  </si>
  <si>
    <t>Exist S.P.</t>
  </si>
  <si>
    <t xml:space="preserve">Horsepower </t>
  </si>
  <si>
    <t>New hp=existing hp x (new RPM/existing RPM)^3</t>
  </si>
  <si>
    <t>New Horsepower</t>
  </si>
  <si>
    <t>Existing HP</t>
  </si>
  <si>
    <t>Pulley fan RPM</t>
  </si>
  <si>
    <t>Fan RPM</t>
  </si>
  <si>
    <t>Motor RPM</t>
  </si>
  <si>
    <t>Fan Pulley</t>
  </si>
  <si>
    <t xml:space="preserve">Diameter of </t>
  </si>
  <si>
    <t>Motor Pulley</t>
  </si>
  <si>
    <t>Adjusted CFM</t>
  </si>
  <si>
    <t>Alt. (Feet)</t>
  </si>
  <si>
    <t>AD Corr Factor</t>
  </si>
  <si>
    <t>CFM (above)</t>
  </si>
  <si>
    <t>Alternate constant</t>
  </si>
  <si>
    <t>temp &amp; pressure calc</t>
  </si>
  <si>
    <t>Standard constant</t>
  </si>
  <si>
    <t>CFM-Electric Heat</t>
  </si>
  <si>
    <t>Volts</t>
  </si>
  <si>
    <t>Amps</t>
  </si>
  <si>
    <t>14 CFM/1000 BTU/h (Typical)</t>
  </si>
  <si>
    <t>New RPM=(new cfm X existing rpm) / existing cfm</t>
  </si>
  <si>
    <t>Calculate thermal efficiency.</t>
  </si>
  <si>
    <t>Calculate ▲T (Temperature drop/rise through the heat exchanger).</t>
  </si>
  <si>
    <t>size of evaporator coil.  Size ductwork to larger CFM.</t>
  </si>
  <si>
    <t>Airflow when you know the ▲T,   CFM=BTU/h / (1.08 x ▲T).</t>
  </si>
  <si>
    <t>Adjusted CFM for Temperature and Altitude.</t>
  </si>
  <si>
    <t>Fan Law 1.</t>
  </si>
  <si>
    <t>Fan Law 2.</t>
  </si>
  <si>
    <t>Fan Law 3.</t>
  </si>
  <si>
    <t xml:space="preserve"> Total System Efficiency</t>
  </si>
  <si>
    <t>Furnace BTU Input</t>
  </si>
  <si>
    <t>Compare Total Sensible Heat to Furnace BTU intput.</t>
  </si>
  <si>
    <t xml:space="preserve"> Existing CFM</t>
  </si>
  <si>
    <t>Capacitors</t>
  </si>
  <si>
    <t>New µf</t>
  </si>
  <si>
    <t>In Series, µf will be lower, Volts are added together.</t>
  </si>
  <si>
    <t>Cap1 µf</t>
  </si>
  <si>
    <t>Cap2 µf</t>
  </si>
  <si>
    <t>Cap3 µf</t>
  </si>
  <si>
    <t>Cap1 Volts</t>
  </si>
  <si>
    <t>Cap2 Volts</t>
  </si>
  <si>
    <t>Cap3 Volts</t>
  </si>
  <si>
    <t>New Volts=</t>
  </si>
  <si>
    <t>In Parallel-Add Capacitors together, Volts = lowest rated capacitor.</t>
  </si>
  <si>
    <t>TEMP</t>
  </si>
  <si>
    <t>REL HUMIDITY</t>
  </si>
  <si>
    <t>Function RelativeHumidity(WetBulbTemp, DryBulbTemp, AtmosPress)</t>
  </si>
  <si>
    <t>Rem Calculates the relative humidity from</t>
  </si>
  <si>
    <t>Rem    Wet bulb temperature WetBulbTemp deg C</t>
  </si>
  <si>
    <t>Rem    Dry Bulb temperature DryBulbTemp deg C</t>
  </si>
  <si>
    <t>Rem    Atmospheric pressure AtmosPress  kPa</t>
  </si>
  <si>
    <r>
      <t>Rem This equation is taken from BS 4485, </t>
    </r>
    <r>
      <rPr>
        <u/>
        <sz val="10"/>
        <color rgb="FF009900"/>
        <rFont val="Tahoma"/>
        <family val="2"/>
      </rPr>
      <t>part</t>
    </r>
    <r>
      <rPr>
        <sz val="10"/>
        <color rgb="FF000000"/>
        <rFont val="Tahoma"/>
        <family val="2"/>
      </rPr>
      <t> 2, 1988, Appendix D</t>
    </r>
  </si>
  <si>
    <t>        RelativeHumidity = 100# * (AirSatPress(WetBulbTemp) - 1000# * AtmosPress * (0.000666 * (DryBulbTemp - WetBulbTemp))) / AirSatPress(DryBulbTemp)</t>
  </si>
  <si>
    <t>        </t>
  </si>
  <si>
    <t>End Function</t>
  </si>
  <si>
    <t>Function AirSatPress(AirTemp)</t>
  </si>
  <si>
    <r>
      <t>Rem Calculates the </t>
    </r>
    <r>
      <rPr>
        <u/>
        <sz val="10"/>
        <color rgb="FF009900"/>
        <rFont val="Tahoma"/>
        <family val="2"/>
      </rPr>
      <t>saturation</t>
    </r>
    <r>
      <rPr>
        <sz val="10"/>
        <color rgb="FF000000"/>
        <rFont val="Tahoma"/>
        <family val="2"/>
      </rPr>
      <t> vapour pressure of water (Pa) from temperature deg C</t>
    </r>
  </si>
  <si>
    <t>        AirSatPress = 10 ^ (-2948.997118 / (AirTemp + 273.15) - 2.1836674 * Log(AirTemp + 273.15) - 0.000150474 * 10 ^ (-0.0303738468 * (AirTemp - 0.01)) + 0.00042873 * 10 ^ (4.76955 * (1 - 273.16 / (AirTemp + 273.15))) + 25.83220018)</t>
  </si>
  <si>
    <t>Misc. Scratch Pad</t>
  </si>
  <si>
    <t>Wet Bulb</t>
  </si>
  <si>
    <t>Temp DB</t>
  </si>
  <si>
    <t>Humidity</t>
  </si>
  <si>
    <t>Inches to MM</t>
  </si>
  <si>
    <t>MM to inches-decimal</t>
  </si>
  <si>
    <t>Inches</t>
  </si>
  <si>
    <t>Feet</t>
  </si>
  <si>
    <t>MM</t>
  </si>
  <si>
    <t>Fraction</t>
  </si>
  <si>
    <t>MM to inches-nearest fraction (construction tape measure)</t>
  </si>
  <si>
    <t>New Volts</t>
  </si>
  <si>
    <t>converting decimal to feet &amp; inches &amp; fraction</t>
  </si>
  <si>
    <t>converting decimal to inches &amp; fraction</t>
  </si>
  <si>
    <t>Calculate Dew Point (Temp in °F)</t>
  </si>
  <si>
    <t>Temperature</t>
  </si>
  <si>
    <t>%</t>
  </si>
  <si>
    <t>°F</t>
  </si>
  <si>
    <t>Dew Point °F</t>
  </si>
  <si>
    <t>(Volts x Amps x 3.4141) / (1.08 x ΔT)</t>
  </si>
  <si>
    <t>Watts</t>
  </si>
  <si>
    <t>BTUs/Hr</t>
  </si>
  <si>
    <t xml:space="preserve"> @BTU's/ton</t>
  </si>
  <si>
    <t>▲ht</t>
  </si>
  <si>
    <r>
      <rPr>
        <b/>
        <sz val="10"/>
        <rFont val="Arial"/>
        <family val="2"/>
      </rPr>
      <t>Enthalpy in BTU per Pound of Dry Air</t>
    </r>
  </si>
  <si>
    <r>
      <rPr>
        <b/>
        <sz val="10"/>
        <rFont val="Arial"/>
        <family val="2"/>
      </rPr>
      <t>Wet Bulb</t>
    </r>
    <r>
      <rPr>
        <b/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Temperature</t>
    </r>
    <r>
      <rPr>
        <b/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F</t>
    </r>
  </si>
  <si>
    <t>BTU/Lb</t>
  </si>
  <si>
    <t>WB Supply Temp</t>
  </si>
  <si>
    <t>WB Return Temp</t>
  </si>
  <si>
    <t>-</t>
  </si>
  <si>
    <t>(4.5 X CFM X ▲ht)</t>
  </si>
  <si>
    <t>Temp (F°)</t>
  </si>
  <si>
    <t>Temp °C</t>
  </si>
  <si>
    <t>Temp °F</t>
  </si>
  <si>
    <t>Air Flow</t>
  </si>
  <si>
    <t>DB</t>
  </si>
  <si>
    <t>WB</t>
  </si>
  <si>
    <t>RH%</t>
  </si>
  <si>
    <t>psia</t>
  </si>
  <si>
    <t>Humidity Ratio</t>
  </si>
  <si>
    <t>Saturated Pressure-psia</t>
  </si>
  <si>
    <t>Dry Bulb and Relative Humidity</t>
  </si>
  <si>
    <t>Enthalpy</t>
  </si>
  <si>
    <t>RH</t>
  </si>
  <si>
    <t>Dry Bulb and Dew Point Temp</t>
  </si>
  <si>
    <t>DP</t>
  </si>
  <si>
    <t>Dry Bulb and Wet Bulb</t>
  </si>
  <si>
    <t>https://excel-psychrometrics.com/#dry-bulb-wet-bulb</t>
  </si>
  <si>
    <t>System Capacity Calc for Evaporator Coil-at sea level</t>
  </si>
  <si>
    <t>Superheat Target</t>
  </si>
  <si>
    <t>Elevation</t>
  </si>
  <si>
    <t>DB Supply Temp</t>
  </si>
  <si>
    <t>DB Return Temp</t>
  </si>
  <si>
    <t>RH %</t>
  </si>
  <si>
    <t>ft</t>
  </si>
  <si>
    <t>System Capacity Calc for Evaporator Coil-DB, Relative Humidity &amp; Elevation</t>
  </si>
  <si>
    <t>Baro Press (psia)</t>
  </si>
  <si>
    <t>*Used for manual calcs.  Manual calcs for enthalpy are not as accurate as using psychrometric probes.</t>
  </si>
  <si>
    <t>Length</t>
  </si>
  <si>
    <t>Width</t>
  </si>
  <si>
    <t>In</t>
  </si>
  <si>
    <t>Filter Face Velocity (FFV)</t>
  </si>
  <si>
    <t>Calculating Filter Face Velocity (Ideally between 250-500 fpm)</t>
  </si>
  <si>
    <t>OA Temp DB</t>
  </si>
  <si>
    <t>Return Air Temp WB</t>
  </si>
  <si>
    <t>Liquid Density (130*F) Refrigerant lb/ft^3</t>
  </si>
  <si>
    <t>R-22</t>
  </si>
  <si>
    <t>R-134a</t>
  </si>
  <si>
    <t>R-410a</t>
  </si>
  <si>
    <t>R-404a</t>
  </si>
  <si>
    <t>R-407c</t>
  </si>
  <si>
    <t>R-290</t>
  </si>
  <si>
    <t>R-12</t>
  </si>
  <si>
    <t>Liquid Density (130*F) Ref lb/ft^3</t>
  </si>
  <si>
    <t>Existing non-empty tank calc</t>
  </si>
  <si>
    <t>Calculate Recovery Tank @ 80%</t>
  </si>
  <si>
    <t>Max. additional refrigerant</t>
  </si>
  <si>
    <t>Total Tank weight before starting recovery:</t>
  </si>
  <si>
    <t>that can be added to the tank:</t>
  </si>
  <si>
    <t>Refrigerant Weight (Fill Weight) @ 80%:</t>
  </si>
  <si>
    <t>Total Weight (TW + Fill Weight) @ 80%:</t>
  </si>
  <si>
    <t>Density:</t>
  </si>
  <si>
    <t>Refrigerant Type:</t>
  </si>
  <si>
    <t>Max Temperature:</t>
  </si>
  <si>
    <t>Tank Water Capacity:</t>
  </si>
  <si>
    <t>Tank Tare Weight:</t>
  </si>
  <si>
    <t xml:space="preserve">Must be &gt; Tank Tare Wt. </t>
  </si>
  <si>
    <t>lbs.</t>
  </si>
  <si>
    <t>Compression Ratio</t>
  </si>
  <si>
    <t>Lower ratio=more efficient</t>
  </si>
  <si>
    <t>Altitude (ft.)</t>
  </si>
  <si>
    <t>(Lower ratio=more efficient)</t>
  </si>
  <si>
    <t xml:space="preserve">*WB temp doesn't always match online calculator probably due to a rounding error, but usually off less than 1/2° </t>
  </si>
  <si>
    <t>SL Sat Temp</t>
  </si>
  <si>
    <t>SL Clamp Temp</t>
  </si>
  <si>
    <t>Actual Total Superheat</t>
  </si>
  <si>
    <t>Calculate Subcooling-TXV</t>
  </si>
  <si>
    <t>Subcooling Target</t>
  </si>
  <si>
    <t>Target SC</t>
  </si>
  <si>
    <t>LLTemp</t>
  </si>
  <si>
    <t>Calculate Superheat based on return air WB°F and OAT°F DB-Fixed Orifice</t>
  </si>
  <si>
    <t>Tolerance +- 3° F</t>
  </si>
  <si>
    <t>Tolerance +- 2° F</t>
  </si>
  <si>
    <t>Range-Low</t>
  </si>
  <si>
    <t>Range-High</t>
  </si>
  <si>
    <t>Measure ΔT Across Evaporator Coil-After Confirming Proper SH or SC Charge</t>
  </si>
  <si>
    <t>Supply Temp</t>
  </si>
  <si>
    <t>Return Temp</t>
  </si>
  <si>
    <t>Psychrometrics &amp; Refrigerant Charging</t>
  </si>
  <si>
    <t>Conversions</t>
  </si>
  <si>
    <t>Liquid Line</t>
  </si>
  <si>
    <t>Suction Line</t>
  </si>
  <si>
    <t>PSIG</t>
  </si>
  <si>
    <t>Return Air</t>
  </si>
  <si>
    <t>Dry Bulb</t>
  </si>
  <si>
    <t>*If it's higher, then check for airflow issues and blower settings. If it's lower, then connect gauges.</t>
  </si>
  <si>
    <t>Calculate The Target Evaporator Air Temperature Split (°F)  Range +- 3°F</t>
  </si>
  <si>
    <t>Target Delta T Across the Evaporator Coil</t>
  </si>
  <si>
    <t>Calculating Duct Losses</t>
  </si>
  <si>
    <t>Return Air °F</t>
  </si>
  <si>
    <t>Supply Air °F</t>
  </si>
  <si>
    <t>Mixed Air 1 °F</t>
  </si>
  <si>
    <t>Mixed Air °F</t>
  </si>
  <si>
    <t>Average</t>
  </si>
  <si>
    <t>BTU/h Loss</t>
  </si>
  <si>
    <t>Attic Air °F</t>
  </si>
  <si>
    <t>*Mixed air temps are the average of 2 measurements taken on both sides of blower motor-for best results.</t>
  </si>
  <si>
    <t>Nominal BTU's</t>
  </si>
  <si>
    <t>CFM=BTU/(4.5 * ▲ht)</t>
  </si>
  <si>
    <t>Mixed Air 2 °F</t>
  </si>
  <si>
    <t>CFM based on Enthalpy and nominal system capacity.</t>
  </si>
  <si>
    <t>Traverse/Drill Points</t>
  </si>
  <si>
    <t>Traverse/drill points (mm)</t>
  </si>
  <si>
    <t>Less than 30"</t>
  </si>
  <si>
    <t>Less than 63"</t>
  </si>
  <si>
    <t>63"+</t>
  </si>
  <si>
    <t>Rectangular-Width</t>
  </si>
  <si>
    <t>Rectangular-Length</t>
  </si>
  <si>
    <t>Circumference</t>
  </si>
  <si>
    <t>Round-Inside Diameter</t>
  </si>
  <si>
    <t>Drill Point #2-</t>
  </si>
  <si>
    <t>Drill Point #3-</t>
  </si>
  <si>
    <t>Less than 10"</t>
  </si>
  <si>
    <t>mm</t>
  </si>
  <si>
    <t>Outside diameter</t>
  </si>
  <si>
    <t>Inside diameter</t>
  </si>
  <si>
    <t>Greater than 10"</t>
  </si>
  <si>
    <t>Rectangular Duct</t>
  </si>
  <si>
    <t>Length (In.)</t>
  </si>
  <si>
    <t>Width (In.)</t>
  </si>
  <si>
    <t>Ft/Min</t>
  </si>
  <si>
    <t>Avg. Ft/Min</t>
  </si>
  <si>
    <t>Round Duct</t>
  </si>
  <si>
    <t>Diameter (In.)</t>
  </si>
  <si>
    <t>Static Press.</t>
  </si>
  <si>
    <t>Calculate CFM from Pressure-Multiple Traverse Points</t>
  </si>
  <si>
    <t>Sat Temp</t>
  </si>
  <si>
    <t>Round (In.)</t>
  </si>
  <si>
    <t>Rectangular (In.)</t>
  </si>
  <si>
    <t>Calculate Belt Length</t>
  </si>
  <si>
    <t xml:space="preserve"> to Shaft</t>
  </si>
  <si>
    <t>Belt Length (in)</t>
  </si>
  <si>
    <t>CL-Shaft</t>
  </si>
  <si>
    <t>Calculate Wet Bulb From Dry Bulb &amp; Humidity. (Temp in °F)*</t>
  </si>
  <si>
    <t>Enthalpy Calculator (From Tdb and RH)</t>
  </si>
  <si>
    <t>Acceptable accuracy (&gt;99%) between 25°F to 100°F Tdb</t>
  </si>
  <si>
    <t>Supply Air</t>
  </si>
  <si>
    <t>°C</t>
  </si>
  <si>
    <t>PSIA</t>
  </si>
  <si>
    <t>Dry bulb Tdb</t>
  </si>
  <si>
    <t>RH (%)</t>
  </si>
  <si>
    <t>Wet Bulb (from DB &amp; Hum)</t>
  </si>
  <si>
    <t>Dew Point Tdp</t>
  </si>
  <si>
    <t>Enthalpy (btu/lb)</t>
  </si>
  <si>
    <t>Gr. Moisture H20/lb DB</t>
  </si>
  <si>
    <t>Sat. Pressure (psia)</t>
  </si>
  <si>
    <t>Latent2</t>
  </si>
  <si>
    <t>1.08*cfm*(ReturnDB-SupplyDB)</t>
  </si>
  <si>
    <t>(4.5 * CFM * DeltaHt)</t>
  </si>
  <si>
    <t>Properties of Air</t>
  </si>
  <si>
    <t>(from first hole)</t>
  </si>
  <si>
    <t>Specific Volume</t>
  </si>
  <si>
    <t>Partial Pressure</t>
  </si>
  <si>
    <t>Actual CFM</t>
  </si>
  <si>
    <t>Standard CFM</t>
  </si>
  <si>
    <r>
      <t>F</t>
    </r>
    <r>
      <rPr>
        <i/>
        <sz val="11"/>
        <rFont val="Calibri"/>
        <family val="2"/>
        <scheme val="minor"/>
      </rPr>
      <t>rom hum ratio  0.68*CFM*ABS((lb H20ra-lb H20sa))</t>
    </r>
  </si>
  <si>
    <t>Total btu's based on standard air</t>
  </si>
  <si>
    <t>Air Density</t>
  </si>
  <si>
    <t>Sensible-using Air Density</t>
  </si>
  <si>
    <t>Latent1</t>
  </si>
  <si>
    <t>Sensible1</t>
  </si>
  <si>
    <t>Total1</t>
  </si>
  <si>
    <r>
      <rPr>
        <i/>
        <sz val="1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>otal1-Sensible1</t>
    </r>
  </si>
  <si>
    <t>Total1-Sensible1=Latent1</t>
  </si>
  <si>
    <t>Total 2</t>
  </si>
  <si>
    <t>Sensible2</t>
  </si>
  <si>
    <t>Total3</t>
  </si>
  <si>
    <t>Sensible3</t>
  </si>
  <si>
    <t>Latent3</t>
  </si>
  <si>
    <t>Total4</t>
  </si>
  <si>
    <t>Sensible4</t>
  </si>
  <si>
    <t>Latent4</t>
  </si>
  <si>
    <t>Total-using air density</t>
  </si>
  <si>
    <t>Total4-Based Air Density &amp; Humidity Ratio</t>
  </si>
  <si>
    <t>Sensible Heat Ratio %</t>
  </si>
  <si>
    <t>Delivered BTU'S</t>
  </si>
  <si>
    <t>Delivered Tons</t>
  </si>
  <si>
    <t>Total3=Latent3 + Sensible3</t>
  </si>
  <si>
    <t>Latent3 + Sensible3</t>
  </si>
  <si>
    <t>Total2-Sensible2=Latent2 (Based on Standard Air (SCFM))</t>
  </si>
  <si>
    <t>Total2-Sensible2</t>
  </si>
  <si>
    <t>*Number of readings needed below based on Traverse Panel on the right</t>
  </si>
  <si>
    <t>Sizing Electric Heat Strips for Heat Pump</t>
  </si>
  <si>
    <t>KWH</t>
  </si>
  <si>
    <t>WHL</t>
  </si>
  <si>
    <t>Cap 17°</t>
  </si>
  <si>
    <t>Cap 47°</t>
  </si>
  <si>
    <t>WDT°</t>
  </si>
  <si>
    <t>Sizing for Entire Load</t>
  </si>
  <si>
    <t>WHL = Winter heat loss based on Manual-J</t>
  </si>
  <si>
    <t>Cap 17° = rated heat pump capacity at 17°</t>
  </si>
  <si>
    <t>Cap 47° = rated heat pump capacity at 47°</t>
  </si>
  <si>
    <t>WDT° = Winter design temperature based on Manual-J / Ashrae charts</t>
  </si>
  <si>
    <t>Fan Laws &amp; Capacitors</t>
  </si>
  <si>
    <t>&lt;</t>
  </si>
  <si>
    <t>Clocking a Gas Meter</t>
  </si>
  <si>
    <t xml:space="preserve">Drive Dial </t>
  </si>
  <si>
    <t xml:space="preserve"> Cubic Feet</t>
  </si>
  <si>
    <t xml:space="preserve">Seconds-1 revolution </t>
  </si>
  <si>
    <t xml:space="preserve">Cubic Ft/Hour </t>
  </si>
  <si>
    <t xml:space="preserve"> ACFH (Actual Cubic Ft/Hour)</t>
  </si>
  <si>
    <t xml:space="preserve">If  meter pressure is above 1 psi and a higer elevation </t>
  </si>
  <si>
    <t xml:space="preserve">PSIG @ Meter </t>
  </si>
  <si>
    <t xml:space="preserve">Elevation </t>
  </si>
  <si>
    <t xml:space="preserve"> Ft.</t>
  </si>
  <si>
    <t xml:space="preserve">PSIA </t>
  </si>
  <si>
    <t xml:space="preserve">Cubic Ft/Hour@ Burner Tip </t>
  </si>
  <si>
    <t xml:space="preserve">Flow Rate </t>
  </si>
  <si>
    <t xml:space="preserve"> SCFH (Standard Cubic Ft/Hour)</t>
  </si>
  <si>
    <t>BTU Output</t>
  </si>
  <si>
    <t>Gas</t>
  </si>
  <si>
    <t xml:space="preserve">BTU content of gas </t>
  </si>
  <si>
    <t xml:space="preserve"> 1050 (typical)</t>
  </si>
  <si>
    <t xml:space="preserve">Efficiency of Appliance </t>
  </si>
  <si>
    <t xml:space="preserve">BTU Output </t>
  </si>
  <si>
    <t xml:space="preserve"> ACFH</t>
  </si>
  <si>
    <t xml:space="preserve"> SCFH</t>
  </si>
  <si>
    <t>Heating Oil</t>
  </si>
  <si>
    <t xml:space="preserve">BTU content of Oil </t>
  </si>
  <si>
    <t xml:space="preserve"> 139,000/gallon (typical)</t>
  </si>
  <si>
    <t xml:space="preserve">Nozzle Firing Rate </t>
  </si>
  <si>
    <t xml:space="preserve">Pump Pressure </t>
  </si>
  <si>
    <t xml:space="preserve"> psi</t>
  </si>
  <si>
    <t xml:space="preserve">True Firing Rate </t>
  </si>
  <si>
    <t xml:space="preserve"> gph</t>
  </si>
  <si>
    <t xml:space="preserve">Nearest Fraction </t>
  </si>
  <si>
    <t>(construction tape measure)</t>
  </si>
  <si>
    <t>or</t>
  </si>
  <si>
    <t>Pipe Bending</t>
  </si>
  <si>
    <t xml:space="preserve">Enter the radius of the bender &amp; degree of bed.  </t>
  </si>
  <si>
    <t>Answer is amount of gain(stretch) to be subtracted from measured length.</t>
  </si>
  <si>
    <t>Radius of Bender</t>
  </si>
  <si>
    <t>Degree of Bend</t>
  </si>
  <si>
    <t>°</t>
  </si>
  <si>
    <t>Developed Length</t>
  </si>
  <si>
    <t>K</t>
  </si>
  <si>
    <t>Gain</t>
  </si>
  <si>
    <t>Gain2</t>
  </si>
  <si>
    <t>10°</t>
  </si>
  <si>
    <t>15°</t>
  </si>
  <si>
    <t>22.5°</t>
  </si>
  <si>
    <t>30°</t>
  </si>
  <si>
    <t>45°</t>
  </si>
  <si>
    <t>60°</t>
  </si>
  <si>
    <t>90°</t>
  </si>
  <si>
    <t>"</t>
  </si>
  <si>
    <t>Current Nozzle Size (gph)</t>
  </si>
  <si>
    <t>Current Nozzle Pressure (psi)</t>
  </si>
  <si>
    <t>Flow Rate</t>
  </si>
  <si>
    <t>Alternate Nozzle Size (gph)</t>
  </si>
  <si>
    <t>Alt Nozzle Pressure (psi)</t>
  </si>
  <si>
    <t>Maximum Pump Pressure</t>
  </si>
  <si>
    <t xml:space="preserve">*Note, if you edit these nozzles, they must </t>
  </si>
  <si>
    <t xml:space="preserve"> or calculations will break.</t>
  </si>
  <si>
    <t>remain in order, from lowest to highest,</t>
  </si>
  <si>
    <t>Standard Nozzle Sizes*</t>
  </si>
  <si>
    <t>Elevation (feet)</t>
  </si>
  <si>
    <t>Start Temp °F</t>
  </si>
  <si>
    <t>Start Pressure (psig)</t>
  </si>
  <si>
    <t>End Temp °F</t>
  </si>
  <si>
    <t>Adjusted Pressure (psig)</t>
  </si>
  <si>
    <t>End Pressure (psig)</t>
  </si>
  <si>
    <t>Nitrogen Pressure/Temp Calculator</t>
  </si>
  <si>
    <t>Calculate Change in Copper Tubing</t>
  </si>
  <si>
    <t>Change in Length (in)</t>
  </si>
  <si>
    <t>Length (ft)</t>
  </si>
  <si>
    <t>Temp Change</t>
  </si>
  <si>
    <t>Formula-Do not alter or entire SS will break.</t>
  </si>
  <si>
    <t>single stage tank below</t>
  </si>
  <si>
    <t>single stage tank above</t>
  </si>
  <si>
    <t>two stage tank below</t>
  </si>
  <si>
    <t>two stage tank above</t>
  </si>
  <si>
    <t>Fuel Line Sizes</t>
  </si>
  <si>
    <t>3/8</t>
  </si>
  <si>
    <t>1/2</t>
  </si>
  <si>
    <t>5/8</t>
  </si>
  <si>
    <t>Above/Below</t>
  </si>
  <si>
    <t>Above</t>
  </si>
  <si>
    <t>Below</t>
  </si>
  <si>
    <t>Stage-Fuel Unit</t>
  </si>
  <si>
    <t>Single-Stage</t>
  </si>
  <si>
    <t>Two-Stage</t>
  </si>
  <si>
    <t>BTU Content of Heating Oil</t>
  </si>
  <si>
    <t>ULSD</t>
  </si>
  <si>
    <t>B20</t>
  </si>
  <si>
    <t>B100</t>
  </si>
  <si>
    <t>Unlock Sheet to add more fuel units.  Make backup first.</t>
  </si>
  <si>
    <t>TGSC</t>
  </si>
  <si>
    <t>Make/Model</t>
  </si>
  <si>
    <t>Flow Rate 3450 rpm</t>
  </si>
  <si>
    <t>Beckett A2EA</t>
  </si>
  <si>
    <t>Danfoss CFPH-BFPH</t>
  </si>
  <si>
    <t>Riello-up to 2000</t>
  </si>
  <si>
    <t>Riello-Current</t>
  </si>
  <si>
    <t>Suntec A7*** 3 GPH UNTIL 2000</t>
  </si>
  <si>
    <t>Suntec A7*** 3 gph-Current</t>
  </si>
  <si>
    <t>Suntec A7*** 7 gph</t>
  </si>
  <si>
    <t>Suntec B82** 3 gph</t>
  </si>
  <si>
    <t>Suntec B89** 7gph</t>
  </si>
  <si>
    <t>Suntec B8850</t>
  </si>
  <si>
    <t>Suntec B8851</t>
  </si>
  <si>
    <t>Suntec B8852</t>
  </si>
  <si>
    <t>Webster M34DK-3</t>
  </si>
  <si>
    <t>Anticipated Vacuum</t>
  </si>
  <si>
    <t>"OD copper tube size</t>
  </si>
  <si>
    <t>GPH Flow rate (Gearset Capacity) for Fuel Unit (TGSC)  Most single stage fuel units (Like Riello, Suntec, Beckett CleanCut, use 15-See Table)</t>
  </si>
  <si>
    <t>Ft. Lift (from bottom of suction line to the center of the fuel unit</t>
  </si>
  <si>
    <t>Ft. Horizontal length of fuel line</t>
  </si>
  <si>
    <t xml:space="preserve">Inches of Total Vacuum (anticipated).  Does not include valves, filter, etc. </t>
  </si>
  <si>
    <t>Anticipated Inlet Pressure (tank above fuel unit)</t>
  </si>
  <si>
    <t>In. Vertical length of fuel line (top fo tank to center of fuel pump)</t>
  </si>
  <si>
    <t xml:space="preserve">PSI on fuel inlet (anticipated) </t>
  </si>
  <si>
    <t>Maximum amount of fuel line you can run (not to exceed). Single Pipe, Single Stage.</t>
  </si>
  <si>
    <t>Total Feet available.  Does not include allowances for valves, filter, etc.</t>
  </si>
  <si>
    <t>Maximum amount of fuel line you can run (not to exceed). Two Pipe or Oil Deaerator.</t>
  </si>
  <si>
    <t>Riello pump vacuum-Single pipe 6", Two Pipe or Oil Deaerator 12"</t>
  </si>
  <si>
    <t>Fuel Unit</t>
  </si>
  <si>
    <t>Tank Above/Below Pump</t>
  </si>
  <si>
    <t>Single Stage/Two Stage</t>
  </si>
  <si>
    <t>Ft. Maximum length of supply tubing.</t>
  </si>
  <si>
    <t>Oil Line Calculations</t>
  </si>
  <si>
    <t>BTU Output of Heating Oil</t>
  </si>
  <si>
    <t>Type of Heating Oil</t>
  </si>
  <si>
    <t>BTU's</t>
  </si>
  <si>
    <t>BTU output.</t>
  </si>
  <si>
    <t>Flow Rate in GPH</t>
  </si>
  <si>
    <t xml:space="preserve">GPH Flow rate </t>
  </si>
  <si>
    <t>Determining Boiler Efficiency</t>
  </si>
  <si>
    <t>Cycle Efficiency</t>
  </si>
  <si>
    <t>Appliance Rated Efficiency (BTU's/Hr)</t>
  </si>
  <si>
    <t>BTU's Used-Oil or Gas BTU Ouput (BTU's/Hr)</t>
  </si>
  <si>
    <t>Appliance Steady State Efficiency (BTU's/Hr)</t>
  </si>
  <si>
    <t>IF(AND(B28="Single-Stage",B27="Below"),Formulae!B3,IF(AND(B28="Single-Stage",B27="Above"),Formulae!B4,IF(AND(B28="Two-Stage",B27="Below"),Formulae!B5,IF(AND(B28="Two-Stage",B27="Above"),Formulae!B6,"Data Missing"))))</t>
  </si>
  <si>
    <t>Sizing for Domestic Hot Water-BTUH Input</t>
  </si>
  <si>
    <t>Desired Temperature</t>
  </si>
  <si>
    <t>Inlet Water Temperature</t>
  </si>
  <si>
    <t>Expected Flow Rate</t>
  </si>
  <si>
    <t xml:space="preserve"> °F</t>
  </si>
  <si>
    <t xml:space="preserve">  °F</t>
  </si>
  <si>
    <t xml:space="preserve"> GPM</t>
  </si>
  <si>
    <t>Required Input</t>
  </si>
  <si>
    <t xml:space="preserve"> BTUH Input</t>
  </si>
  <si>
    <t>Total Sensible Heat Calculation</t>
  </si>
  <si>
    <t>Estimated or Actual CFM</t>
  </si>
  <si>
    <t>Delta T</t>
  </si>
  <si>
    <t>Flow Rate (from above)</t>
  </si>
  <si>
    <t>Thermal Efficiency</t>
  </si>
  <si>
    <t>BTU Output (base on flow rate)</t>
  </si>
  <si>
    <t>Clocking a Gas Meter-Thermal Efficiency of a Furnace</t>
  </si>
  <si>
    <t>Btu Content of Oil-Thermal Efficiency of a Furnace</t>
  </si>
</sst>
</file>

<file path=xl/styles.xml><?xml version="1.0" encoding="utf-8"?>
<styleSheet xmlns="http://schemas.openxmlformats.org/spreadsheetml/2006/main">
  <numFmts count="12">
    <numFmt numFmtId="164" formatCode="0.000"/>
    <numFmt numFmtId="165" formatCode="0.0%"/>
    <numFmt numFmtId="166" formatCode="0.0000"/>
    <numFmt numFmtId="167" formatCode="0.0000000000000000000"/>
    <numFmt numFmtId="168" formatCode="0.000000000"/>
    <numFmt numFmtId="169" formatCode="0.0"/>
    <numFmt numFmtId="170" formatCode="#\ ??/16"/>
    <numFmt numFmtId="171" formatCode="###0.0;###0.0"/>
    <numFmt numFmtId="172" formatCode="###0.00;###0.00"/>
    <numFmt numFmtId="173" formatCode="#,##0.0"/>
    <numFmt numFmtId="174" formatCode="0.00_ "/>
    <numFmt numFmtId="175" formatCode="0.0000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444444"/>
      <name val="Courier New"/>
      <family val="3"/>
    </font>
    <font>
      <sz val="10"/>
      <color rgb="FF000000"/>
      <name val="Tahoma"/>
      <family val="2"/>
    </font>
    <font>
      <u/>
      <sz val="10"/>
      <color rgb="FF009900"/>
      <name val="Tahoma"/>
      <family val="2"/>
    </font>
    <font>
      <sz val="13"/>
      <color rgb="FF212529"/>
      <name val="Lato"/>
      <family val="2"/>
    </font>
    <font>
      <sz val="11"/>
      <color theme="0" tint="-0.1499984740745262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rgb="FF333333"/>
      <name val="Verdana"/>
      <family val="2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rgb="FF494949"/>
      <name val="Calibri"/>
      <family val="2"/>
    </font>
    <font>
      <i/>
      <sz val="11"/>
      <name val="Calibri"/>
      <family val="2"/>
      <scheme val="minor"/>
    </font>
    <font>
      <sz val="11"/>
      <color theme="0" tint="-4.9989318521683403E-2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rgb="FFE2E2E2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theme="0" tint="-0.14999847407452621"/>
      <name val="Arial"/>
      <family val="2"/>
    </font>
    <font>
      <b/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D7D7D7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0">
    <xf numFmtId="0" fontId="0" fillId="0" borderId="0" xfId="0"/>
    <xf numFmtId="0" fontId="0" fillId="0" borderId="8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2" borderId="0" xfId="0" applyFill="1" applyBorder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Alignment="1" applyProtection="1">
      <alignment horizontal="right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right"/>
    </xf>
    <xf numFmtId="0" fontId="0" fillId="2" borderId="1" xfId="0" applyFill="1" applyBorder="1" applyAlignment="1" applyProtection="1">
      <alignment horizontal="center"/>
    </xf>
    <xf numFmtId="0" fontId="0" fillId="2" borderId="6" xfId="0" applyFill="1" applyBorder="1" applyProtection="1"/>
    <xf numFmtId="0" fontId="0" fillId="2" borderId="8" xfId="0" applyFill="1" applyBorder="1" applyProtection="1"/>
    <xf numFmtId="0" fontId="0" fillId="2" borderId="8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10" xfId="0" applyFill="1" applyBorder="1" applyProtection="1"/>
    <xf numFmtId="1" fontId="0" fillId="2" borderId="10" xfId="0" applyNumberFormat="1" applyFill="1" applyBorder="1" applyProtection="1"/>
    <xf numFmtId="0" fontId="0" fillId="2" borderId="0" xfId="0" applyFill="1" applyBorder="1" applyAlignment="1" applyProtection="1">
      <alignment horizontal="center"/>
    </xf>
    <xf numFmtId="1" fontId="0" fillId="2" borderId="0" xfId="0" applyNumberFormat="1" applyFill="1" applyBorder="1" applyProtection="1"/>
    <xf numFmtId="1" fontId="1" fillId="2" borderId="7" xfId="0" applyNumberFormat="1" applyFont="1" applyFill="1" applyBorder="1" applyProtection="1"/>
    <xf numFmtId="1" fontId="1" fillId="2" borderId="10" xfId="0" applyNumberFormat="1" applyFont="1" applyFill="1" applyBorder="1" applyProtection="1"/>
    <xf numFmtId="1" fontId="1" fillId="2" borderId="2" xfId="0" applyNumberFormat="1" applyFont="1" applyFill="1" applyBorder="1" applyProtection="1"/>
    <xf numFmtId="1" fontId="1" fillId="2" borderId="3" xfId="0" applyNumberFormat="1" applyFont="1" applyFill="1" applyBorder="1" applyProtection="1"/>
    <xf numFmtId="1" fontId="0" fillId="2" borderId="5" xfId="0" applyNumberFormat="1" applyFont="1" applyFill="1" applyBorder="1" applyAlignment="1" applyProtection="1">
      <alignment horizontal="right"/>
    </xf>
    <xf numFmtId="1" fontId="1" fillId="2" borderId="7" xfId="0" applyNumberFormat="1" applyFont="1" applyFill="1" applyBorder="1" applyAlignment="1" applyProtection="1">
      <alignment horizontal="right"/>
    </xf>
    <xf numFmtId="0" fontId="0" fillId="2" borderId="8" xfId="0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Protection="1"/>
    <xf numFmtId="1" fontId="1" fillId="2" borderId="6" xfId="0" applyNumberFormat="1" applyFont="1" applyFill="1" applyBorder="1" applyProtection="1"/>
    <xf numFmtId="0" fontId="0" fillId="0" borderId="0" xfId="0" applyNumberFormat="1" applyProtection="1"/>
    <xf numFmtId="1" fontId="1" fillId="2" borderId="10" xfId="0" applyNumberFormat="1" applyFont="1" applyFill="1" applyBorder="1" applyAlignment="1" applyProtection="1">
      <alignment horizontal="right"/>
    </xf>
    <xf numFmtId="1" fontId="1" fillId="2" borderId="0" xfId="0" applyNumberFormat="1" applyFont="1" applyFill="1" applyBorder="1" applyProtection="1"/>
    <xf numFmtId="1" fontId="0" fillId="2" borderId="1" xfId="0" applyNumberFormat="1" applyFont="1" applyFill="1" applyBorder="1" applyAlignment="1" applyProtection="1">
      <alignment horizontal="right"/>
    </xf>
    <xf numFmtId="0" fontId="3" fillId="2" borderId="0" xfId="0" applyFont="1" applyFill="1" applyBorder="1" applyProtection="1"/>
    <xf numFmtId="1" fontId="0" fillId="2" borderId="1" xfId="0" applyNumberFormat="1" applyFill="1" applyBorder="1" applyAlignment="1" applyProtection="1">
      <alignment horizontal="right"/>
    </xf>
    <xf numFmtId="1" fontId="0" fillId="2" borderId="8" xfId="0" applyNumberFormat="1" applyFont="1" applyFill="1" applyBorder="1" applyProtection="1"/>
    <xf numFmtId="2" fontId="1" fillId="2" borderId="14" xfId="0" applyNumberFormat="1" applyFont="1" applyFill="1" applyBorder="1" applyProtection="1"/>
    <xf numFmtId="164" fontId="0" fillId="2" borderId="8" xfId="0" applyNumberFormat="1" applyFont="1" applyFill="1" applyBorder="1" applyProtection="1"/>
    <xf numFmtId="1" fontId="0" fillId="0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0" fillId="0" borderId="0" xfId="0" applyFill="1" applyBorder="1" applyAlignment="1" applyProtection="1">
      <alignment horizontal="right" indent="1"/>
    </xf>
    <xf numFmtId="1" fontId="0" fillId="0" borderId="0" xfId="0" applyNumberFormat="1" applyFill="1" applyBorder="1" applyAlignment="1" applyProtection="1">
      <alignment horizontal="right" indent="1"/>
    </xf>
    <xf numFmtId="1" fontId="1" fillId="0" borderId="0" xfId="0" applyNumberFormat="1" applyFont="1" applyFill="1" applyBorder="1" applyProtection="1"/>
    <xf numFmtId="1" fontId="0" fillId="0" borderId="0" xfId="0" applyNumberFormat="1" applyFont="1" applyFill="1" applyBorder="1" applyAlignment="1" applyProtection="1">
      <alignment horizontal="right"/>
    </xf>
    <xf numFmtId="0" fontId="0" fillId="2" borderId="1" xfId="0" applyFill="1" applyBorder="1" applyAlignment="1" applyProtection="1">
      <alignment horizontal="right" indent="1"/>
    </xf>
    <xf numFmtId="0" fontId="0" fillId="0" borderId="0" xfId="0" applyBorder="1" applyProtection="1"/>
    <xf numFmtId="1" fontId="0" fillId="2" borderId="13" xfId="0" applyNumberFormat="1" applyFont="1" applyFill="1" applyBorder="1" applyAlignment="1" applyProtection="1">
      <alignment horizontal="right" indent="1"/>
    </xf>
    <xf numFmtId="1" fontId="0" fillId="0" borderId="14" xfId="0" applyNumberFormat="1" applyFont="1" applyFill="1" applyBorder="1" applyProtection="1">
      <protection locked="0"/>
    </xf>
    <xf numFmtId="1" fontId="0" fillId="0" borderId="9" xfId="0" applyNumberFormat="1" applyFont="1" applyFill="1" applyBorder="1" applyAlignment="1" applyProtection="1">
      <alignment horizontal="right" indent="1"/>
      <protection locked="0"/>
    </xf>
    <xf numFmtId="0" fontId="3" fillId="2" borderId="6" xfId="0" applyFont="1" applyFill="1" applyBorder="1" applyProtection="1"/>
    <xf numFmtId="1" fontId="0" fillId="2" borderId="8" xfId="0" applyNumberFormat="1" applyFill="1" applyBorder="1" applyProtection="1"/>
    <xf numFmtId="0" fontId="0" fillId="0" borderId="8" xfId="0" applyBorder="1" applyProtection="1"/>
    <xf numFmtId="0" fontId="0" fillId="0" borderId="11" xfId="0" applyFill="1" applyBorder="1" applyProtection="1"/>
    <xf numFmtId="2" fontId="1" fillId="2" borderId="15" xfId="0" applyNumberFormat="1" applyFont="1" applyFill="1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0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8" xfId="0" applyFill="1" applyBorder="1" applyAlignment="1" applyProtection="1">
      <alignment horizontal="right" indent="1"/>
      <protection locked="0"/>
    </xf>
    <xf numFmtId="0" fontId="0" fillId="2" borderId="6" xfId="0" applyFill="1" applyBorder="1" applyAlignment="1" applyProtection="1">
      <alignment horizontal="right"/>
    </xf>
    <xf numFmtId="0" fontId="4" fillId="2" borderId="3" xfId="0" applyFont="1" applyFill="1" applyBorder="1" applyAlignment="1" applyProtection="1">
      <alignment horizontal="right"/>
    </xf>
    <xf numFmtId="1" fontId="1" fillId="2" borderId="8" xfId="0" applyNumberFormat="1" applyFont="1" applyFill="1" applyBorder="1" applyProtection="1"/>
    <xf numFmtId="1" fontId="0" fillId="2" borderId="7" xfId="0" applyNumberFormat="1" applyFont="1" applyFill="1" applyBorder="1" applyAlignment="1" applyProtection="1">
      <alignment horizontal="right" indent="1"/>
    </xf>
    <xf numFmtId="165" fontId="1" fillId="2" borderId="16" xfId="0" applyNumberFormat="1" applyFont="1" applyFill="1" applyBorder="1" applyProtection="1"/>
    <xf numFmtId="1" fontId="0" fillId="2" borderId="17" xfId="0" applyNumberFormat="1" applyFill="1" applyBorder="1" applyProtection="1"/>
    <xf numFmtId="1" fontId="1" fillId="2" borderId="17" xfId="0" applyNumberFormat="1" applyFont="1" applyFill="1" applyBorder="1" applyProtection="1"/>
    <xf numFmtId="1" fontId="1" fillId="2" borderId="18" xfId="0" applyNumberFormat="1" applyFont="1" applyFill="1" applyBorder="1" applyProtection="1"/>
    <xf numFmtId="1" fontId="0" fillId="0" borderId="8" xfId="0" applyNumberFormat="1" applyFont="1" applyFill="1" applyBorder="1" applyProtection="1">
      <protection locked="0"/>
    </xf>
    <xf numFmtId="1" fontId="1" fillId="2" borderId="17" xfId="0" applyNumberFormat="1" applyFont="1" applyFill="1" applyBorder="1" applyAlignment="1" applyProtection="1">
      <alignment horizontal="left"/>
    </xf>
    <xf numFmtId="1" fontId="0" fillId="2" borderId="8" xfId="0" applyNumberFormat="1" applyFill="1" applyBorder="1" applyAlignment="1" applyProtection="1">
      <alignment horizontal="right" indent="1"/>
    </xf>
    <xf numFmtId="0" fontId="3" fillId="2" borderId="2" xfId="0" applyFont="1" applyFill="1" applyBorder="1" applyProtection="1"/>
    <xf numFmtId="0" fontId="0" fillId="2" borderId="0" xfId="0" applyFill="1" applyBorder="1" applyAlignment="1" applyProtection="1">
      <alignment horizontal="right"/>
    </xf>
    <xf numFmtId="0" fontId="3" fillId="2" borderId="10" xfId="0" applyFont="1" applyFill="1" applyBorder="1" applyProtection="1"/>
    <xf numFmtId="0" fontId="5" fillId="0" borderId="0" xfId="0" applyFont="1"/>
    <xf numFmtId="0" fontId="6" fillId="0" borderId="0" xfId="0" applyFont="1"/>
    <xf numFmtId="166" fontId="0" fillId="0" borderId="0" xfId="0" applyNumberFormat="1" applyProtection="1"/>
    <xf numFmtId="167" fontId="0" fillId="0" borderId="0" xfId="0" applyNumberFormat="1" applyProtection="1"/>
    <xf numFmtId="0" fontId="8" fillId="0" borderId="0" xfId="0" applyFont="1"/>
    <xf numFmtId="168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9" fontId="1" fillId="2" borderId="7" xfId="0" applyNumberFormat="1" applyFont="1" applyFill="1" applyBorder="1" applyProtection="1"/>
    <xf numFmtId="169" fontId="0" fillId="0" borderId="8" xfId="0" applyNumberFormat="1" applyFont="1" applyFill="1" applyBorder="1" applyAlignment="1" applyProtection="1">
      <alignment horizontal="right"/>
      <protection locked="0"/>
    </xf>
    <xf numFmtId="1" fontId="3" fillId="2" borderId="10" xfId="0" applyNumberFormat="1" applyFont="1" applyFill="1" applyBorder="1" applyProtection="1"/>
    <xf numFmtId="0" fontId="0" fillId="2" borderId="14" xfId="0" applyFill="1" applyBorder="1" applyProtection="1"/>
    <xf numFmtId="0" fontId="0" fillId="2" borderId="8" xfId="0" applyFill="1" applyBorder="1" applyAlignment="1" applyProtection="1">
      <alignment horizontal="right"/>
    </xf>
    <xf numFmtId="13" fontId="0" fillId="0" borderId="8" xfId="0" applyNumberFormat="1" applyFill="1" applyBorder="1" applyProtection="1">
      <protection locked="0"/>
    </xf>
    <xf numFmtId="1" fontId="0" fillId="0" borderId="8" xfId="0" applyNumberFormat="1" applyFill="1" applyBorder="1" applyAlignment="1" applyProtection="1">
      <alignment horizontal="right"/>
      <protection locked="0"/>
    </xf>
    <xf numFmtId="1" fontId="0" fillId="0" borderId="8" xfId="0" applyNumberFormat="1" applyFill="1" applyBorder="1" applyProtection="1">
      <protection locked="0"/>
    </xf>
    <xf numFmtId="170" fontId="0" fillId="2" borderId="0" xfId="0" applyNumberFormat="1" applyFill="1" applyBorder="1" applyProtection="1"/>
    <xf numFmtId="2" fontId="0" fillId="2" borderId="0" xfId="0" applyNumberFormat="1" applyFill="1" applyBorder="1" applyProtection="1"/>
    <xf numFmtId="169" fontId="0" fillId="0" borderId="14" xfId="0" applyNumberFormat="1" applyFont="1" applyFill="1" applyBorder="1" applyProtection="1">
      <protection locked="0"/>
    </xf>
    <xf numFmtId="13" fontId="1" fillId="2" borderId="7" xfId="0" applyNumberFormat="1" applyFont="1" applyFill="1" applyBorder="1" applyAlignment="1" applyProtection="1">
      <alignment horizontal="right"/>
    </xf>
    <xf numFmtId="1" fontId="0" fillId="2" borderId="10" xfId="0" applyNumberFormat="1" applyFill="1" applyBorder="1" applyAlignment="1" applyProtection="1">
      <alignment horizontal="right"/>
    </xf>
    <xf numFmtId="0" fontId="0" fillId="2" borderId="2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1" fontId="1" fillId="2" borderId="15" xfId="0" applyNumberFormat="1" applyFont="1" applyFill="1" applyBorder="1" applyAlignment="1" applyProtection="1">
      <alignment horizontal="right"/>
    </xf>
    <xf numFmtId="1" fontId="1" fillId="2" borderId="14" xfId="0" applyNumberFormat="1" applyFont="1" applyFill="1" applyBorder="1" applyProtection="1"/>
    <xf numFmtId="164" fontId="1" fillId="2" borderId="15" xfId="0" applyNumberFormat="1" applyFont="1" applyFill="1" applyBorder="1" applyProtection="1"/>
    <xf numFmtId="2" fontId="0" fillId="2" borderId="7" xfId="0" applyNumberFormat="1" applyFill="1" applyBorder="1" applyAlignment="1" applyProtection="1">
      <alignment horizontal="right"/>
    </xf>
    <xf numFmtId="1" fontId="1" fillId="2" borderId="15" xfId="0" applyNumberFormat="1" applyFont="1" applyFill="1" applyBorder="1" applyProtection="1"/>
    <xf numFmtId="0" fontId="0" fillId="2" borderId="3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13" fontId="0" fillId="0" borderId="0" xfId="0" applyNumberFormat="1" applyProtection="1"/>
    <xf numFmtId="0" fontId="9" fillId="2" borderId="8" xfId="0" applyFont="1" applyFill="1" applyBorder="1" applyProtection="1"/>
    <xf numFmtId="0" fontId="9" fillId="2" borderId="0" xfId="0" applyFont="1" applyFill="1" applyBorder="1" applyProtection="1"/>
    <xf numFmtId="0" fontId="0" fillId="2" borderId="10" xfId="0" applyFill="1" applyBorder="1" applyAlignment="1" applyProtection="1">
      <alignment horizontal="right"/>
    </xf>
    <xf numFmtId="3" fontId="0" fillId="2" borderId="0" xfId="0" applyNumberFormat="1" applyFill="1" applyBorder="1" applyAlignment="1" applyProtection="1">
      <alignment horizontal="right" indent="1"/>
    </xf>
    <xf numFmtId="3" fontId="0" fillId="2" borderId="0" xfId="0" applyNumberFormat="1" applyFill="1" applyBorder="1" applyAlignment="1" applyProtection="1">
      <alignment horizontal="right"/>
    </xf>
    <xf numFmtId="3" fontId="1" fillId="2" borderId="7" xfId="0" applyNumberFormat="1" applyFont="1" applyFill="1" applyBorder="1" applyProtection="1"/>
    <xf numFmtId="169" fontId="1" fillId="2" borderId="2" xfId="0" applyNumberFormat="1" applyFont="1" applyFill="1" applyBorder="1" applyAlignment="1" applyProtection="1">
      <alignment horizontal="right"/>
    </xf>
    <xf numFmtId="3" fontId="0" fillId="3" borderId="3" xfId="0" applyNumberFormat="1" applyFill="1" applyBorder="1" applyProtection="1">
      <protection locked="0"/>
    </xf>
    <xf numFmtId="0" fontId="0" fillId="0" borderId="0" xfId="0" applyFont="1"/>
    <xf numFmtId="172" fontId="13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/>
    <xf numFmtId="0" fontId="0" fillId="2" borderId="22" xfId="0" applyFill="1" applyBorder="1" applyProtection="1"/>
    <xf numFmtId="169" fontId="0" fillId="0" borderId="0" xfId="0" applyNumberFormat="1" applyProtection="1">
      <protection locked="0"/>
    </xf>
    <xf numFmtId="0" fontId="0" fillId="2" borderId="0" xfId="0" applyFill="1" applyBorder="1" applyAlignment="1">
      <alignment horizontal="left" vertical="top"/>
    </xf>
    <xf numFmtId="169" fontId="13" fillId="2" borderId="23" xfId="0" applyNumberFormat="1" applyFont="1" applyFill="1" applyBorder="1" applyAlignment="1">
      <alignment horizontal="center" wrapText="1"/>
    </xf>
    <xf numFmtId="172" fontId="13" fillId="2" borderId="23" xfId="0" applyNumberFormat="1" applyFont="1" applyFill="1" applyBorder="1" applyAlignment="1">
      <alignment horizontal="left" wrapText="1"/>
    </xf>
    <xf numFmtId="169" fontId="13" fillId="2" borderId="26" xfId="0" applyNumberFormat="1" applyFont="1" applyFill="1" applyBorder="1" applyAlignment="1">
      <alignment horizontal="center" wrapText="1"/>
    </xf>
    <xf numFmtId="172" fontId="13" fillId="2" borderId="26" xfId="0" applyNumberFormat="1" applyFont="1" applyFill="1" applyBorder="1" applyAlignment="1">
      <alignment horizontal="left" wrapText="1"/>
    </xf>
    <xf numFmtId="169" fontId="13" fillId="2" borderId="24" xfId="0" applyNumberFormat="1" applyFont="1" applyFill="1" applyBorder="1" applyAlignment="1">
      <alignment horizontal="center" wrapText="1"/>
    </xf>
    <xf numFmtId="172" fontId="13" fillId="2" borderId="24" xfId="0" applyNumberFormat="1" applyFont="1" applyFill="1" applyBorder="1" applyAlignment="1">
      <alignment horizontal="left" wrapText="1"/>
    </xf>
    <xf numFmtId="169" fontId="13" fillId="2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/>
    <xf numFmtId="169" fontId="0" fillId="2" borderId="0" xfId="0" applyNumberFormat="1" applyFill="1"/>
    <xf numFmtId="0" fontId="0" fillId="2" borderId="0" xfId="0" applyFill="1"/>
    <xf numFmtId="169" fontId="10" fillId="2" borderId="0" xfId="0" applyNumberFormat="1" applyFont="1" applyFill="1" applyBorder="1" applyAlignment="1">
      <alignment horizontal="left"/>
    </xf>
    <xf numFmtId="0" fontId="10" fillId="2" borderId="29" xfId="0" applyFont="1" applyFill="1" applyBorder="1" applyAlignment="1">
      <alignment horizontal="left" vertical="top" wrapText="1"/>
    </xf>
    <xf numFmtId="171" fontId="12" fillId="2" borderId="31" xfId="0" applyNumberFormat="1" applyFont="1" applyFill="1" applyBorder="1" applyAlignment="1">
      <alignment horizontal="left" vertical="top" wrapText="1"/>
    </xf>
    <xf numFmtId="172" fontId="13" fillId="0" borderId="27" xfId="0" applyNumberFormat="1" applyFont="1" applyFill="1" applyBorder="1" applyAlignment="1">
      <alignment horizontal="left" wrapText="1"/>
    </xf>
    <xf numFmtId="172" fontId="13" fillId="0" borderId="10" xfId="0" applyNumberFormat="1" applyFont="1" applyFill="1" applyBorder="1" applyAlignment="1">
      <alignment horizontal="left" wrapText="1"/>
    </xf>
    <xf numFmtId="2" fontId="0" fillId="2" borderId="30" xfId="0" applyNumberFormat="1" applyFill="1" applyBorder="1" applyAlignment="1" applyProtection="1">
      <alignment horizontal="right"/>
    </xf>
    <xf numFmtId="2" fontId="1" fillId="2" borderId="0" xfId="0" applyNumberFormat="1" applyFont="1" applyFill="1" applyBorder="1" applyAlignment="1" applyProtection="1">
      <alignment horizontal="right"/>
    </xf>
    <xf numFmtId="0" fontId="1" fillId="2" borderId="6" xfId="0" applyFont="1" applyFill="1" applyBorder="1" applyAlignment="1" applyProtection="1">
      <alignment horizontal="left"/>
    </xf>
    <xf numFmtId="0" fontId="1" fillId="2" borderId="8" xfId="0" applyFont="1" applyFill="1" applyBorder="1" applyProtection="1"/>
    <xf numFmtId="2" fontId="0" fillId="0" borderId="0" xfId="0" applyNumberFormat="1"/>
    <xf numFmtId="0" fontId="14" fillId="0" borderId="0" xfId="0" applyFont="1"/>
    <xf numFmtId="169" fontId="0" fillId="0" borderId="0" xfId="0" applyNumberFormat="1" applyBorder="1" applyProtection="1">
      <protection locked="0"/>
    </xf>
    <xf numFmtId="2" fontId="0" fillId="2" borderId="8" xfId="0" applyNumberFormat="1" applyFill="1" applyBorder="1" applyProtection="1"/>
    <xf numFmtId="169" fontId="0" fillId="0" borderId="19" xfId="0" applyNumberFormat="1" applyBorder="1" applyProtection="1">
      <protection locked="0"/>
    </xf>
    <xf numFmtId="169" fontId="0" fillId="0" borderId="3" xfId="0" applyNumberFormat="1" applyBorder="1" applyProtection="1">
      <protection locked="0"/>
    </xf>
    <xf numFmtId="0" fontId="0" fillId="2" borderId="19" xfId="0" applyFill="1" applyBorder="1" applyProtection="1"/>
    <xf numFmtId="2" fontId="0" fillId="2" borderId="30" xfId="0" applyNumberFormat="1" applyFill="1" applyBorder="1" applyProtection="1"/>
    <xf numFmtId="0" fontId="0" fillId="3" borderId="8" xfId="0" applyFill="1" applyBorder="1" applyProtection="1">
      <protection locked="0"/>
    </xf>
    <xf numFmtId="2" fontId="1" fillId="2" borderId="8" xfId="0" applyNumberFormat="1" applyFont="1" applyFill="1" applyBorder="1" applyProtection="1"/>
    <xf numFmtId="169" fontId="1" fillId="2" borderId="7" xfId="0" applyNumberFormat="1" applyFont="1" applyFill="1" applyBorder="1" applyAlignment="1" applyProtection="1">
      <alignment horizontal="right"/>
    </xf>
    <xf numFmtId="0" fontId="0" fillId="2" borderId="1" xfId="0" applyFill="1" applyBorder="1" applyAlignment="1" applyProtection="1">
      <alignment horizontal="center" wrapText="1"/>
    </xf>
    <xf numFmtId="0" fontId="16" fillId="0" borderId="0" xfId="0" applyFont="1"/>
    <xf numFmtId="0" fontId="16" fillId="0" borderId="1" xfId="0" applyFont="1" applyBorder="1"/>
    <xf numFmtId="0" fontId="0" fillId="0" borderId="1" xfId="0" applyBorder="1" applyProtection="1"/>
    <xf numFmtId="0" fontId="0" fillId="0" borderId="1" xfId="0" applyBorder="1"/>
    <xf numFmtId="0" fontId="16" fillId="2" borderId="0" xfId="0" applyFont="1" applyFill="1" applyBorder="1" applyAlignment="1">
      <alignment horizontal="right"/>
    </xf>
    <xf numFmtId="0" fontId="16" fillId="2" borderId="6" xfId="0" applyNumberFormat="1" applyFont="1" applyFill="1" applyBorder="1"/>
    <xf numFmtId="164" fontId="0" fillId="2" borderId="0" xfId="0" applyNumberFormat="1" applyFill="1" applyBorder="1" applyProtection="1"/>
    <xf numFmtId="0" fontId="0" fillId="2" borderId="7" xfId="0" applyFill="1" applyBorder="1" applyProtection="1"/>
    <xf numFmtId="0" fontId="16" fillId="2" borderId="8" xfId="0" applyFont="1" applyFill="1" applyBorder="1" applyAlignment="1">
      <alignment horizontal="right"/>
    </xf>
    <xf numFmtId="0" fontId="16" fillId="2" borderId="9" xfId="0" applyNumberFormat="1" applyFont="1" applyFill="1" applyBorder="1"/>
    <xf numFmtId="0" fontId="0" fillId="0" borderId="0" xfId="0" applyFill="1" applyBorder="1" applyAlignment="1" applyProtection="1">
      <alignment horizontal="right"/>
      <protection locked="0"/>
    </xf>
    <xf numFmtId="2" fontId="1" fillId="2" borderId="0" xfId="0" applyNumberFormat="1" applyFont="1" applyFill="1" applyBorder="1" applyProtection="1"/>
    <xf numFmtId="0" fontId="1" fillId="2" borderId="0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right" indent="1"/>
    </xf>
    <xf numFmtId="0" fontId="0" fillId="2" borderId="0" xfId="0" applyFill="1" applyBorder="1" applyAlignment="1" applyProtection="1">
      <alignment horizontal="left" indent="1"/>
    </xf>
    <xf numFmtId="2" fontId="1" fillId="2" borderId="7" xfId="0" applyNumberFormat="1" applyFont="1" applyFill="1" applyBorder="1" applyAlignment="1" applyProtection="1">
      <alignment horizontal="right"/>
    </xf>
    <xf numFmtId="49" fontId="18" fillId="2" borderId="8" xfId="0" applyNumberFormat="1" applyFont="1" applyFill="1" applyBorder="1" applyAlignment="1" applyProtection="1">
      <alignment horizontal="left"/>
    </xf>
    <xf numFmtId="0" fontId="0" fillId="2" borderId="13" xfId="0" applyFill="1" applyBorder="1" applyAlignment="1" applyProtection="1">
      <alignment horizontal="right" indent="2"/>
    </xf>
    <xf numFmtId="2" fontId="0" fillId="2" borderId="9" xfId="0" applyNumberFormat="1" applyFill="1" applyBorder="1" applyAlignment="1" applyProtection="1">
      <alignment horizontal="right" indent="2"/>
    </xf>
    <xf numFmtId="0" fontId="0" fillId="2" borderId="12" xfId="0" applyFill="1" applyBorder="1" applyProtection="1"/>
    <xf numFmtId="49" fontId="19" fillId="2" borderId="15" xfId="0" applyNumberFormat="1" applyFont="1" applyFill="1" applyBorder="1" applyAlignment="1" applyProtection="1">
      <alignment horizontal="left"/>
    </xf>
    <xf numFmtId="0" fontId="0" fillId="2" borderId="19" xfId="0" applyFill="1" applyBorder="1" applyAlignment="1" applyProtection="1">
      <alignment horizontal="center"/>
    </xf>
    <xf numFmtId="169" fontId="0" fillId="2" borderId="21" xfId="0" applyNumberFormat="1" applyFill="1" applyBorder="1" applyAlignment="1" applyProtection="1">
      <alignment horizontal="right"/>
    </xf>
    <xf numFmtId="169" fontId="0" fillId="2" borderId="20" xfId="0" applyNumberFormat="1" applyFill="1" applyBorder="1" applyAlignment="1" applyProtection="1">
      <alignment horizontal="left"/>
    </xf>
    <xf numFmtId="3" fontId="18" fillId="3" borderId="8" xfId="0" applyNumberFormat="1" applyFont="1" applyFill="1" applyBorder="1" applyAlignment="1" applyProtection="1">
      <alignment horizontal="right"/>
      <protection locked="0"/>
    </xf>
    <xf numFmtId="0" fontId="20" fillId="0" borderId="0" xfId="0" applyFont="1"/>
    <xf numFmtId="169" fontId="1" fillId="2" borderId="21" xfId="0" applyNumberFormat="1" applyFont="1" applyFill="1" applyBorder="1" applyAlignment="1" applyProtection="1">
      <alignment horizontal="right"/>
    </xf>
    <xf numFmtId="3" fontId="0" fillId="3" borderId="19" xfId="0" applyNumberFormat="1" applyFill="1" applyBorder="1" applyProtection="1">
      <protection locked="0"/>
    </xf>
    <xf numFmtId="0" fontId="21" fillId="0" borderId="0" xfId="0" applyFont="1" applyProtection="1"/>
    <xf numFmtId="0" fontId="22" fillId="0" borderId="0" xfId="0" applyFont="1" applyProtection="1"/>
    <xf numFmtId="0" fontId="21" fillId="0" borderId="0" xfId="0" applyFont="1" applyAlignment="1" applyProtection="1">
      <alignment vertical="top"/>
    </xf>
    <xf numFmtId="2" fontId="1" fillId="2" borderId="10" xfId="0" applyNumberFormat="1" applyFont="1" applyFill="1" applyBorder="1" applyProtection="1"/>
    <xf numFmtId="2" fontId="0" fillId="2" borderId="5" xfId="0" applyNumberFormat="1" applyFont="1" applyFill="1" applyBorder="1" applyProtection="1"/>
    <xf numFmtId="169" fontId="1" fillId="2" borderId="10" xfId="0" applyNumberFormat="1" applyFont="1" applyFill="1" applyBorder="1" applyProtection="1"/>
    <xf numFmtId="169" fontId="1" fillId="2" borderId="32" xfId="0" applyNumberFormat="1" applyFont="1" applyFill="1" applyBorder="1" applyProtection="1"/>
    <xf numFmtId="169" fontId="1" fillId="2" borderId="10" xfId="0" applyNumberFormat="1" applyFont="1" applyFill="1" applyBorder="1" applyAlignment="1" applyProtection="1">
      <alignment horizontal="right"/>
    </xf>
    <xf numFmtId="0" fontId="0" fillId="2" borderId="33" xfId="0" applyFill="1" applyBorder="1" applyProtection="1"/>
    <xf numFmtId="169" fontId="9" fillId="2" borderId="0" xfId="0" applyNumberFormat="1" applyFont="1" applyFill="1" applyBorder="1" applyProtection="1"/>
    <xf numFmtId="0" fontId="22" fillId="2" borderId="8" xfId="0" applyFont="1" applyFill="1" applyBorder="1" applyProtection="1"/>
    <xf numFmtId="0" fontId="0" fillId="0" borderId="33" xfId="0" applyFill="1" applyBorder="1" applyProtection="1">
      <protection locked="0"/>
    </xf>
    <xf numFmtId="0" fontId="0" fillId="2" borderId="33" xfId="0" applyFill="1" applyBorder="1" applyAlignment="1" applyProtection="1">
      <alignment horizontal="center"/>
    </xf>
    <xf numFmtId="169" fontId="0" fillId="3" borderId="32" xfId="0" applyNumberFormat="1" applyFont="1" applyFill="1" applyBorder="1" applyProtection="1">
      <protection locked="0"/>
    </xf>
    <xf numFmtId="13" fontId="0" fillId="2" borderId="2" xfId="0" applyNumberFormat="1" applyFill="1" applyBorder="1" applyProtection="1"/>
    <xf numFmtId="2" fontId="15" fillId="2" borderId="0" xfId="0" applyNumberFormat="1" applyFont="1" applyFill="1" applyBorder="1" applyProtection="1"/>
    <xf numFmtId="0" fontId="17" fillId="2" borderId="1" xfId="0" applyFont="1" applyFill="1" applyBorder="1"/>
    <xf numFmtId="0" fontId="0" fillId="2" borderId="13" xfId="0" applyFill="1" applyBorder="1" applyProtection="1"/>
    <xf numFmtId="0" fontId="23" fillId="0" borderId="0" xfId="0" applyFont="1" applyProtection="1"/>
    <xf numFmtId="0" fontId="24" fillId="0" borderId="0" xfId="0" applyFont="1" applyProtection="1"/>
    <xf numFmtId="0" fontId="0" fillId="2" borderId="1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right" indent="1"/>
    </xf>
    <xf numFmtId="0" fontId="0" fillId="0" borderId="0" xfId="0" applyBorder="1"/>
    <xf numFmtId="0" fontId="25" fillId="0" borderId="0" xfId="0" applyFont="1" applyBorder="1"/>
    <xf numFmtId="0" fontId="0" fillId="2" borderId="13" xfId="0" applyFill="1" applyBorder="1" applyAlignment="1" applyProtection="1">
      <alignment horizontal="right"/>
    </xf>
    <xf numFmtId="0" fontId="0" fillId="0" borderId="9" xfId="0" applyFill="1" applyBorder="1" applyProtection="1">
      <protection locked="0"/>
    </xf>
    <xf numFmtId="169" fontId="1" fillId="2" borderId="7" xfId="0" applyNumberFormat="1" applyFont="1" applyFill="1" applyBorder="1" applyAlignment="1" applyProtection="1">
      <alignment horizontal="right" vertical="top"/>
    </xf>
    <xf numFmtId="0" fontId="0" fillId="2" borderId="4" xfId="0" applyFill="1" applyBorder="1" applyAlignment="1" applyProtection="1">
      <alignment horizontal="right"/>
    </xf>
    <xf numFmtId="0" fontId="0" fillId="3" borderId="19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9" xfId="0" applyFill="1" applyBorder="1" applyAlignment="1" applyProtection="1">
      <alignment vertical="top"/>
    </xf>
    <xf numFmtId="173" fontId="1" fillId="2" borderId="15" xfId="0" applyNumberFormat="1" applyFont="1" applyFill="1" applyBorder="1" applyAlignment="1" applyProtection="1">
      <alignment horizontal="right"/>
    </xf>
    <xf numFmtId="173" fontId="1" fillId="2" borderId="14" xfId="0" applyNumberFormat="1" applyFont="1" applyFill="1" applyBorder="1" applyAlignment="1">
      <alignment horizontal="right"/>
    </xf>
    <xf numFmtId="0" fontId="4" fillId="2" borderId="10" xfId="0" applyFont="1" applyFill="1" applyBorder="1" applyAlignment="1" applyProtection="1">
      <alignment horizontal="right"/>
    </xf>
    <xf numFmtId="0" fontId="0" fillId="2" borderId="10" xfId="0" applyFill="1" applyBorder="1" applyAlignment="1" applyProtection="1">
      <alignment horizontal="left"/>
    </xf>
    <xf numFmtId="0" fontId="1" fillId="2" borderId="7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>
      <alignment horizontal="right"/>
    </xf>
    <xf numFmtId="0" fontId="4" fillId="2" borderId="8" xfId="0" applyFont="1" applyFill="1" applyBorder="1" applyProtection="1"/>
    <xf numFmtId="2" fontId="0" fillId="0" borderId="8" xfId="0" applyNumberFormat="1" applyFill="1" applyBorder="1" applyProtection="1">
      <protection locked="0"/>
    </xf>
    <xf numFmtId="3" fontId="0" fillId="0" borderId="8" xfId="0" applyNumberFormat="1" applyFill="1" applyBorder="1" applyProtection="1">
      <protection locked="0"/>
    </xf>
    <xf numFmtId="173" fontId="1" fillId="2" borderId="7" xfId="0" applyNumberFormat="1" applyFont="1" applyFill="1" applyBorder="1" applyAlignment="1" applyProtection="1">
      <alignment horizontal="right"/>
    </xf>
    <xf numFmtId="0" fontId="21" fillId="2" borderId="8" xfId="0" applyFont="1" applyFill="1" applyBorder="1" applyProtection="1"/>
    <xf numFmtId="0" fontId="22" fillId="2" borderId="0" xfId="0" applyFont="1" applyFill="1" applyBorder="1" applyProtection="1"/>
    <xf numFmtId="0" fontId="22" fillId="2" borderId="3" xfId="0" applyFont="1" applyFill="1" applyBorder="1" applyProtection="1"/>
    <xf numFmtId="0" fontId="0" fillId="0" borderId="14" xfId="0" applyFill="1" applyBorder="1" applyProtection="1">
      <protection locked="0"/>
    </xf>
    <xf numFmtId="0" fontId="0" fillId="2" borderId="14" xfId="0" applyFill="1" applyBorder="1" applyAlignment="1" applyProtection="1">
      <alignment horizontal="center"/>
    </xf>
    <xf numFmtId="0" fontId="0" fillId="0" borderId="12" xfId="0" applyFill="1" applyBorder="1" applyProtection="1">
      <protection locked="0"/>
    </xf>
    <xf numFmtId="0" fontId="26" fillId="0" borderId="0" xfId="0" applyFont="1" applyProtection="1"/>
    <xf numFmtId="1" fontId="0" fillId="2" borderId="0" xfId="0" applyNumberFormat="1" applyFill="1" applyBorder="1" applyAlignment="1" applyProtection="1">
      <alignment horizontal="right" indent="1"/>
    </xf>
    <xf numFmtId="1" fontId="0" fillId="2" borderId="0" xfId="0" applyNumberFormat="1" applyFont="1" applyFill="1" applyBorder="1" applyProtection="1"/>
    <xf numFmtId="1" fontId="0" fillId="2" borderId="0" xfId="0" applyNumberFormat="1" applyFont="1" applyFill="1" applyBorder="1" applyAlignment="1" applyProtection="1">
      <alignment horizontal="right"/>
    </xf>
    <xf numFmtId="1" fontId="0" fillId="2" borderId="0" xfId="0" applyNumberFormat="1" applyFill="1" applyBorder="1" applyAlignment="1" applyProtection="1">
      <alignment horizontal="right"/>
    </xf>
    <xf numFmtId="0" fontId="29" fillId="2" borderId="0" xfId="0" applyFont="1" applyFill="1" applyBorder="1" applyProtection="1"/>
    <xf numFmtId="0" fontId="3" fillId="0" borderId="0" xfId="0" applyFont="1"/>
    <xf numFmtId="1" fontId="29" fillId="2" borderId="0" xfId="0" applyNumberFormat="1" applyFont="1" applyFill="1" applyBorder="1" applyProtection="1"/>
    <xf numFmtId="1" fontId="1" fillId="2" borderId="0" xfId="0" applyNumberFormat="1" applyFont="1" applyFill="1" applyBorder="1" applyAlignment="1" applyProtection="1">
      <alignment horizontal="left"/>
    </xf>
    <xf numFmtId="164" fontId="30" fillId="2" borderId="0" xfId="0" applyNumberFormat="1" applyFont="1" applyFill="1" applyBorder="1" applyAlignment="1" applyProtection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10" xfId="0" applyBorder="1"/>
    <xf numFmtId="0" fontId="0" fillId="0" borderId="0" xfId="0" quotePrefix="1" applyBorder="1"/>
    <xf numFmtId="0" fontId="0" fillId="0" borderId="6" xfId="0" applyBorder="1"/>
    <xf numFmtId="0" fontId="3" fillId="0" borderId="10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1" fontId="0" fillId="2" borderId="0" xfId="0" applyNumberFormat="1" applyFont="1" applyFill="1" applyBorder="1" applyAlignment="1" applyProtection="1">
      <alignment horizontal="left"/>
    </xf>
    <xf numFmtId="1" fontId="28" fillId="2" borderId="0" xfId="0" applyNumberFormat="1" applyFont="1" applyFill="1" applyBorder="1" applyAlignment="1" applyProtection="1">
      <alignment horizontal="right"/>
    </xf>
    <xf numFmtId="1" fontId="0" fillId="2" borderId="10" xfId="0" applyNumberFormat="1" applyFont="1" applyFill="1" applyBorder="1" applyProtection="1"/>
    <xf numFmtId="1" fontId="4" fillId="2" borderId="8" xfId="0" applyNumberFormat="1" applyFont="1" applyFill="1" applyBorder="1" applyAlignment="1" applyProtection="1">
      <alignment horizontal="right"/>
    </xf>
    <xf numFmtId="1" fontId="1" fillId="2" borderId="9" xfId="0" applyNumberFormat="1" applyFont="1" applyFill="1" applyBorder="1" applyProtection="1"/>
    <xf numFmtId="0" fontId="29" fillId="2" borderId="0" xfId="0" applyFont="1" applyFill="1" applyBorder="1" applyAlignment="1" applyProtection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left"/>
    </xf>
    <xf numFmtId="0" fontId="1" fillId="2" borderId="0" xfId="0" applyFont="1" applyFill="1" applyBorder="1" applyAlignment="1" applyProtection="1">
      <alignment horizontal="left" indent="1"/>
    </xf>
    <xf numFmtId="0" fontId="0" fillId="3" borderId="0" xfId="0" applyFill="1" applyBorder="1" applyProtection="1">
      <protection locked="0"/>
    </xf>
    <xf numFmtId="1" fontId="0" fillId="3" borderId="0" xfId="0" applyNumberFormat="1" applyFont="1" applyFill="1" applyBorder="1" applyProtection="1">
      <protection locked="0"/>
    </xf>
    <xf numFmtId="0" fontId="0" fillId="2" borderId="0" xfId="0" applyFill="1" applyProtection="1"/>
    <xf numFmtId="0" fontId="0" fillId="3" borderId="8" xfId="0" applyFont="1" applyFill="1" applyBorder="1" applyAlignment="1" applyProtection="1">
      <alignment horizontal="right"/>
      <protection locked="0"/>
    </xf>
    <xf numFmtId="0" fontId="29" fillId="2" borderId="0" xfId="0" applyFont="1" applyFill="1" applyBorder="1" applyAlignment="1" applyProtection="1">
      <alignment horizontal="right"/>
    </xf>
    <xf numFmtId="0" fontId="0" fillId="3" borderId="10" xfId="0" applyFill="1" applyBorder="1" applyProtection="1">
      <protection locked="0"/>
    </xf>
    <xf numFmtId="0" fontId="0" fillId="3" borderId="0" xfId="0" applyFill="1" applyBorder="1" applyAlignment="1" applyProtection="1">
      <alignment horizontal="right"/>
      <protection locked="0"/>
    </xf>
    <xf numFmtId="0" fontId="21" fillId="2" borderId="0" xfId="0" applyFont="1" applyFill="1" applyBorder="1" applyProtection="1"/>
    <xf numFmtId="0" fontId="21" fillId="2" borderId="0" xfId="0" applyFont="1" applyFill="1" applyBorder="1" applyAlignment="1" applyProtection="1">
      <alignment horizontal="left"/>
    </xf>
    <xf numFmtId="0" fontId="29" fillId="2" borderId="3" xfId="0" applyFont="1" applyFill="1" applyBorder="1" applyAlignment="1" applyProtection="1">
      <alignment horizontal="right"/>
    </xf>
    <xf numFmtId="0" fontId="29" fillId="4" borderId="2" xfId="0" applyFont="1" applyFill="1" applyBorder="1" applyAlignment="1" applyProtection="1">
      <alignment horizontal="right"/>
    </xf>
    <xf numFmtId="0" fontId="0" fillId="4" borderId="3" xfId="0" applyFill="1" applyBorder="1" applyProtection="1"/>
    <xf numFmtId="0" fontId="29" fillId="4" borderId="3" xfId="0" applyFont="1" applyFill="1" applyBorder="1" applyAlignment="1" applyProtection="1">
      <alignment horizontal="right"/>
    </xf>
    <xf numFmtId="0" fontId="0" fillId="4" borderId="4" xfId="0" applyFill="1" applyBorder="1" applyProtection="1"/>
    <xf numFmtId="169" fontId="31" fillId="4" borderId="7" xfId="0" applyNumberFormat="1" applyFont="1" applyFill="1" applyBorder="1" applyProtection="1"/>
    <xf numFmtId="0" fontId="0" fillId="4" borderId="8" xfId="0" applyFill="1" applyBorder="1" applyProtection="1"/>
    <xf numFmtId="169" fontId="31" fillId="4" borderId="8" xfId="0" applyNumberFormat="1" applyFont="1" applyFill="1" applyBorder="1" applyProtection="1"/>
    <xf numFmtId="0" fontId="0" fillId="4" borderId="9" xfId="0" applyFill="1" applyBorder="1" applyProtection="1"/>
    <xf numFmtId="169" fontId="31" fillId="4" borderId="7" xfId="0" applyNumberFormat="1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0" fillId="2" borderId="10" xfId="0" applyFill="1" applyBorder="1"/>
    <xf numFmtId="0" fontId="0" fillId="2" borderId="21" xfId="0" applyFill="1" applyBorder="1"/>
    <xf numFmtId="0" fontId="0" fillId="2" borderId="15" xfId="0" applyFill="1" applyBorder="1"/>
    <xf numFmtId="1" fontId="0" fillId="2" borderId="2" xfId="0" applyNumberFormat="1" applyFill="1" applyBorder="1" applyProtection="1"/>
    <xf numFmtId="0" fontId="21" fillId="0" borderId="0" xfId="0" applyFont="1" applyFill="1" applyBorder="1" applyAlignment="1" applyProtection="1">
      <alignment horizontal="left"/>
    </xf>
    <xf numFmtId="0" fontId="21" fillId="0" borderId="0" xfId="0" applyFont="1" applyFill="1" applyBorder="1" applyProtection="1"/>
    <xf numFmtId="1" fontId="0" fillId="2" borderId="3" xfId="0" applyNumberFormat="1" applyFill="1" applyBorder="1" applyProtection="1"/>
    <xf numFmtId="1" fontId="1" fillId="2" borderId="0" xfId="0" applyNumberFormat="1" applyFont="1" applyFill="1" applyBorder="1" applyAlignment="1" applyProtection="1">
      <alignment horizontal="left" indent="4"/>
    </xf>
    <xf numFmtId="0" fontId="0" fillId="2" borderId="6" xfId="0" applyFill="1" applyBorder="1"/>
    <xf numFmtId="1" fontId="29" fillId="2" borderId="0" xfId="0" applyNumberFormat="1" applyFont="1" applyFill="1" applyBorder="1" applyAlignment="1" applyProtection="1">
      <alignment horizontal="center"/>
    </xf>
    <xf numFmtId="1" fontId="29" fillId="2" borderId="0" xfId="0" applyNumberFormat="1" applyFont="1" applyFill="1" applyBorder="1" applyAlignment="1" applyProtection="1">
      <alignment horizontal="left"/>
    </xf>
    <xf numFmtId="0" fontId="29" fillId="2" borderId="0" xfId="0" applyFont="1" applyFill="1" applyBorder="1" applyAlignment="1" applyProtection="1">
      <alignment horizontal="left"/>
    </xf>
    <xf numFmtId="1" fontId="0" fillId="2" borderId="1" xfId="0" applyNumberFormat="1" applyFill="1" applyBorder="1" applyAlignment="1" applyProtection="1">
      <alignment horizontal="center"/>
    </xf>
    <xf numFmtId="1" fontId="0" fillId="2" borderId="0" xfId="0" applyNumberFormat="1" applyFill="1" applyBorder="1" applyAlignment="1" applyProtection="1">
      <alignment horizontal="left"/>
    </xf>
    <xf numFmtId="0" fontId="32" fillId="2" borderId="0" xfId="0" applyFont="1" applyFill="1" applyAlignment="1" applyProtection="1">
      <alignment horizontal="center"/>
    </xf>
    <xf numFmtId="0" fontId="29" fillId="2" borderId="0" xfId="0" applyFont="1" applyFill="1" applyBorder="1" applyAlignment="1" applyProtection="1">
      <alignment horizontal="left" indent="2"/>
    </xf>
    <xf numFmtId="1" fontId="1" fillId="2" borderId="0" xfId="0" applyNumberFormat="1" applyFont="1" applyFill="1" applyBorder="1" applyAlignment="1" applyProtection="1">
      <alignment horizontal="left" indent="2"/>
    </xf>
    <xf numFmtId="0" fontId="1" fillId="2" borderId="0" xfId="0" applyFont="1" applyFill="1" applyBorder="1" applyAlignment="1" applyProtection="1">
      <alignment horizontal="left" indent="2"/>
    </xf>
    <xf numFmtId="0" fontId="0" fillId="0" borderId="11" xfId="0" applyFill="1" applyBorder="1"/>
    <xf numFmtId="1" fontId="0" fillId="2" borderId="0" xfId="0" applyNumberFormat="1" applyFill="1" applyBorder="1" applyAlignment="1" applyProtection="1">
      <alignment horizontal="center"/>
    </xf>
    <xf numFmtId="0" fontId="0" fillId="4" borderId="3" xfId="0" applyFill="1" applyBorder="1" applyAlignment="1" applyProtection="1">
      <alignment vertical="center"/>
    </xf>
    <xf numFmtId="0" fontId="0" fillId="4" borderId="4" xfId="0" applyFill="1" applyBorder="1" applyAlignment="1" applyProtection="1">
      <alignment vertical="center"/>
    </xf>
    <xf numFmtId="0" fontId="0" fillId="4" borderId="10" xfId="0" applyFill="1" applyBorder="1" applyAlignment="1" applyProtection="1">
      <alignment vertical="center"/>
    </xf>
    <xf numFmtId="0" fontId="0" fillId="4" borderId="0" xfId="0" applyFill="1" applyBorder="1" applyAlignment="1" applyProtection="1">
      <alignment vertical="center"/>
    </xf>
    <xf numFmtId="0" fontId="0" fillId="4" borderId="6" xfId="0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vertical="center"/>
    </xf>
    <xf numFmtId="0" fontId="35" fillId="4" borderId="34" xfId="0" applyFont="1" applyFill="1" applyBorder="1" applyAlignment="1" applyProtection="1"/>
    <xf numFmtId="0" fontId="35" fillId="4" borderId="34" xfId="0" applyFont="1" applyFill="1" applyBorder="1" applyAlignment="1" applyProtection="1">
      <alignment horizontal="center"/>
    </xf>
    <xf numFmtId="0" fontId="35" fillId="4" borderId="11" xfId="0" applyFont="1" applyFill="1" applyBorder="1" applyAlignment="1" applyProtection="1">
      <alignment horizontal="center"/>
    </xf>
    <xf numFmtId="164" fontId="0" fillId="4" borderId="34" xfId="0" applyNumberFormat="1" applyFill="1" applyBorder="1" applyAlignment="1" applyProtection="1">
      <alignment vertical="center"/>
    </xf>
    <xf numFmtId="164" fontId="0" fillId="4" borderId="11" xfId="0" applyNumberFormat="1" applyFill="1" applyBorder="1" applyAlignment="1" applyProtection="1">
      <alignment vertical="center"/>
    </xf>
    <xf numFmtId="0" fontId="0" fillId="4" borderId="34" xfId="0" applyFill="1" applyBorder="1" applyAlignment="1" applyProtection="1">
      <alignment vertical="center"/>
    </xf>
    <xf numFmtId="0" fontId="0" fillId="4" borderId="34" xfId="0" applyFill="1" applyBorder="1" applyAlignment="1" applyProtection="1">
      <alignment horizontal="right" vertical="center" indent="1"/>
    </xf>
    <xf numFmtId="0" fontId="36" fillId="4" borderId="34" xfId="0" applyFont="1" applyFill="1" applyBorder="1" applyAlignment="1" applyProtection="1"/>
    <xf numFmtId="2" fontId="0" fillId="4" borderId="34" xfId="0" applyNumberFormat="1" applyFill="1" applyBorder="1" applyAlignment="1" applyProtection="1">
      <alignment horizontal="right" vertical="center" indent="1"/>
    </xf>
    <xf numFmtId="174" fontId="0" fillId="4" borderId="34" xfId="0" applyNumberFormat="1" applyFill="1" applyBorder="1" applyAlignment="1" applyProtection="1">
      <alignment horizontal="right" vertical="center" indent="1"/>
    </xf>
    <xf numFmtId="0" fontId="33" fillId="4" borderId="34" xfId="0" applyFont="1" applyFill="1" applyBorder="1" applyAlignment="1" applyProtection="1">
      <alignment vertical="center"/>
    </xf>
    <xf numFmtId="164" fontId="0" fillId="4" borderId="34" xfId="0" applyNumberFormat="1" applyFill="1" applyBorder="1" applyAlignment="1" applyProtection="1">
      <alignment horizontal="right" vertical="center" indent="1"/>
    </xf>
    <xf numFmtId="0" fontId="33" fillId="4" borderId="21" xfId="0" applyFont="1" applyFill="1" applyBorder="1" applyAlignment="1" applyProtection="1">
      <alignment vertical="center"/>
    </xf>
    <xf numFmtId="0" fontId="33" fillId="4" borderId="0" xfId="0" applyFont="1" applyFill="1" applyBorder="1" applyAlignment="1" applyProtection="1">
      <alignment horizontal="right" vertical="center"/>
    </xf>
    <xf numFmtId="0" fontId="22" fillId="4" borderId="0" xfId="0" applyFont="1" applyFill="1" applyBorder="1" applyAlignment="1" applyProtection="1">
      <alignment horizontal="left" vertical="center" indent="1"/>
    </xf>
    <xf numFmtId="0" fontId="0" fillId="4" borderId="7" xfId="0" applyFill="1" applyBorder="1" applyAlignment="1" applyProtection="1">
      <alignment vertical="center"/>
    </xf>
    <xf numFmtId="0" fontId="0" fillId="4" borderId="8" xfId="0" applyFill="1" applyBorder="1" applyAlignment="1" applyProtection="1">
      <alignment vertical="center"/>
    </xf>
    <xf numFmtId="0" fontId="0" fillId="4" borderId="9" xfId="0" applyFill="1" applyBorder="1" applyAlignment="1" applyProtection="1">
      <alignment vertical="center"/>
    </xf>
    <xf numFmtId="0" fontId="0" fillId="4" borderId="8" xfId="0" applyFill="1" applyBorder="1" applyAlignment="1" applyProtection="1">
      <alignment horizontal="right" vertical="center"/>
    </xf>
    <xf numFmtId="0" fontId="39" fillId="4" borderId="11" xfId="0" applyFont="1" applyFill="1" applyBorder="1" applyAlignment="1" applyProtection="1">
      <alignment horizontal="center"/>
    </xf>
    <xf numFmtId="174" fontId="39" fillId="4" borderId="11" xfId="0" applyNumberFormat="1" applyFont="1" applyFill="1" applyBorder="1" applyAlignment="1" applyProtection="1">
      <alignment horizontal="center"/>
    </xf>
    <xf numFmtId="174" fontId="40" fillId="4" borderId="0" xfId="0" applyNumberFormat="1" applyFont="1" applyFill="1" applyBorder="1" applyAlignment="1" applyProtection="1">
      <alignment vertical="center"/>
    </xf>
    <xf numFmtId="174" fontId="39" fillId="4" borderId="10" xfId="0" applyNumberFormat="1" applyFont="1" applyFill="1" applyBorder="1" applyAlignment="1" applyProtection="1">
      <alignment horizontal="center"/>
    </xf>
    <xf numFmtId="164" fontId="40" fillId="4" borderId="0" xfId="0" applyNumberFormat="1" applyFont="1" applyFill="1" applyBorder="1" applyAlignment="1" applyProtection="1">
      <alignment vertical="center"/>
    </xf>
    <xf numFmtId="0" fontId="40" fillId="4" borderId="0" xfId="0" applyFont="1" applyFill="1" applyBorder="1" applyAlignment="1" applyProtection="1">
      <alignment vertical="center"/>
    </xf>
    <xf numFmtId="0" fontId="40" fillId="4" borderId="10" xfId="0" applyFont="1" applyFill="1" applyBorder="1" applyAlignment="1" applyProtection="1">
      <alignment vertical="center"/>
    </xf>
    <xf numFmtId="0" fontId="35" fillId="5" borderId="34" xfId="0" applyFont="1" applyFill="1" applyBorder="1" applyAlignment="1" applyProtection="1">
      <alignment horizontal="right" indent="1"/>
      <protection locked="0"/>
    </xf>
    <xf numFmtId="0" fontId="0" fillId="5" borderId="34" xfId="0" applyFill="1" applyBorder="1" applyAlignment="1" applyProtection="1">
      <alignment horizontal="right" vertical="center" indent="1"/>
      <protection locked="0"/>
    </xf>
    <xf numFmtId="2" fontId="0" fillId="5" borderId="34" xfId="0" applyNumberFormat="1" applyFill="1" applyBorder="1" applyAlignment="1" applyProtection="1">
      <alignment horizontal="right" vertical="center" indent="1"/>
      <protection locked="0"/>
    </xf>
    <xf numFmtId="174" fontId="40" fillId="4" borderId="11" xfId="0" applyNumberFormat="1" applyFont="1" applyFill="1" applyBorder="1" applyAlignment="1" applyProtection="1">
      <alignment vertical="center"/>
    </xf>
    <xf numFmtId="0" fontId="40" fillId="4" borderId="6" xfId="0" applyFont="1" applyFill="1" applyBorder="1" applyAlignment="1" applyProtection="1">
      <alignment vertical="center"/>
    </xf>
    <xf numFmtId="166" fontId="40" fillId="4" borderId="11" xfId="0" applyNumberFormat="1" applyFont="1" applyFill="1" applyBorder="1" applyAlignment="1" applyProtection="1">
      <alignment vertical="center"/>
    </xf>
    <xf numFmtId="0" fontId="0" fillId="4" borderId="11" xfId="0" applyFill="1" applyBorder="1" applyAlignment="1" applyProtection="1">
      <alignment vertical="center"/>
    </xf>
    <xf numFmtId="0" fontId="37" fillId="4" borderId="6" xfId="0" applyFont="1" applyFill="1" applyBorder="1" applyAlignment="1" applyProtection="1">
      <alignment vertical="center"/>
    </xf>
    <xf numFmtId="175" fontId="0" fillId="4" borderId="34" xfId="0" applyNumberFormat="1" applyFill="1" applyBorder="1" applyAlignment="1" applyProtection="1">
      <alignment horizontal="right" vertical="center" indent="1"/>
    </xf>
    <xf numFmtId="0" fontId="34" fillId="4" borderId="2" xfId="0" applyFont="1" applyFill="1" applyBorder="1" applyAlignment="1" applyProtection="1">
      <alignment horizontal="left" vertical="center" indent="1"/>
    </xf>
    <xf numFmtId="0" fontId="0" fillId="4" borderId="10" xfId="0" applyFill="1" applyBorder="1" applyAlignment="1" applyProtection="1">
      <alignment horizontal="left" vertical="center" indent="1"/>
    </xf>
    <xf numFmtId="0" fontId="0" fillId="4" borderId="0" xfId="0" applyFill="1" applyBorder="1" applyAlignment="1" applyProtection="1">
      <alignment horizontal="right" vertical="center"/>
    </xf>
    <xf numFmtId="0" fontId="18" fillId="4" borderId="0" xfId="0" applyFont="1" applyFill="1" applyBorder="1" applyAlignment="1" applyProtection="1">
      <alignment horizontal="right" vertical="center"/>
    </xf>
    <xf numFmtId="0" fontId="0" fillId="4" borderId="0" xfId="0" applyFill="1" applyBorder="1" applyAlignment="1" applyProtection="1">
      <alignment horizontal="left" vertical="center" indent="1"/>
    </xf>
    <xf numFmtId="0" fontId="1" fillId="5" borderId="34" xfId="0" applyFont="1" applyFill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horizontal="right" vertical="center"/>
    </xf>
    <xf numFmtId="173" fontId="1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Protection="1"/>
    <xf numFmtId="173" fontId="1" fillId="4" borderId="0" xfId="0" applyNumberFormat="1" applyFont="1" applyFill="1" applyProtection="1"/>
    <xf numFmtId="173" fontId="1" fillId="4" borderId="0" xfId="0" applyNumberFormat="1" applyFont="1" applyFill="1" applyBorder="1" applyProtection="1"/>
    <xf numFmtId="169" fontId="1" fillId="4" borderId="0" xfId="0" applyNumberFormat="1" applyFont="1" applyFill="1" applyBorder="1" applyProtection="1"/>
    <xf numFmtId="169" fontId="1" fillId="4" borderId="0" xfId="0" applyNumberFormat="1" applyFont="1" applyFill="1" applyBorder="1" applyAlignment="1" applyProtection="1">
      <alignment vertical="center"/>
    </xf>
    <xf numFmtId="0" fontId="0" fillId="4" borderId="2" xfId="0" applyFill="1" applyBorder="1" applyAlignment="1" applyProtection="1">
      <alignment vertical="center"/>
    </xf>
    <xf numFmtId="0" fontId="1" fillId="4" borderId="3" xfId="0" applyFont="1" applyFill="1" applyBorder="1" applyAlignment="1" applyProtection="1">
      <alignment vertical="center"/>
    </xf>
    <xf numFmtId="173" fontId="0" fillId="0" borderId="0" xfId="0" applyNumberFormat="1" applyProtection="1"/>
    <xf numFmtId="0" fontId="14" fillId="4" borderId="0" xfId="0" applyFont="1" applyFill="1" applyBorder="1" applyAlignment="1" applyProtection="1">
      <alignment vertical="center"/>
    </xf>
    <xf numFmtId="169" fontId="1" fillId="4" borderId="8" xfId="0" applyNumberFormat="1" applyFont="1" applyFill="1" applyBorder="1" applyAlignment="1" applyProtection="1">
      <alignment vertical="center"/>
    </xf>
    <xf numFmtId="0" fontId="22" fillId="4" borderId="8" xfId="0" applyFont="1" applyFill="1" applyBorder="1" applyAlignment="1" applyProtection="1">
      <alignment horizontal="left" vertical="center" indent="1"/>
    </xf>
    <xf numFmtId="169" fontId="1" fillId="4" borderId="8" xfId="0" applyNumberFormat="1" applyFont="1" applyFill="1" applyBorder="1" applyProtection="1"/>
    <xf numFmtId="173" fontId="1" fillId="2" borderId="10" xfId="0" applyNumberFormat="1" applyFont="1" applyFill="1" applyBorder="1" applyAlignment="1" applyProtection="1">
      <alignment horizontal="right"/>
    </xf>
    <xf numFmtId="175" fontId="9" fillId="2" borderId="0" xfId="0" applyNumberFormat="1" applyFont="1" applyFill="1" applyBorder="1" applyProtection="1"/>
    <xf numFmtId="2" fontId="1" fillId="2" borderId="6" xfId="0" applyNumberFormat="1" applyFont="1" applyFill="1" applyBorder="1" applyAlignment="1" applyProtection="1">
      <alignment horizontal="right"/>
    </xf>
    <xf numFmtId="173" fontId="1" fillId="2" borderId="32" xfId="0" applyNumberFormat="1" applyFont="1" applyFill="1" applyBorder="1" applyAlignment="1" applyProtection="1">
      <alignment horizontal="right" indent="1"/>
    </xf>
    <xf numFmtId="0" fontId="0" fillId="2" borderId="10" xfId="0" applyFill="1" applyBorder="1" applyAlignment="1" applyProtection="1">
      <alignment horizontal="right" indent="1"/>
    </xf>
    <xf numFmtId="0" fontId="1" fillId="2" borderId="1" xfId="0" applyFont="1" applyFill="1" applyBorder="1" applyProtection="1"/>
    <xf numFmtId="0" fontId="0" fillId="0" borderId="33" xfId="0" applyFill="1" applyBorder="1" applyAlignment="1" applyProtection="1">
      <alignment horizontal="right" indent="1"/>
      <protection locked="0"/>
    </xf>
    <xf numFmtId="0" fontId="0" fillId="0" borderId="19" xfId="0" applyBorder="1" applyProtection="1"/>
    <xf numFmtId="0" fontId="0" fillId="0" borderId="10" xfId="0" applyFill="1" applyBorder="1" applyProtection="1"/>
    <xf numFmtId="0" fontId="0" fillId="2" borderId="13" xfId="0" applyFill="1" applyBorder="1" applyAlignment="1" applyProtection="1">
      <alignment horizontal="right" indent="1"/>
    </xf>
    <xf numFmtId="173" fontId="1" fillId="2" borderId="7" xfId="0" applyNumberFormat="1" applyFont="1" applyFill="1" applyBorder="1" applyProtection="1"/>
    <xf numFmtId="3" fontId="0" fillId="0" borderId="8" xfId="0" applyNumberFormat="1" applyFill="1" applyBorder="1" applyAlignment="1" applyProtection="1">
      <alignment horizontal="right" indent="1"/>
      <protection locked="0"/>
    </xf>
    <xf numFmtId="0" fontId="0" fillId="2" borderId="8" xfId="0" applyFill="1" applyBorder="1" applyAlignment="1" applyProtection="1">
      <alignment horizontal="right" indent="1"/>
    </xf>
    <xf numFmtId="0" fontId="0" fillId="0" borderId="9" xfId="0" applyFill="1" applyBorder="1" applyAlignment="1" applyProtection="1">
      <alignment horizontal="right" indent="1"/>
      <protection locked="0"/>
    </xf>
    <xf numFmtId="173" fontId="1" fillId="2" borderId="15" xfId="0" applyNumberFormat="1" applyFont="1" applyFill="1" applyBorder="1" applyProtection="1"/>
    <xf numFmtId="3" fontId="0" fillId="0" borderId="14" xfId="0" applyNumberFormat="1" applyFill="1" applyBorder="1" applyAlignment="1" applyProtection="1">
      <alignment horizontal="right" indent="1"/>
      <protection locked="0"/>
    </xf>
    <xf numFmtId="1" fontId="22" fillId="2" borderId="10" xfId="0" applyNumberFormat="1" applyFont="1" applyFill="1" applyBorder="1" applyProtection="1"/>
    <xf numFmtId="1" fontId="22" fillId="2" borderId="7" xfId="0" applyNumberFormat="1" applyFont="1" applyFill="1" applyBorder="1" applyProtection="1"/>
    <xf numFmtId="0" fontId="22" fillId="2" borderId="4" xfId="0" applyFont="1" applyFill="1" applyBorder="1" applyProtection="1"/>
    <xf numFmtId="0" fontId="22" fillId="2" borderId="6" xfId="0" applyFont="1" applyFill="1" applyBorder="1" applyAlignment="1" applyProtection="1">
      <alignment horizontal="right"/>
    </xf>
    <xf numFmtId="0" fontId="0" fillId="0" borderId="34" xfId="0" applyFill="1" applyBorder="1" applyAlignment="1" applyProtection="1">
      <alignment horizontal="right"/>
      <protection locked="0"/>
    </xf>
    <xf numFmtId="0" fontId="1" fillId="2" borderId="10" xfId="0" applyFont="1" applyFill="1" applyBorder="1" applyAlignment="1" applyProtection="1">
      <alignment horizontal="right"/>
    </xf>
    <xf numFmtId="0" fontId="1" fillId="2" borderId="34" xfId="0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</xf>
    <xf numFmtId="0" fontId="22" fillId="2" borderId="4" xfId="0" applyFont="1" applyFill="1" applyBorder="1" applyAlignment="1" applyProtection="1">
      <alignment horizontal="right"/>
    </xf>
    <xf numFmtId="164" fontId="0" fillId="2" borderId="34" xfId="0" applyNumberFormat="1" applyFill="1" applyBorder="1" applyAlignment="1" applyProtection="1">
      <alignment horizontal="right"/>
    </xf>
    <xf numFmtId="164" fontId="1" fillId="2" borderId="34" xfId="0" applyNumberFormat="1" applyFont="1" applyFill="1" applyBorder="1" applyAlignment="1" applyProtection="1">
      <alignment horizontal="right"/>
    </xf>
    <xf numFmtId="0" fontId="2" fillId="2" borderId="10" xfId="0" applyFont="1" applyFill="1" applyBorder="1" applyAlignment="1" applyProtection="1">
      <alignment horizontal="left" indent="2"/>
    </xf>
    <xf numFmtId="0" fontId="1" fillId="2" borderId="0" xfId="0" applyFont="1" applyFill="1" applyBorder="1" applyAlignment="1" applyProtection="1">
      <alignment horizontal="right"/>
    </xf>
    <xf numFmtId="2" fontId="1" fillId="2" borderId="34" xfId="0" applyNumberFormat="1" applyFont="1" applyFill="1" applyBorder="1" applyAlignment="1" applyProtection="1">
      <alignment horizontal="right"/>
    </xf>
    <xf numFmtId="0" fontId="2" fillId="2" borderId="7" xfId="0" applyFont="1" applyFill="1" applyBorder="1" applyAlignment="1" applyProtection="1">
      <alignment horizontal="left" indent="2"/>
    </xf>
    <xf numFmtId="0" fontId="22" fillId="2" borderId="9" xfId="0" applyFont="1" applyFill="1" applyBorder="1" applyAlignment="1" applyProtection="1">
      <alignment horizontal="right"/>
    </xf>
    <xf numFmtId="0" fontId="22" fillId="2" borderId="6" xfId="0" applyFont="1" applyFill="1" applyBorder="1" applyProtection="1"/>
    <xf numFmtId="0" fontId="0" fillId="0" borderId="34" xfId="0" applyFill="1" applyBorder="1" applyProtection="1">
      <protection locked="0"/>
    </xf>
    <xf numFmtId="168" fontId="0" fillId="2" borderId="0" xfId="0" applyNumberFormat="1" applyFill="1" applyBorder="1" applyAlignment="1" applyProtection="1">
      <alignment horizontal="right"/>
    </xf>
    <xf numFmtId="0" fontId="1" fillId="2" borderId="10" xfId="0" applyFont="1" applyFill="1" applyBorder="1" applyProtection="1"/>
    <xf numFmtId="173" fontId="1" fillId="2" borderId="34" xfId="0" applyNumberFormat="1" applyFont="1" applyFill="1" applyBorder="1" applyProtection="1"/>
    <xf numFmtId="166" fontId="0" fillId="2" borderId="10" xfId="0" applyNumberFormat="1" applyFill="1" applyBorder="1" applyProtection="1"/>
    <xf numFmtId="3" fontId="0" fillId="0" borderId="34" xfId="0" applyNumberFormat="1" applyFill="1" applyBorder="1" applyProtection="1">
      <protection locked="0"/>
    </xf>
    <xf numFmtId="2" fontId="0" fillId="0" borderId="34" xfId="0" applyNumberFormat="1" applyFill="1" applyBorder="1" applyProtection="1">
      <protection locked="0"/>
    </xf>
    <xf numFmtId="0" fontId="0" fillId="0" borderId="34" xfId="0" applyBorder="1" applyProtection="1">
      <protection locked="0"/>
    </xf>
    <xf numFmtId="2" fontId="0" fillId="2" borderId="34" xfId="0" applyNumberFormat="1" applyFill="1" applyBorder="1" applyProtection="1"/>
    <xf numFmtId="169" fontId="0" fillId="0" borderId="34" xfId="0" applyNumberFormat="1" applyFill="1" applyBorder="1" applyProtection="1">
      <protection locked="0"/>
    </xf>
    <xf numFmtId="3" fontId="0" fillId="2" borderId="34" xfId="0" applyNumberFormat="1" applyFill="1" applyBorder="1" applyProtection="1"/>
    <xf numFmtId="0" fontId="22" fillId="2" borderId="9" xfId="0" applyFont="1" applyFill="1" applyBorder="1" applyProtection="1"/>
    <xf numFmtId="0" fontId="0" fillId="2" borderId="1" xfId="0" applyFill="1" applyBorder="1" applyAlignment="1" applyProtection="1">
      <alignment horizontal="left" indent="1"/>
    </xf>
    <xf numFmtId="0" fontId="0" fillId="2" borderId="3" xfId="0" applyFill="1" applyBorder="1" applyAlignment="1" applyProtection="1">
      <alignment horizontal="center"/>
    </xf>
    <xf numFmtId="0" fontId="0" fillId="2" borderId="35" xfId="0" applyFill="1" applyBorder="1" applyProtection="1"/>
    <xf numFmtId="164" fontId="1" fillId="2" borderId="10" xfId="0" applyNumberFormat="1" applyFont="1" applyFill="1" applyBorder="1" applyAlignment="1" applyProtection="1">
      <alignment horizontal="right"/>
    </xf>
    <xf numFmtId="1" fontId="28" fillId="2" borderId="8" xfId="0" applyNumberFormat="1" applyFont="1" applyFill="1" applyBorder="1" applyProtection="1"/>
    <xf numFmtId="13" fontId="1" fillId="2" borderId="21" xfId="0" applyNumberFormat="1" applyFont="1" applyFill="1" applyBorder="1" applyAlignment="1" applyProtection="1">
      <alignment horizontal="right"/>
    </xf>
    <xf numFmtId="1" fontId="28" fillId="2" borderId="19" xfId="0" applyNumberFormat="1" applyFont="1" applyFill="1" applyBorder="1" applyProtection="1"/>
    <xf numFmtId="0" fontId="0" fillId="6" borderId="0" xfId="0" applyFill="1"/>
    <xf numFmtId="0" fontId="14" fillId="6" borderId="0" xfId="0" applyFont="1" applyFill="1"/>
    <xf numFmtId="0" fontId="1" fillId="6" borderId="0" xfId="0" applyFont="1" applyFill="1"/>
    <xf numFmtId="0" fontId="0" fillId="6" borderId="0" xfId="0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/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164" fontId="41" fillId="6" borderId="0" xfId="0" applyNumberFormat="1" applyFont="1" applyFill="1"/>
    <xf numFmtId="164" fontId="0" fillId="6" borderId="0" xfId="0" applyNumberFormat="1" applyFill="1"/>
    <xf numFmtId="164" fontId="0" fillId="6" borderId="0" xfId="0" applyNumberFormat="1" applyFont="1" applyFill="1"/>
    <xf numFmtId="2" fontId="0" fillId="3" borderId="36" xfId="0" applyNumberFormat="1" applyFill="1" applyBorder="1" applyProtection="1">
      <protection locked="0"/>
    </xf>
    <xf numFmtId="1" fontId="0" fillId="3" borderId="36" xfId="0" applyNumberFormat="1" applyFill="1" applyBorder="1" applyProtection="1">
      <protection locked="0"/>
    </xf>
    <xf numFmtId="0" fontId="1" fillId="2" borderId="21" xfId="0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right"/>
    </xf>
    <xf numFmtId="0" fontId="1" fillId="2" borderId="19" xfId="0" applyFont="1" applyFill="1" applyBorder="1" applyAlignment="1" applyProtection="1">
      <alignment horizontal="right"/>
    </xf>
    <xf numFmtId="0" fontId="1" fillId="2" borderId="20" xfId="0" applyFont="1" applyFill="1" applyBorder="1" applyAlignment="1" applyProtection="1">
      <alignment horizontal="right"/>
    </xf>
    <xf numFmtId="0" fontId="3" fillId="2" borderId="3" xfId="0" applyNumberFormat="1" applyFont="1" applyFill="1" applyBorder="1" applyAlignment="1" applyProtection="1">
      <alignment horizontal="center"/>
    </xf>
    <xf numFmtId="0" fontId="43" fillId="2" borderId="4" xfId="0" applyFont="1" applyFill="1" applyBorder="1" applyProtection="1"/>
    <xf numFmtId="0" fontId="0" fillId="2" borderId="21" xfId="0" applyFill="1" applyBorder="1" applyProtection="1"/>
    <xf numFmtId="0" fontId="0" fillId="2" borderId="19" xfId="0" applyFill="1" applyBorder="1" applyAlignment="1" applyProtection="1">
      <alignment horizontal="right"/>
    </xf>
    <xf numFmtId="2" fontId="0" fillId="2" borderId="20" xfId="0" applyNumberFormat="1" applyFill="1" applyBorder="1" applyAlignment="1" applyProtection="1">
      <alignment horizontal="right" indent="1"/>
    </xf>
    <xf numFmtId="0" fontId="42" fillId="2" borderId="6" xfId="0" applyFont="1" applyFill="1" applyBorder="1" applyProtection="1"/>
    <xf numFmtId="2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1" fontId="0" fillId="0" borderId="0" xfId="0" applyNumberFormat="1" applyFill="1" applyProtection="1"/>
    <xf numFmtId="2" fontId="9" fillId="2" borderId="6" xfId="0" applyNumberFormat="1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7" xfId="0" applyFill="1" applyBorder="1" applyAlignment="1" applyProtection="1">
      <alignment horizontal="right"/>
    </xf>
    <xf numFmtId="0" fontId="1" fillId="2" borderId="21" xfId="0" applyFont="1" applyFill="1" applyBorder="1" applyProtection="1"/>
    <xf numFmtId="2" fontId="1" fillId="2" borderId="19" xfId="0" applyNumberFormat="1" applyFont="1" applyFill="1" applyBorder="1" applyProtection="1"/>
    <xf numFmtId="0" fontId="1" fillId="2" borderId="19" xfId="0" applyFont="1" applyFill="1" applyBorder="1" applyProtection="1"/>
    <xf numFmtId="1" fontId="1" fillId="2" borderId="19" xfId="0" applyNumberFormat="1" applyFont="1" applyFill="1" applyBorder="1" applyProtection="1"/>
    <xf numFmtId="0" fontId="1" fillId="2" borderId="20" xfId="0" applyFont="1" applyFill="1" applyBorder="1" applyProtection="1"/>
    <xf numFmtId="4" fontId="0" fillId="2" borderId="0" xfId="0" applyNumberFormat="1" applyFill="1" applyBorder="1" applyProtection="1"/>
    <xf numFmtId="2" fontId="0" fillId="2" borderId="6" xfId="0" applyNumberFormat="1" applyFill="1" applyBorder="1" applyAlignment="1" applyProtection="1">
      <alignment horizontal="right" indent="1"/>
    </xf>
    <xf numFmtId="2" fontId="0" fillId="2" borderId="9" xfId="0" applyNumberFormat="1" applyFill="1" applyBorder="1" applyAlignment="1" applyProtection="1">
      <alignment horizontal="right" indent="1"/>
    </xf>
    <xf numFmtId="2" fontId="9" fillId="2" borderId="9" xfId="0" applyNumberFormat="1" applyFont="1" applyFill="1" applyBorder="1" applyProtection="1"/>
    <xf numFmtId="2" fontId="42" fillId="4" borderId="3" xfId="0" applyNumberFormat="1" applyFont="1" applyFill="1" applyBorder="1" applyProtection="1"/>
    <xf numFmtId="0" fontId="0" fillId="0" borderId="18" xfId="0" applyFill="1" applyBorder="1" applyAlignment="1" applyProtection="1">
      <alignment horizontal="right" indent="1"/>
      <protection locked="0"/>
    </xf>
    <xf numFmtId="0" fontId="22" fillId="7" borderId="2" xfId="0" applyFont="1" applyFill="1" applyBorder="1" applyProtection="1"/>
    <xf numFmtId="0" fontId="0" fillId="7" borderId="3" xfId="0" applyFill="1" applyBorder="1" applyProtection="1"/>
    <xf numFmtId="0" fontId="0" fillId="7" borderId="4" xfId="0" applyFill="1" applyBorder="1" applyProtection="1"/>
    <xf numFmtId="0" fontId="22" fillId="7" borderId="10" xfId="0" applyFont="1" applyFill="1" applyBorder="1" applyProtection="1"/>
    <xf numFmtId="0" fontId="0" fillId="7" borderId="0" xfId="0" applyFill="1" applyBorder="1" applyProtection="1"/>
    <xf numFmtId="0" fontId="0" fillId="7" borderId="6" xfId="0" applyFill="1" applyBorder="1" applyProtection="1"/>
    <xf numFmtId="0" fontId="22" fillId="7" borderId="7" xfId="0" applyFont="1" applyFill="1" applyBorder="1" applyProtection="1"/>
    <xf numFmtId="0" fontId="0" fillId="7" borderId="8" xfId="0" applyFill="1" applyBorder="1" applyProtection="1"/>
    <xf numFmtId="0" fontId="0" fillId="7" borderId="9" xfId="0" applyFill="1" applyBorder="1" applyProtection="1"/>
    <xf numFmtId="166" fontId="0" fillId="2" borderId="0" xfId="0" applyNumberFormat="1" applyFill="1" applyBorder="1" applyAlignment="1" applyProtection="1">
      <alignment horizontal="right"/>
    </xf>
    <xf numFmtId="2" fontId="26" fillId="2" borderId="0" xfId="0" applyNumberFormat="1" applyFont="1" applyFill="1" applyBorder="1" applyAlignment="1" applyProtection="1">
      <alignment horizontal="center" vertical="top"/>
    </xf>
    <xf numFmtId="0" fontId="28" fillId="2" borderId="0" xfId="0" applyFont="1" applyFill="1" applyBorder="1" applyAlignment="1" applyProtection="1">
      <alignment vertical="top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/>
    </xf>
    <xf numFmtId="1" fontId="0" fillId="3" borderId="0" xfId="0" applyNumberFormat="1" applyFill="1" applyBorder="1" applyAlignment="1" applyProtection="1">
      <alignment horizontal="right"/>
      <protection locked="0"/>
    </xf>
    <xf numFmtId="0" fontId="44" fillId="4" borderId="8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/>
    </xf>
    <xf numFmtId="13" fontId="1" fillId="2" borderId="10" xfId="0" applyNumberFormat="1" applyFont="1" applyFill="1" applyBorder="1" applyAlignment="1" applyProtection="1">
      <alignment horizontal="right"/>
    </xf>
    <xf numFmtId="0" fontId="9" fillId="8" borderId="6" xfId="0" applyFont="1" applyFill="1" applyBorder="1" applyProtection="1"/>
    <xf numFmtId="0" fontId="45" fillId="0" borderId="0" xfId="0" applyFont="1"/>
    <xf numFmtId="0" fontId="45" fillId="0" borderId="0" xfId="0" applyNumberFormat="1" applyFont="1"/>
    <xf numFmtId="0" fontId="10" fillId="4" borderId="21" xfId="0" applyFont="1" applyFill="1" applyBorder="1" applyAlignment="1">
      <alignment horizontal="center"/>
    </xf>
    <xf numFmtId="0" fontId="0" fillId="4" borderId="20" xfId="0" applyFill="1" applyBorder="1"/>
    <xf numFmtId="49" fontId="45" fillId="4" borderId="10" xfId="0" applyNumberFormat="1" applyFont="1" applyFill="1" applyBorder="1" applyAlignment="1">
      <alignment horizontal="right"/>
    </xf>
    <xf numFmtId="49" fontId="45" fillId="4" borderId="6" xfId="0" applyNumberFormat="1" applyFont="1" applyFill="1" applyBorder="1"/>
    <xf numFmtId="0" fontId="0" fillId="4" borderId="6" xfId="0" applyFill="1" applyBorder="1"/>
    <xf numFmtId="49" fontId="45" fillId="4" borderId="7" xfId="0" applyNumberFormat="1" applyFont="1" applyFill="1" applyBorder="1" applyAlignment="1">
      <alignment horizontal="right"/>
    </xf>
    <xf numFmtId="0" fontId="0" fillId="4" borderId="9" xfId="0" applyFill="1" applyBorder="1"/>
    <xf numFmtId="49" fontId="10" fillId="4" borderId="34" xfId="0" applyNumberFormat="1" applyFont="1" applyFill="1" applyBorder="1" applyAlignment="1">
      <alignment horizontal="center"/>
    </xf>
    <xf numFmtId="0" fontId="0" fillId="4" borderId="34" xfId="0" applyFill="1" applyBorder="1"/>
    <xf numFmtId="0" fontId="10" fillId="4" borderId="34" xfId="0" applyFont="1" applyFill="1" applyBorder="1" applyAlignment="1">
      <alignment horizontal="center"/>
    </xf>
    <xf numFmtId="0" fontId="45" fillId="4" borderId="10" xfId="0" applyFont="1" applyFill="1" applyBorder="1"/>
    <xf numFmtId="0" fontId="45" fillId="4" borderId="7" xfId="0" applyFont="1" applyFill="1" applyBorder="1"/>
    <xf numFmtId="0" fontId="10" fillId="4" borderId="20" xfId="0" applyFont="1" applyFill="1" applyBorder="1" applyAlignment="1">
      <alignment horizontal="right"/>
    </xf>
    <xf numFmtId="0" fontId="10" fillId="4" borderId="2" xfId="0" applyFont="1" applyFill="1" applyBorder="1"/>
    <xf numFmtId="0" fontId="10" fillId="4" borderId="3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4" xfId="0" applyFont="1" applyFill="1" applyBorder="1"/>
    <xf numFmtId="0" fontId="10" fillId="4" borderId="7" xfId="0" applyFont="1" applyFill="1" applyBorder="1"/>
    <xf numFmtId="0" fontId="10" fillId="4" borderId="8" xfId="0" applyFont="1" applyFill="1" applyBorder="1"/>
    <xf numFmtId="0" fontId="10" fillId="4" borderId="9" xfId="0" applyFont="1" applyFill="1" applyBorder="1"/>
    <xf numFmtId="0" fontId="45" fillId="4" borderId="2" xfId="0" applyFont="1" applyFill="1" applyBorder="1"/>
    <xf numFmtId="0" fontId="45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45" fillId="4" borderId="0" xfId="0" applyFont="1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0" fillId="2" borderId="3" xfId="0" applyFill="1" applyBorder="1"/>
    <xf numFmtId="0" fontId="46" fillId="2" borderId="3" xfId="0" applyFont="1" applyFill="1" applyBorder="1"/>
    <xf numFmtId="0" fontId="0" fillId="2" borderId="4" xfId="0" applyFill="1" applyBorder="1"/>
    <xf numFmtId="0" fontId="45" fillId="0" borderId="10" xfId="0" applyNumberFormat="1" applyFont="1" applyBorder="1" applyAlignment="1" applyProtection="1">
      <alignment horizontal="right"/>
      <protection locked="0"/>
    </xf>
    <xf numFmtId="0" fontId="45" fillId="2" borderId="0" xfId="0" applyFont="1" applyFill="1" applyBorder="1"/>
    <xf numFmtId="0" fontId="46" fillId="2" borderId="0" xfId="0" applyFont="1" applyFill="1" applyBorder="1"/>
    <xf numFmtId="49" fontId="45" fillId="2" borderId="0" xfId="0" applyNumberFormat="1" applyFont="1" applyFill="1" applyBorder="1"/>
    <xf numFmtId="0" fontId="0" fillId="0" borderId="10" xfId="0" applyFill="1" applyBorder="1" applyProtection="1">
      <protection locked="0"/>
    </xf>
    <xf numFmtId="0" fontId="10" fillId="2" borderId="7" xfId="0" applyFont="1" applyFill="1" applyBorder="1"/>
    <xf numFmtId="0" fontId="10" fillId="2" borderId="8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169" fontId="10" fillId="2" borderId="10" xfId="0" applyNumberFormat="1" applyFont="1" applyFill="1" applyBorder="1"/>
    <xf numFmtId="0" fontId="10" fillId="2" borderId="0" xfId="0" applyFont="1" applyFill="1" applyBorder="1"/>
    <xf numFmtId="169" fontId="47" fillId="2" borderId="7" xfId="0" applyNumberFormat="1" applyFont="1" applyFill="1" applyBorder="1" applyAlignment="1">
      <alignment horizontal="left" indent="1"/>
    </xf>
    <xf numFmtId="169" fontId="10" fillId="2" borderId="7" xfId="0" applyNumberFormat="1" applyFont="1" applyFill="1" applyBorder="1"/>
    <xf numFmtId="0" fontId="45" fillId="0" borderId="10" xfId="0" applyFont="1" applyBorder="1" applyAlignment="1" applyProtection="1">
      <alignment horizontal="right"/>
      <protection locked="0"/>
    </xf>
    <xf numFmtId="0" fontId="45" fillId="2" borderId="0" xfId="0" applyFont="1" applyFill="1"/>
    <xf numFmtId="0" fontId="0" fillId="0" borderId="10" xfId="0" applyBorder="1" applyAlignment="1" applyProtection="1">
      <alignment horizontal="right"/>
      <protection locked="0"/>
    </xf>
    <xf numFmtId="0" fontId="46" fillId="2" borderId="0" xfId="0" applyFont="1" applyFill="1"/>
    <xf numFmtId="49" fontId="45" fillId="0" borderId="10" xfId="0" applyNumberFormat="1" applyFont="1" applyFill="1" applyBorder="1" applyAlignment="1" applyProtection="1">
      <alignment horizontal="right"/>
      <protection locked="0"/>
    </xf>
    <xf numFmtId="0" fontId="45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2" fontId="45" fillId="0" borderId="10" xfId="0" applyNumberFormat="1" applyFont="1" applyFill="1" applyBorder="1" applyAlignment="1" applyProtection="1">
      <alignment horizontal="right"/>
      <protection locked="0"/>
    </xf>
    <xf numFmtId="173" fontId="10" fillId="2" borderId="7" xfId="0" applyNumberFormat="1" applyFont="1" applyFill="1" applyBorder="1"/>
    <xf numFmtId="0" fontId="10" fillId="2" borderId="2" xfId="0" applyFont="1" applyFill="1" applyBorder="1" applyProtection="1"/>
    <xf numFmtId="169" fontId="10" fillId="2" borderId="7" xfId="0" applyNumberFormat="1" applyFont="1" applyFill="1" applyBorder="1" applyProtection="1"/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 applyAlignment="1">
      <alignment horizontal="right"/>
    </xf>
    <xf numFmtId="3" fontId="0" fillId="0" borderId="4" xfId="0" applyNumberFormat="1" applyBorder="1" applyProtection="1">
      <protection locked="0"/>
    </xf>
    <xf numFmtId="3" fontId="0" fillId="0" borderId="6" xfId="0" applyNumberFormat="1" applyBorder="1" applyProtection="1">
      <protection locked="0"/>
    </xf>
    <xf numFmtId="165" fontId="1" fillId="2" borderId="9" xfId="0" applyNumberFormat="1" applyFont="1" applyFill="1" applyBorder="1"/>
    <xf numFmtId="169" fontId="10" fillId="2" borderId="10" xfId="0" applyNumberFormat="1" applyFont="1" applyFill="1" applyBorder="1" applyProtection="1"/>
    <xf numFmtId="0" fontId="0" fillId="2" borderId="7" xfId="0" applyFill="1" applyBorder="1" applyAlignment="1" applyProtection="1">
      <alignment horizontal="right"/>
    </xf>
    <xf numFmtId="0" fontId="0" fillId="2" borderId="9" xfId="0" applyFill="1" applyBorder="1" applyAlignment="1" applyProtection="1">
      <alignment horizontal="right"/>
    </xf>
    <xf numFmtId="173" fontId="1" fillId="2" borderId="34" xfId="0" applyNumberFormat="1" applyFont="1" applyFill="1" applyBorder="1" applyAlignment="1" applyProtection="1">
      <alignment horizontal="right"/>
    </xf>
    <xf numFmtId="0" fontId="27" fillId="2" borderId="2" xfId="0" applyFont="1" applyFill="1" applyBorder="1" applyAlignment="1" applyProtection="1">
      <alignment vertical="center" wrapText="1"/>
    </xf>
    <xf numFmtId="0" fontId="27" fillId="2" borderId="3" xfId="0" applyFont="1" applyFill="1" applyBorder="1" applyAlignment="1" applyProtection="1">
      <alignment vertical="center" wrapText="1"/>
    </xf>
    <xf numFmtId="0" fontId="27" fillId="2" borderId="4" xfId="0" applyFont="1" applyFill="1" applyBorder="1" applyAlignment="1" applyProtection="1">
      <alignment vertical="center" wrapText="1"/>
    </xf>
    <xf numFmtId="0" fontId="27" fillId="2" borderId="7" xfId="0" applyFont="1" applyFill="1" applyBorder="1" applyAlignment="1" applyProtection="1">
      <alignment vertical="center" wrapText="1"/>
    </xf>
    <xf numFmtId="0" fontId="27" fillId="2" borderId="8" xfId="0" applyFont="1" applyFill="1" applyBorder="1" applyAlignment="1" applyProtection="1">
      <alignment vertical="center" wrapText="1"/>
    </xf>
    <xf numFmtId="0" fontId="27" fillId="2" borderId="9" xfId="0" applyFont="1" applyFill="1" applyBorder="1" applyAlignment="1" applyProtection="1">
      <alignment vertical="center" wrapText="1"/>
    </xf>
    <xf numFmtId="169" fontId="0" fillId="2" borderId="25" xfId="0" applyNumberFormat="1" applyFill="1" applyBorder="1" applyAlignment="1">
      <alignment horizontal="left" wrapText="1"/>
    </xf>
    <xf numFmtId="169" fontId="0" fillId="2" borderId="28" xfId="0" applyNumberFormat="1" applyFill="1" applyBorder="1" applyAlignment="1">
      <alignment horizontal="left" wrapText="1"/>
    </xf>
    <xf numFmtId="3" fontId="1" fillId="2" borderId="34" xfId="0" applyNumberFormat="1" applyFont="1" applyFill="1" applyBorder="1" applyProtection="1"/>
    <xf numFmtId="166" fontId="3" fillId="2" borderId="10" xfId="0" applyNumberFormat="1" applyFont="1" applyFill="1" applyBorder="1" applyProtection="1"/>
    <xf numFmtId="3" fontId="0" fillId="2" borderId="0" xfId="0" applyNumberFormat="1" applyFill="1" applyBorder="1" applyProtection="1"/>
    <xf numFmtId="3" fontId="1" fillId="2" borderId="0" xfId="0" applyNumberFormat="1" applyFont="1" applyFill="1" applyBorder="1" applyProtection="1"/>
    <xf numFmtId="166" fontId="0" fillId="2" borderId="7" xfId="0" applyNumberFormat="1" applyFill="1" applyBorder="1" applyProtection="1"/>
    <xf numFmtId="166" fontId="3" fillId="2" borderId="2" xfId="0" applyNumberFormat="1" applyFont="1" applyFill="1" applyBorder="1" applyProtection="1"/>
    <xf numFmtId="166" fontId="3" fillId="2" borderId="10" xfId="0" applyNumberFormat="1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right"/>
    </xf>
    <xf numFmtId="166" fontId="0" fillId="2" borderId="21" xfId="0" applyNumberFormat="1" applyFill="1" applyBorder="1" applyAlignment="1" applyProtection="1">
      <alignment horizontal="right"/>
    </xf>
    <xf numFmtId="10" fontId="1" fillId="2" borderId="20" xfId="0" applyNumberFormat="1" applyFont="1" applyFill="1" applyBorder="1" applyProtection="1"/>
    <xf numFmtId="166" fontId="1" fillId="2" borderId="21" xfId="0" applyNumberFormat="1" applyFont="1" applyFill="1" applyBorder="1" applyAlignment="1" applyProtection="1">
      <alignment horizontal="right"/>
    </xf>
    <xf numFmtId="1" fontId="0" fillId="0" borderId="34" xfId="0" applyNumberFormat="1" applyFill="1" applyBorder="1" applyProtection="1">
      <protection locked="0"/>
    </xf>
  </cellXfs>
  <cellStyles count="1">
    <cellStyle name="Normal" xfId="0" builtinId="0"/>
  </cellStyles>
  <dxfs count="3">
    <dxf>
      <font>
        <color rgb="FFD8D8D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FAC32"/>
      </font>
      <fill>
        <patternFill>
          <bgColor rgb="FFD1FBDA"/>
        </patternFill>
      </fill>
    </dxf>
  </dxfs>
  <tableStyles count="0" defaultTableStyle="TableStyleMedium9" defaultPivotStyle="PivotStyleLight16"/>
  <colors>
    <mruColors>
      <color rgb="FFD1FBDA"/>
      <color rgb="FFAAF8BB"/>
      <color rgb="FF0FAC32"/>
      <color rgb="FF00FF00"/>
      <color rgb="FFD8D8D8"/>
      <color rgb="FFFFFFB3"/>
      <color rgb="FFE2E2E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Delta T Evap Chart'!A1"/><Relationship Id="rId1" Type="http://schemas.openxmlformats.org/officeDocument/2006/relationships/hyperlink" Target="#'SH Char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Key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Psychrometrics &amp; Charging'!C36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Psychrometrics &amp; Charging'!B57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Oil Line Calcs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55</xdr:row>
      <xdr:rowOff>142875</xdr:rowOff>
    </xdr:from>
    <xdr:ext cx="666750" cy="276226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4019550" y="10858500"/>
          <a:ext cx="666750" cy="27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/>
            <a:t>Chart</a:t>
          </a:r>
        </a:p>
      </xdr:txBody>
    </xdr:sp>
    <xdr:clientData/>
  </xdr:oneCellAnchor>
  <xdr:twoCellAnchor>
    <xdr:from>
      <xdr:col>6</xdr:col>
      <xdr:colOff>133350</xdr:colOff>
      <xdr:row>35</xdr:row>
      <xdr:rowOff>114300</xdr:rowOff>
    </xdr:from>
    <xdr:to>
      <xdr:col>7</xdr:col>
      <xdr:colOff>609600</xdr:colOff>
      <xdr:row>36</xdr:row>
      <xdr:rowOff>190500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9925050" y="7096125"/>
          <a:ext cx="666750" cy="2667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264993</xdr:colOff>
      <xdr:row>60</xdr:row>
      <xdr:rowOff>134871</xdr:rowOff>
    </xdr:from>
    <xdr:ext cx="0" cy="0"/>
    <xdr:sp macro="" textlink="">
      <xdr:nvSpPr>
        <xdr:cNvPr id="2" name="TextBox 1"/>
        <xdr:cNvSpPr txBox="1"/>
      </xdr:nvSpPr>
      <xdr:spPr>
        <a:xfrm rot="182846">
          <a:off x="2579568" y="11812521"/>
          <a:ext cx="0" cy="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85725</xdr:rowOff>
    </xdr:from>
    <xdr:to>
      <xdr:col>5</xdr:col>
      <xdr:colOff>209550</xdr:colOff>
      <xdr:row>1</xdr:row>
      <xdr:rowOff>285750</xdr:rowOff>
    </xdr:to>
    <xdr:sp macro="" textlink="">
      <xdr:nvSpPr>
        <xdr:cNvPr id="3" name="Right Arrow 2">
          <a:hlinkClick xmlns:r="http://schemas.openxmlformats.org/officeDocument/2006/relationships" r:id="rId1"/>
        </xdr:cNvPr>
        <xdr:cNvSpPr/>
      </xdr:nvSpPr>
      <xdr:spPr>
        <a:xfrm>
          <a:off x="2705100" y="85725"/>
          <a:ext cx="1600200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List of Fuel Pumps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28575</xdr:rowOff>
    </xdr:from>
    <xdr:to>
      <xdr:col>21</xdr:col>
      <xdr:colOff>28575</xdr:colOff>
      <xdr:row>30</xdr:row>
      <xdr:rowOff>85725</xdr:rowOff>
    </xdr:to>
    <xdr:pic>
      <xdr:nvPicPr>
        <xdr:cNvPr id="2" name="Picture 1" descr="Delta_T_Chart[1]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600075"/>
          <a:ext cx="12220575" cy="520065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</xdr:row>
      <xdr:rowOff>85726</xdr:rowOff>
    </xdr:from>
    <xdr:to>
      <xdr:col>3</xdr:col>
      <xdr:colOff>285750</xdr:colOff>
      <xdr:row>2</xdr:row>
      <xdr:rowOff>180976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666750" y="276226"/>
          <a:ext cx="1447800" cy="2857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&lt;&lt;Return&lt; to Calcs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2</xdr:row>
      <xdr:rowOff>38100</xdr:rowOff>
    </xdr:from>
    <xdr:to>
      <xdr:col>16</xdr:col>
      <xdr:colOff>44451</xdr:colOff>
      <xdr:row>29</xdr:row>
      <xdr:rowOff>9525</xdr:rowOff>
    </xdr:to>
    <xdr:pic>
      <xdr:nvPicPr>
        <xdr:cNvPr id="3" name="Picture 2" descr="maxresdefaul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4851" y="495300"/>
          <a:ext cx="9093200" cy="5114925"/>
        </a:xfrm>
        <a:prstGeom prst="rect">
          <a:avLst/>
        </a:prstGeom>
      </xdr:spPr>
    </xdr:pic>
    <xdr:clientData/>
  </xdr:twoCellAnchor>
  <xdr:oneCellAnchor>
    <xdr:from>
      <xdr:col>1</xdr:col>
      <xdr:colOff>104774</xdr:colOff>
      <xdr:row>0</xdr:row>
      <xdr:rowOff>180975</xdr:rowOff>
    </xdr:from>
    <xdr:ext cx="1343026" cy="26456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714374" y="180975"/>
          <a:ext cx="1343026" cy="26456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&lt;&lt;&lt;Return to Calcs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0</xdr:row>
      <xdr:rowOff>28575</xdr:rowOff>
    </xdr:from>
    <xdr:to>
      <xdr:col>3</xdr:col>
      <xdr:colOff>342900</xdr:colOff>
      <xdr:row>2</xdr:row>
      <xdr:rowOff>9525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2552700" y="28575"/>
          <a:ext cx="17526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Back to Oil Line Calcs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ry_the_Torch_Quick_Conversions_3rd_edition2.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Key"/>
      <sheetName val="Formulae"/>
    </sheetNames>
    <sheetDataSet>
      <sheetData sheetId="0" refreshError="1"/>
      <sheetData sheetId="1">
        <row r="8">
          <cell r="B8" t="str">
            <v>Beckett A2EA</v>
          </cell>
        </row>
      </sheetData>
      <sheetData sheetId="2">
        <row r="3">
          <cell r="B3">
            <v>69.767441860465112</v>
          </cell>
        </row>
        <row r="10">
          <cell r="B10" t="str">
            <v>3/8</v>
          </cell>
        </row>
        <row r="11">
          <cell r="B11" t="str">
            <v>1/2</v>
          </cell>
        </row>
        <row r="12">
          <cell r="B12" t="str">
            <v>5/8</v>
          </cell>
        </row>
        <row r="15">
          <cell r="B15" t="str">
            <v>Above</v>
          </cell>
        </row>
        <row r="16">
          <cell r="B16" t="str">
            <v>Below</v>
          </cell>
        </row>
        <row r="19">
          <cell r="B19" t="str">
            <v>Single-Stage</v>
          </cell>
        </row>
        <row r="20">
          <cell r="B20" t="str">
            <v>Two-Stage</v>
          </cell>
        </row>
        <row r="23">
          <cell r="B23" t="str">
            <v>ULSD</v>
          </cell>
        </row>
        <row r="24">
          <cell r="B24" t="str">
            <v>B20</v>
          </cell>
        </row>
        <row r="25">
          <cell r="B25" t="str">
            <v>B100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opLeftCell="A34" workbookViewId="0">
      <selection activeCell="J98" sqref="B55:J98"/>
    </sheetView>
  </sheetViews>
  <sheetFormatPr defaultRowHeight="15"/>
  <cols>
    <col min="1" max="1" width="5.7109375" style="4" customWidth="1"/>
    <col min="2" max="2" width="22.7109375" style="4" customWidth="1"/>
    <col min="3" max="3" width="2.85546875" style="4" customWidth="1"/>
    <col min="4" max="4" width="12.5703125" style="4" customWidth="1"/>
    <col min="5" max="5" width="2.85546875" style="4" customWidth="1"/>
    <col min="6" max="6" width="11" style="4" customWidth="1"/>
    <col min="7" max="7" width="2.85546875" style="4" customWidth="1"/>
    <col min="8" max="8" width="15" style="4" customWidth="1"/>
    <col min="9" max="9" width="3.28515625" style="4" customWidth="1"/>
    <col min="10" max="10" width="13.5703125" style="4" customWidth="1"/>
    <col min="11" max="11" width="5.7109375" style="4" customWidth="1"/>
    <col min="12" max="12" width="9.140625" style="4"/>
    <col min="13" max="13" width="22.140625" style="4" customWidth="1"/>
    <col min="14" max="16384" width="9.140625" style="4"/>
  </cols>
  <sheetData>
    <row r="1" spans="2:12" s="200" customFormat="1" ht="18.75">
      <c r="B1" s="201" t="s">
        <v>123</v>
      </c>
    </row>
    <row r="2" spans="2:12">
      <c r="B2" s="5" t="s">
        <v>53</v>
      </c>
      <c r="C2" s="6"/>
      <c r="D2" s="6"/>
      <c r="E2" s="6"/>
      <c r="F2" s="6"/>
      <c r="G2" s="6"/>
      <c r="H2" s="6"/>
      <c r="I2" s="6"/>
      <c r="J2" s="7"/>
      <c r="K2" s="372"/>
      <c r="L2" s="46"/>
    </row>
    <row r="3" spans="2:12" ht="15.75" thickBot="1">
      <c r="B3" s="8" t="s">
        <v>4</v>
      </c>
      <c r="C3" s="9" t="s">
        <v>2</v>
      </c>
      <c r="D3" s="10" t="s">
        <v>1</v>
      </c>
      <c r="E3" s="11" t="s">
        <v>3</v>
      </c>
      <c r="F3" s="10" t="s">
        <v>10</v>
      </c>
      <c r="G3" s="3"/>
      <c r="H3" s="3"/>
      <c r="I3" s="3"/>
      <c r="J3" s="12"/>
      <c r="K3" s="39"/>
    </row>
    <row r="4" spans="2:12">
      <c r="B4" s="20">
        <f>D4/(1.08*F4)</f>
        <v>22.737275834620966</v>
      </c>
      <c r="C4" s="13"/>
      <c r="D4" s="1">
        <v>19424</v>
      </c>
      <c r="E4" s="14" t="s">
        <v>3</v>
      </c>
      <c r="F4" s="1">
        <v>791</v>
      </c>
      <c r="G4" s="13" t="s">
        <v>12</v>
      </c>
      <c r="H4" s="13"/>
      <c r="I4" s="13"/>
      <c r="J4" s="15"/>
      <c r="K4" s="39"/>
    </row>
    <row r="5" spans="2:12">
      <c r="J5" s="46"/>
      <c r="K5" s="40"/>
    </row>
    <row r="6" spans="2:12">
      <c r="B6" s="5" t="s">
        <v>55</v>
      </c>
      <c r="C6" s="6"/>
      <c r="D6" s="6"/>
      <c r="E6" s="6"/>
      <c r="F6" s="6"/>
      <c r="G6" s="6"/>
      <c r="H6" s="6"/>
      <c r="I6" s="6"/>
      <c r="J6" s="7"/>
      <c r="K6" s="39"/>
    </row>
    <row r="7" spans="2:12" ht="15.75" thickBot="1">
      <c r="B7" s="8" t="s">
        <v>0</v>
      </c>
      <c r="C7" s="9" t="s">
        <v>2</v>
      </c>
      <c r="D7" s="10" t="s">
        <v>1</v>
      </c>
      <c r="E7" s="11" t="s">
        <v>3</v>
      </c>
      <c r="F7" s="10" t="s">
        <v>13</v>
      </c>
      <c r="G7" s="3"/>
      <c r="H7" s="3"/>
      <c r="I7" s="3"/>
      <c r="J7" s="12"/>
      <c r="K7" s="39"/>
    </row>
    <row r="8" spans="2:12">
      <c r="B8" s="20">
        <f>D8/(1.08*F8)</f>
        <v>1460.4267310789048</v>
      </c>
      <c r="C8" s="13"/>
      <c r="D8" s="1">
        <v>36277</v>
      </c>
      <c r="E8" s="14" t="s">
        <v>3</v>
      </c>
      <c r="F8" s="1">
        <v>23</v>
      </c>
      <c r="G8" s="13"/>
      <c r="H8" s="13"/>
      <c r="I8" s="13"/>
      <c r="J8" s="15"/>
      <c r="K8" s="39"/>
    </row>
    <row r="9" spans="2:12">
      <c r="J9" s="46"/>
      <c r="K9" s="40"/>
    </row>
    <row r="10" spans="2:12">
      <c r="B10" s="5" t="s">
        <v>14</v>
      </c>
      <c r="C10" s="6"/>
      <c r="D10" s="6"/>
      <c r="E10" s="6"/>
      <c r="F10" s="6"/>
      <c r="G10" s="6"/>
      <c r="H10" s="6"/>
      <c r="I10" s="6"/>
      <c r="J10" s="7"/>
      <c r="K10" s="39"/>
    </row>
    <row r="11" spans="2:12">
      <c r="B11" s="16" t="s">
        <v>54</v>
      </c>
      <c r="C11" s="3"/>
      <c r="D11" s="3"/>
      <c r="E11" s="3"/>
      <c r="F11" s="3"/>
      <c r="G11" s="3"/>
      <c r="H11" s="3"/>
      <c r="I11" s="3"/>
      <c r="J11" s="12"/>
      <c r="K11" s="39"/>
    </row>
    <row r="12" spans="2:12" ht="15.75" thickBot="1">
      <c r="B12" s="8" t="s">
        <v>5</v>
      </c>
      <c r="C12" s="9" t="s">
        <v>2</v>
      </c>
      <c r="D12" s="10" t="s">
        <v>1</v>
      </c>
      <c r="E12" s="11"/>
      <c r="F12" s="10"/>
      <c r="G12" s="3"/>
      <c r="H12" s="3"/>
      <c r="I12" s="3"/>
      <c r="J12" s="12"/>
      <c r="K12" s="39"/>
    </row>
    <row r="13" spans="2:12">
      <c r="B13" s="21">
        <f>(D13/1000) *F13</f>
        <v>1190</v>
      </c>
      <c r="C13" s="3"/>
      <c r="D13" s="2">
        <v>85000</v>
      </c>
      <c r="E13" s="18" t="s">
        <v>11</v>
      </c>
      <c r="F13" s="2">
        <v>14</v>
      </c>
      <c r="G13" s="224" t="s">
        <v>50</v>
      </c>
      <c r="H13" s="3"/>
      <c r="I13" s="3"/>
      <c r="J13" s="12"/>
      <c r="K13" s="39"/>
    </row>
    <row r="14" spans="2:12">
      <c r="B14" s="17"/>
      <c r="C14" s="19"/>
      <c r="D14" s="19"/>
      <c r="E14" s="19"/>
      <c r="F14" s="19"/>
      <c r="G14" s="3"/>
      <c r="H14" s="3"/>
      <c r="I14" s="3"/>
      <c r="J14" s="12"/>
      <c r="K14" s="39"/>
    </row>
    <row r="15" spans="2:12" ht="15.75" thickBot="1">
      <c r="B15" s="8" t="s">
        <v>6</v>
      </c>
      <c r="C15" s="9" t="s">
        <v>2</v>
      </c>
      <c r="D15" s="10" t="s">
        <v>7</v>
      </c>
      <c r="E15" s="11"/>
      <c r="F15" s="10" t="s">
        <v>8</v>
      </c>
      <c r="G15" s="3"/>
      <c r="H15" s="3"/>
      <c r="I15" s="3"/>
      <c r="J15" s="12"/>
      <c r="K15" s="39"/>
    </row>
    <row r="16" spans="2:12">
      <c r="B16" s="20">
        <f>D16 * F16</f>
        <v>800</v>
      </c>
      <c r="C16" s="13"/>
      <c r="D16" s="1">
        <v>2</v>
      </c>
      <c r="E16" s="14" t="s">
        <v>11</v>
      </c>
      <c r="F16" s="1">
        <v>400</v>
      </c>
      <c r="G16" s="192" t="s">
        <v>9</v>
      </c>
      <c r="H16" s="13"/>
      <c r="I16" s="13"/>
      <c r="J16" s="15"/>
      <c r="K16" s="39"/>
    </row>
    <row r="17" spans="2:11">
      <c r="J17" s="46"/>
      <c r="K17" s="40"/>
    </row>
    <row r="18" spans="2:11">
      <c r="B18" s="5" t="s">
        <v>15</v>
      </c>
      <c r="C18" s="6"/>
      <c r="D18" s="6" t="s">
        <v>62</v>
      </c>
      <c r="E18" s="6"/>
      <c r="F18" s="6"/>
      <c r="G18" s="6"/>
      <c r="H18" s="6"/>
      <c r="I18" s="6"/>
      <c r="J18" s="7"/>
      <c r="K18" s="39"/>
    </row>
    <row r="19" spans="2:11">
      <c r="B19" s="16" t="s">
        <v>52</v>
      </c>
      <c r="C19" s="3"/>
      <c r="D19" s="3"/>
      <c r="E19" s="3"/>
      <c r="F19" s="3"/>
      <c r="G19" s="3"/>
      <c r="H19" s="3"/>
      <c r="I19" s="3"/>
      <c r="J19" s="12"/>
      <c r="K19" s="39"/>
    </row>
    <row r="20" spans="2:11" ht="15.75" thickBot="1">
      <c r="B20" s="8" t="s">
        <v>16</v>
      </c>
      <c r="C20" s="9" t="s">
        <v>2</v>
      </c>
      <c r="D20" s="10" t="s">
        <v>0</v>
      </c>
      <c r="E20" s="11" t="s">
        <v>17</v>
      </c>
      <c r="F20" s="10" t="s">
        <v>4</v>
      </c>
      <c r="G20" s="3"/>
      <c r="H20" s="3"/>
      <c r="I20" s="3"/>
      <c r="J20" s="50"/>
      <c r="K20" s="39"/>
    </row>
    <row r="21" spans="2:11">
      <c r="B21" s="21">
        <f>D21 * 1.08*F21</f>
        <v>19648.440000000002</v>
      </c>
      <c r="C21" s="3"/>
      <c r="D21" s="2">
        <v>791</v>
      </c>
      <c r="E21" s="18" t="s">
        <v>17</v>
      </c>
      <c r="F21" s="2">
        <v>23</v>
      </c>
      <c r="G21" s="224" t="s">
        <v>18</v>
      </c>
      <c r="H21" s="3"/>
      <c r="I21" s="3"/>
      <c r="J21" s="12"/>
      <c r="K21" s="39"/>
    </row>
    <row r="22" spans="2:11" ht="15.75" thickBot="1">
      <c r="B22" s="21"/>
      <c r="C22" s="31"/>
      <c r="D22" s="31"/>
      <c r="E22" s="31"/>
      <c r="F22" s="31"/>
      <c r="G22" s="31"/>
      <c r="H22" s="31"/>
      <c r="I22" s="31"/>
      <c r="J22" s="28"/>
      <c r="K22" s="40"/>
    </row>
    <row r="23" spans="2:11" ht="15.75" thickBot="1">
      <c r="B23" s="66"/>
      <c r="C23" s="73" t="s">
        <v>61</v>
      </c>
      <c r="D23" s="71">
        <v>36000</v>
      </c>
      <c r="E23" s="65"/>
      <c r="F23" s="67">
        <f>B21/D23</f>
        <v>0.54579000000000011</v>
      </c>
      <c r="G23" s="72" t="s">
        <v>60</v>
      </c>
      <c r="H23" s="68"/>
      <c r="I23" s="69"/>
      <c r="J23" s="70"/>
      <c r="K23" s="39"/>
    </row>
    <row r="24" spans="2:11">
      <c r="K24" s="39"/>
    </row>
    <row r="25" spans="2:11">
      <c r="B25" s="5" t="s">
        <v>207</v>
      </c>
      <c r="C25" s="98"/>
      <c r="D25" s="98"/>
      <c r="E25" s="98" t="s">
        <v>0</v>
      </c>
      <c r="F25" s="210">
        <v>1200</v>
      </c>
      <c r="G25" s="6"/>
      <c r="H25" s="6"/>
      <c r="I25" s="6"/>
      <c r="J25" s="209"/>
      <c r="K25" s="41"/>
    </row>
    <row r="26" spans="2:11" ht="15.75" thickBot="1">
      <c r="B26" s="16"/>
      <c r="C26" s="75"/>
      <c r="D26" s="75"/>
      <c r="E26" s="75" t="s">
        <v>214</v>
      </c>
      <c r="F26" s="211">
        <v>130</v>
      </c>
      <c r="G26" s="3"/>
      <c r="H26" s="3"/>
      <c r="I26" s="3"/>
      <c r="J26" s="206" t="s">
        <v>210</v>
      </c>
      <c r="K26" s="42"/>
    </row>
    <row r="27" spans="2:11" ht="21.75" customHeight="1">
      <c r="B27" s="16"/>
      <c r="C27" s="3"/>
      <c r="D27" s="3"/>
      <c r="E27" s="3"/>
      <c r="F27" s="3"/>
      <c r="G27" s="3"/>
      <c r="H27" s="18" t="s">
        <v>211</v>
      </c>
      <c r="I27" s="3"/>
      <c r="J27" s="207">
        <v>85.5</v>
      </c>
      <c r="K27" s="43"/>
    </row>
    <row r="28" spans="2:11" ht="15.75" thickBot="1">
      <c r="B28" s="8" t="s">
        <v>213</v>
      </c>
      <c r="C28" s="10"/>
      <c r="D28" s="10" t="s">
        <v>208</v>
      </c>
      <c r="E28" s="11"/>
      <c r="F28" s="10" t="s">
        <v>209</v>
      </c>
      <c r="G28" s="10"/>
      <c r="H28" s="11" t="s">
        <v>212</v>
      </c>
      <c r="I28" s="3"/>
      <c r="J28" s="206" t="s">
        <v>218</v>
      </c>
      <c r="K28" s="39"/>
    </row>
    <row r="29" spans="2:11">
      <c r="B29" s="213">
        <f>1.08 * F25*(H29-D29)</f>
        <v>12052.799999999996</v>
      </c>
      <c r="C29" s="214"/>
      <c r="D29" s="226">
        <v>74</v>
      </c>
      <c r="E29" s="227"/>
      <c r="F29" s="226">
        <v>63.3</v>
      </c>
      <c r="G29" s="87"/>
      <c r="H29" s="226">
        <f>(J27+J29 ) /2</f>
        <v>83.3</v>
      </c>
      <c r="I29" s="87"/>
      <c r="J29" s="228">
        <v>81.099999999999994</v>
      </c>
      <c r="K29" s="39"/>
    </row>
    <row r="30" spans="2:11">
      <c r="B30" s="113"/>
      <c r="C30" s="113" t="str">
        <f>"Cooling Loss-" &amp;ROUND(( (1.08 * F25*(H29-D29))/(F25/400*12000))*100,1) &amp; "%"</f>
        <v>Cooling Loss-33.5%</v>
      </c>
      <c r="D30" s="550" t="s">
        <v>215</v>
      </c>
      <c r="E30" s="551"/>
      <c r="F30" s="551"/>
      <c r="G30" s="551"/>
      <c r="H30" s="551"/>
      <c r="I30" s="551"/>
      <c r="J30" s="552"/>
      <c r="K30" s="39"/>
    </row>
    <row r="31" spans="2:11">
      <c r="B31" s="208"/>
      <c r="C31" s="212"/>
      <c r="D31" s="553"/>
      <c r="E31" s="554"/>
      <c r="F31" s="554"/>
      <c r="G31" s="554"/>
      <c r="H31" s="554"/>
      <c r="I31" s="554"/>
      <c r="J31" s="555"/>
      <c r="K31" s="44"/>
    </row>
    <row r="32" spans="2:11">
      <c r="K32" s="38"/>
    </row>
    <row r="33" spans="2:10">
      <c r="B33" s="5" t="s">
        <v>151</v>
      </c>
      <c r="C33" s="6"/>
      <c r="D33" s="6"/>
      <c r="E33" s="6"/>
      <c r="F33" s="6"/>
      <c r="G33" s="6"/>
      <c r="H33" s="6"/>
      <c r="I33" s="6"/>
      <c r="J33" s="7"/>
    </row>
    <row r="34" spans="2:10">
      <c r="B34" s="16"/>
      <c r="C34" s="3"/>
      <c r="D34" s="3"/>
      <c r="E34" s="3"/>
      <c r="F34" s="3"/>
      <c r="G34" s="3"/>
      <c r="H34" s="3"/>
      <c r="I34" s="3"/>
      <c r="J34" s="12"/>
    </row>
    <row r="35" spans="2:10" ht="15.75" thickBot="1">
      <c r="B35" s="8"/>
      <c r="C35" s="10" t="s">
        <v>150</v>
      </c>
      <c r="D35" s="10" t="s">
        <v>147</v>
      </c>
      <c r="E35" s="11"/>
      <c r="F35" s="10" t="s">
        <v>148</v>
      </c>
      <c r="G35" s="10"/>
      <c r="H35" s="10" t="s">
        <v>0</v>
      </c>
      <c r="I35" s="3"/>
      <c r="J35" s="12"/>
    </row>
    <row r="36" spans="2:10">
      <c r="B36" s="151" t="str">
        <f>H36/((D36*F36)/144) &amp; " fpm"</f>
        <v>230.4 fpm</v>
      </c>
      <c r="C36" s="13"/>
      <c r="D36" s="1">
        <v>20</v>
      </c>
      <c r="E36" s="14" t="s">
        <v>149</v>
      </c>
      <c r="F36" s="1">
        <v>25</v>
      </c>
      <c r="G36" s="13" t="s">
        <v>149</v>
      </c>
      <c r="H36" s="1">
        <v>800</v>
      </c>
      <c r="I36" s="13"/>
      <c r="J36" s="15"/>
    </row>
    <row r="38" spans="2:10">
      <c r="B38" s="5" t="s">
        <v>47</v>
      </c>
      <c r="C38" s="6"/>
      <c r="D38" s="225" t="s">
        <v>108</v>
      </c>
      <c r="E38" s="6"/>
      <c r="F38" s="6"/>
      <c r="G38" s="6"/>
      <c r="H38" s="64"/>
      <c r="I38" s="6"/>
      <c r="J38" s="7"/>
    </row>
    <row r="39" spans="2:10">
      <c r="B39" s="109"/>
      <c r="C39" s="3"/>
      <c r="D39" s="18"/>
      <c r="E39" s="18"/>
      <c r="F39" s="111">
        <f>D41*F41</f>
        <v>10800</v>
      </c>
      <c r="G39" s="105" t="s">
        <v>109</v>
      </c>
      <c r="H39" s="110"/>
      <c r="I39" s="75"/>
      <c r="J39" s="63"/>
    </row>
    <row r="40" spans="2:10" ht="15.75" thickBot="1">
      <c r="B40" s="8" t="s">
        <v>0</v>
      </c>
      <c r="C40" s="9" t="s">
        <v>2</v>
      </c>
      <c r="D40" s="11" t="s">
        <v>48</v>
      </c>
      <c r="E40" s="11"/>
      <c r="F40" s="11" t="s">
        <v>49</v>
      </c>
      <c r="G40" s="10"/>
      <c r="H40" s="45" t="s">
        <v>4</v>
      </c>
      <c r="I40" s="75"/>
      <c r="J40" s="63"/>
    </row>
    <row r="41" spans="2:10">
      <c r="B41" s="20">
        <f>(D41*F41*3.4141)/(1.08 *H41)</f>
        <v>1219.3214285714284</v>
      </c>
      <c r="C41" s="13"/>
      <c r="D41" s="1">
        <v>240</v>
      </c>
      <c r="E41" s="14"/>
      <c r="F41" s="1">
        <v>45</v>
      </c>
      <c r="G41" s="13"/>
      <c r="H41" s="62">
        <v>28</v>
      </c>
      <c r="I41" s="13"/>
      <c r="J41" s="15"/>
    </row>
    <row r="43" spans="2:10">
      <c r="B43" s="5" t="s">
        <v>301</v>
      </c>
      <c r="C43" s="6"/>
      <c r="D43" s="225"/>
      <c r="E43" s="6"/>
      <c r="F43" s="6"/>
      <c r="G43" s="6"/>
      <c r="H43" s="64"/>
      <c r="I43" s="6"/>
      <c r="J43" s="7"/>
    </row>
    <row r="44" spans="2:10" ht="15.75" thickBot="1">
      <c r="B44" s="8" t="s">
        <v>302</v>
      </c>
      <c r="C44" s="9" t="s">
        <v>2</v>
      </c>
      <c r="D44" s="45" t="s">
        <v>303</v>
      </c>
      <c r="E44" s="11"/>
      <c r="F44" s="45" t="s">
        <v>304</v>
      </c>
      <c r="G44" s="10"/>
      <c r="H44" s="45" t="s">
        <v>305</v>
      </c>
      <c r="I44" s="45"/>
      <c r="J44" s="373" t="s">
        <v>306</v>
      </c>
    </row>
    <row r="45" spans="2:10">
      <c r="B45" s="374">
        <f>(D45 - (F45 - (((H45 - F45) / 30) * (17 - J45)))) / 3413</f>
        <v>6.494774880359409</v>
      </c>
      <c r="C45" s="13"/>
      <c r="D45" s="375">
        <v>36000</v>
      </c>
      <c r="E45" s="14"/>
      <c r="F45" s="375">
        <v>15000</v>
      </c>
      <c r="G45" s="13"/>
      <c r="H45" s="375">
        <v>20000</v>
      </c>
      <c r="I45" s="376"/>
      <c r="J45" s="377">
        <v>10</v>
      </c>
    </row>
    <row r="46" spans="2:10">
      <c r="B46" s="5"/>
      <c r="C46" s="6"/>
      <c r="D46" s="6"/>
      <c r="E46" s="6"/>
      <c r="F46" s="6"/>
      <c r="G46" s="6"/>
      <c r="H46" s="6"/>
      <c r="I46" s="6"/>
      <c r="J46" s="7"/>
    </row>
    <row r="47" spans="2:10">
      <c r="B47" s="16" t="s">
        <v>307</v>
      </c>
      <c r="C47" s="3"/>
      <c r="D47" s="3"/>
      <c r="E47" s="3"/>
      <c r="F47" s="3"/>
      <c r="G47" s="3"/>
      <c r="H47" s="3"/>
      <c r="I47" s="3"/>
      <c r="J47" s="12"/>
    </row>
    <row r="48" spans="2:10" ht="15.75" thickBot="1">
      <c r="B48" s="8" t="s">
        <v>302</v>
      </c>
      <c r="C48" s="9" t="s">
        <v>2</v>
      </c>
      <c r="D48" s="45" t="s">
        <v>303</v>
      </c>
      <c r="E48" s="3"/>
      <c r="F48" s="3"/>
      <c r="G48" s="3"/>
      <c r="H48" s="3"/>
      <c r="I48" s="3"/>
      <c r="J48" s="12"/>
    </row>
    <row r="49" spans="1:10">
      <c r="B49" s="378">
        <f>D49/ 3413</f>
        <v>10.54790506885438</v>
      </c>
      <c r="C49" s="87"/>
      <c r="D49" s="379">
        <v>36000</v>
      </c>
      <c r="E49" s="3"/>
      <c r="F49" s="3"/>
      <c r="G49" s="3"/>
      <c r="H49" s="3"/>
      <c r="I49" s="3"/>
      <c r="J49" s="12"/>
    </row>
    <row r="50" spans="1:10">
      <c r="A50" s="182"/>
      <c r="B50" s="380" t="s">
        <v>308</v>
      </c>
      <c r="C50" s="31"/>
      <c r="D50" s="31"/>
      <c r="E50" s="31"/>
      <c r="F50" s="31"/>
      <c r="G50" s="31"/>
      <c r="H50" s="31"/>
      <c r="I50" s="31"/>
      <c r="J50" s="12"/>
    </row>
    <row r="51" spans="1:10">
      <c r="B51" s="380" t="s">
        <v>309</v>
      </c>
      <c r="C51" s="31"/>
      <c r="D51" s="31"/>
      <c r="E51" s="31"/>
      <c r="F51" s="31"/>
      <c r="G51" s="31"/>
      <c r="H51" s="31"/>
      <c r="I51" s="31"/>
      <c r="J51" s="12"/>
    </row>
    <row r="52" spans="1:10">
      <c r="B52" s="380" t="s">
        <v>310</v>
      </c>
      <c r="C52" s="31"/>
      <c r="D52" s="31"/>
      <c r="E52" s="31"/>
      <c r="F52" s="31"/>
      <c r="G52" s="31"/>
      <c r="H52" s="31"/>
      <c r="I52" s="31"/>
      <c r="J52" s="12"/>
    </row>
    <row r="53" spans="1:10">
      <c r="B53" s="381" t="s">
        <v>311</v>
      </c>
      <c r="C53" s="65"/>
      <c r="D53" s="65"/>
      <c r="E53" s="65"/>
      <c r="F53" s="65"/>
      <c r="G53" s="65"/>
      <c r="H53" s="65"/>
      <c r="I53" s="65"/>
      <c r="J53" s="15"/>
    </row>
    <row r="55" spans="1:10" ht="17.25" customHeight="1">
      <c r="B55" s="74" t="s">
        <v>467</v>
      </c>
      <c r="C55" s="6"/>
      <c r="D55" s="6"/>
      <c r="E55" s="6"/>
      <c r="F55" s="6"/>
      <c r="G55" s="6"/>
      <c r="H55" s="6"/>
      <c r="I55" s="6"/>
      <c r="J55" s="382"/>
    </row>
    <row r="56" spans="1:10" ht="17.25" customHeight="1">
      <c r="B56" s="109"/>
      <c r="C56" s="75"/>
      <c r="D56" s="75"/>
      <c r="E56" s="75"/>
      <c r="F56" s="75"/>
      <c r="G56" s="75"/>
      <c r="H56" s="75"/>
      <c r="I56" s="75"/>
      <c r="J56" s="383"/>
    </row>
    <row r="57" spans="1:10" ht="15.75" customHeight="1">
      <c r="B57" s="109"/>
      <c r="C57" s="109" t="s">
        <v>315</v>
      </c>
      <c r="D57" s="384">
        <v>2</v>
      </c>
      <c r="E57" s="105" t="s">
        <v>316</v>
      </c>
      <c r="F57" s="75"/>
      <c r="G57" s="75"/>
      <c r="H57" s="75"/>
      <c r="I57" s="75"/>
      <c r="J57" s="383"/>
    </row>
    <row r="58" spans="1:10">
      <c r="B58" s="109"/>
      <c r="C58" s="109" t="s">
        <v>317</v>
      </c>
      <c r="D58" s="384">
        <v>80</v>
      </c>
      <c r="E58" s="75"/>
      <c r="F58" s="75"/>
      <c r="G58" s="75"/>
      <c r="H58" s="75"/>
      <c r="I58" s="75"/>
      <c r="J58" s="383"/>
    </row>
    <row r="59" spans="1:10">
      <c r="B59" s="385"/>
      <c r="C59" s="385" t="s">
        <v>318</v>
      </c>
      <c r="D59" s="386">
        <f>D57/D58*3600</f>
        <v>90</v>
      </c>
      <c r="E59" s="387" t="s">
        <v>319</v>
      </c>
      <c r="F59" s="75"/>
      <c r="G59" s="75"/>
      <c r="H59" s="75"/>
      <c r="I59" s="75"/>
      <c r="J59" s="383"/>
    </row>
    <row r="60" spans="1:10" ht="15" customHeight="1">
      <c r="B60" s="109"/>
      <c r="C60" s="75"/>
      <c r="D60" s="75"/>
      <c r="E60" s="75"/>
      <c r="F60" s="75"/>
      <c r="G60" s="75"/>
      <c r="H60" s="75"/>
      <c r="I60" s="75"/>
      <c r="J60" s="383"/>
    </row>
    <row r="61" spans="1:10">
      <c r="B61" s="97"/>
      <c r="C61" s="98"/>
      <c r="D61" s="388" t="s">
        <v>320</v>
      </c>
      <c r="E61" s="98"/>
      <c r="F61" s="98"/>
      <c r="G61" s="98"/>
      <c r="H61" s="98"/>
      <c r="I61" s="98"/>
      <c r="J61" s="389"/>
    </row>
    <row r="62" spans="1:10">
      <c r="B62" s="109"/>
      <c r="C62" s="109" t="s">
        <v>321</v>
      </c>
      <c r="D62" s="384">
        <v>2</v>
      </c>
      <c r="E62" s="75"/>
      <c r="F62" s="75"/>
      <c r="G62" s="75"/>
      <c r="H62" s="75"/>
      <c r="I62" s="75"/>
      <c r="J62" s="383"/>
    </row>
    <row r="63" spans="1:10">
      <c r="B63" s="109"/>
      <c r="C63" s="75" t="s">
        <v>322</v>
      </c>
      <c r="D63" s="384">
        <v>1</v>
      </c>
      <c r="E63" s="105" t="s">
        <v>323</v>
      </c>
      <c r="F63" s="75"/>
      <c r="G63" s="75"/>
      <c r="H63" s="75"/>
      <c r="I63" s="75"/>
      <c r="J63" s="383"/>
    </row>
    <row r="64" spans="1:10">
      <c r="B64" s="109"/>
      <c r="C64" s="75" t="s">
        <v>324</v>
      </c>
      <c r="D64" s="390">
        <f>14.696*( 1-6.8754 * 10^-6 * D63)^5.2559</f>
        <v>14.695468947016849</v>
      </c>
      <c r="E64" s="75"/>
      <c r="F64" s="75"/>
      <c r="G64" s="75"/>
      <c r="H64" s="75"/>
      <c r="I64" s="75"/>
      <c r="J64" s="383"/>
    </row>
    <row r="65" spans="2:10">
      <c r="B65" s="109"/>
      <c r="C65" s="75" t="s">
        <v>325</v>
      </c>
      <c r="D65" s="391">
        <f>(D62+D64)/14.696</f>
        <v>1.1360553175705532</v>
      </c>
      <c r="E65" s="105"/>
      <c r="F65" s="75"/>
      <c r="G65" s="75"/>
      <c r="H65" s="75"/>
      <c r="I65" s="75"/>
      <c r="J65" s="383"/>
    </row>
    <row r="66" spans="2:10">
      <c r="B66" s="392"/>
      <c r="C66" s="393" t="s">
        <v>326</v>
      </c>
      <c r="D66" s="549">
        <f>D59*D65*D71</f>
        <v>107357.22751041727</v>
      </c>
      <c r="E66" s="387" t="s">
        <v>327</v>
      </c>
      <c r="F66" s="75"/>
      <c r="G66" s="75"/>
      <c r="H66" s="75"/>
      <c r="I66" s="75"/>
      <c r="J66" s="383"/>
    </row>
    <row r="67" spans="2:10">
      <c r="B67" s="392"/>
      <c r="C67" s="75"/>
      <c r="D67" s="75"/>
      <c r="E67" s="75"/>
      <c r="F67" s="75"/>
      <c r="G67" s="75"/>
      <c r="H67" s="75"/>
      <c r="I67" s="75"/>
      <c r="J67" s="383"/>
    </row>
    <row r="68" spans="2:10">
      <c r="B68" s="392" t="str">
        <f>"@ " &amp;D62 &amp; " PSIG at the meter, customer burns " &amp; ROUND(D65,3) &amp; " cubic feet/hr at the tip"</f>
        <v>@ 2 PSIG at the meter, customer burns 1.136 cubic feet/hr at the tip</v>
      </c>
      <c r="C68" s="75"/>
      <c r="D68" s="75"/>
      <c r="E68" s="75"/>
      <c r="F68" s="75"/>
      <c r="G68" s="75"/>
      <c r="H68" s="75"/>
      <c r="I68" s="75"/>
      <c r="J68" s="383"/>
    </row>
    <row r="69" spans="2:10">
      <c r="B69" s="392" t="str">
        <f>"and the adjusted flow rate (SCFH) is " &amp; ROUND(D66,2) &amp; " Cubic Feet/Hour."</f>
        <v>and the adjusted flow rate (SCFH) is 107357.23 Cubic Feet/Hour.</v>
      </c>
      <c r="C69" s="75"/>
      <c r="D69" s="75"/>
      <c r="E69" s="75"/>
      <c r="F69" s="75"/>
      <c r="G69" s="75"/>
      <c r="H69" s="75"/>
      <c r="I69" s="75"/>
      <c r="J69" s="383"/>
    </row>
    <row r="70" spans="2:10">
      <c r="B70" s="76" t="s">
        <v>328</v>
      </c>
      <c r="C70" s="3"/>
      <c r="D70" s="166" t="s">
        <v>329</v>
      </c>
      <c r="E70" s="3"/>
      <c r="F70" s="3"/>
      <c r="G70" s="3"/>
      <c r="H70" s="3"/>
      <c r="I70" s="3"/>
      <c r="J70" s="397"/>
    </row>
    <row r="71" spans="2:10">
      <c r="B71" s="16"/>
      <c r="C71" s="75" t="s">
        <v>330</v>
      </c>
      <c r="D71" s="398">
        <v>1050</v>
      </c>
      <c r="E71" s="3" t="s">
        <v>331</v>
      </c>
      <c r="F71" s="3"/>
      <c r="G71" s="3"/>
      <c r="H71" s="3"/>
      <c r="I71" s="3"/>
      <c r="J71" s="397"/>
    </row>
    <row r="72" spans="2:10">
      <c r="B72" s="16"/>
      <c r="C72" s="75" t="s">
        <v>332</v>
      </c>
      <c r="D72" s="398">
        <v>80</v>
      </c>
      <c r="E72" s="3" t="s">
        <v>105</v>
      </c>
      <c r="F72" s="3"/>
      <c r="G72" s="3"/>
      <c r="H72" s="399"/>
      <c r="I72" s="3"/>
      <c r="J72" s="397"/>
    </row>
    <row r="73" spans="2:10">
      <c r="B73" s="400"/>
      <c r="C73" s="393" t="s">
        <v>333</v>
      </c>
      <c r="D73" s="558">
        <f>D59*D71*(D72/100)</f>
        <v>75600</v>
      </c>
      <c r="E73" s="165" t="s">
        <v>334</v>
      </c>
      <c r="F73" s="3"/>
      <c r="G73" s="3"/>
      <c r="H73" s="3"/>
      <c r="I73" s="3"/>
      <c r="J73" s="397"/>
    </row>
    <row r="74" spans="2:10">
      <c r="B74" s="400"/>
      <c r="C74" s="393" t="s">
        <v>333</v>
      </c>
      <c r="D74" s="558">
        <f>D66*(D72/100)</f>
        <v>85885.78200833383</v>
      </c>
      <c r="E74" s="165" t="s">
        <v>335</v>
      </c>
      <c r="F74" s="3"/>
      <c r="G74" s="3"/>
      <c r="H74" s="3"/>
      <c r="I74" s="3"/>
      <c r="J74" s="397"/>
    </row>
    <row r="75" spans="2:10">
      <c r="B75" s="402"/>
      <c r="C75" s="3"/>
      <c r="D75" s="3"/>
      <c r="E75" s="3"/>
      <c r="F75" s="3"/>
      <c r="G75" s="3"/>
      <c r="H75" s="3"/>
      <c r="I75" s="3"/>
      <c r="J75" s="397"/>
    </row>
    <row r="76" spans="2:10" ht="20.25" customHeight="1">
      <c r="B76" s="559" t="s">
        <v>461</v>
      </c>
      <c r="C76" s="3"/>
      <c r="D76" s="3"/>
      <c r="E76" s="3"/>
      <c r="F76" s="3"/>
      <c r="G76" s="3"/>
      <c r="H76" s="3"/>
      <c r="I76" s="3"/>
      <c r="J76" s="397"/>
    </row>
    <row r="77" spans="2:10">
      <c r="B77" s="564" t="s">
        <v>462</v>
      </c>
      <c r="C77" s="33"/>
      <c r="D77" s="565" t="s">
        <v>463</v>
      </c>
      <c r="E77" s="33"/>
      <c r="F77" s="33" t="s">
        <v>328</v>
      </c>
      <c r="G77" s="3"/>
      <c r="H77" s="3"/>
      <c r="I77" s="3"/>
      <c r="J77" s="397"/>
    </row>
    <row r="78" spans="2:10">
      <c r="B78" s="569">
        <v>1500</v>
      </c>
      <c r="C78" s="3"/>
      <c r="D78" s="398">
        <v>50</v>
      </c>
      <c r="E78" s="3"/>
      <c r="F78" s="561">
        <f>B78*D78*1.08</f>
        <v>81000</v>
      </c>
      <c r="G78" s="3"/>
      <c r="H78" s="3"/>
      <c r="I78" s="3"/>
      <c r="J78" s="397"/>
    </row>
    <row r="79" spans="2:10">
      <c r="B79" s="402"/>
      <c r="C79" s="3"/>
      <c r="D79" s="75" t="s">
        <v>464</v>
      </c>
      <c r="E79" s="3"/>
      <c r="F79" s="561">
        <f>D66</f>
        <v>107357.22751041727</v>
      </c>
      <c r="G79" s="3"/>
      <c r="H79" s="3"/>
      <c r="I79" s="3"/>
      <c r="J79" s="397"/>
    </row>
    <row r="80" spans="2:10">
      <c r="B80" s="568"/>
      <c r="C80" s="432" t="s">
        <v>465</v>
      </c>
      <c r="D80" s="567">
        <f>F78/F79</f>
        <v>0.75449042303314207</v>
      </c>
      <c r="E80" s="3"/>
      <c r="F80" s="3"/>
      <c r="G80" s="3"/>
      <c r="H80" s="3"/>
      <c r="I80" s="3"/>
      <c r="J80" s="397"/>
    </row>
    <row r="81" spans="2:10">
      <c r="B81" s="562"/>
      <c r="C81" s="13"/>
      <c r="D81" s="13"/>
      <c r="E81" s="13"/>
      <c r="F81" s="13"/>
      <c r="G81" s="13"/>
      <c r="H81" s="13"/>
      <c r="I81" s="13"/>
      <c r="J81" s="409"/>
    </row>
    <row r="83" spans="2:10">
      <c r="B83" s="563" t="s">
        <v>468</v>
      </c>
      <c r="C83" s="6"/>
      <c r="D83" s="6"/>
      <c r="E83" s="6"/>
      <c r="F83" s="6"/>
      <c r="G83" s="6"/>
      <c r="H83" s="6"/>
      <c r="I83" s="6"/>
      <c r="J83" s="382"/>
    </row>
    <row r="84" spans="2:10">
      <c r="B84" s="559"/>
      <c r="C84" s="3"/>
      <c r="D84" s="3"/>
      <c r="E84" s="3"/>
      <c r="F84" s="3"/>
      <c r="G84" s="3"/>
      <c r="H84" s="3"/>
      <c r="I84" s="3"/>
      <c r="J84" s="397"/>
    </row>
    <row r="85" spans="2:10">
      <c r="B85" s="16"/>
      <c r="C85" s="3"/>
      <c r="D85" s="166" t="s">
        <v>336</v>
      </c>
      <c r="E85" s="3"/>
      <c r="F85" s="3"/>
      <c r="G85" s="3"/>
      <c r="H85" s="3"/>
      <c r="I85" s="3"/>
      <c r="J85" s="397"/>
    </row>
    <row r="86" spans="2:10">
      <c r="B86" s="16"/>
      <c r="C86" s="75" t="s">
        <v>337</v>
      </c>
      <c r="D86" s="403">
        <v>138690</v>
      </c>
      <c r="E86" s="3" t="s">
        <v>338</v>
      </c>
      <c r="F86" s="3"/>
      <c r="G86" s="3"/>
      <c r="H86" s="3"/>
      <c r="I86" s="3"/>
      <c r="J86" s="397"/>
    </row>
    <row r="87" spans="2:10">
      <c r="B87" s="16"/>
      <c r="C87" s="75" t="s">
        <v>339</v>
      </c>
      <c r="D87" s="404">
        <v>0.55000000000000004</v>
      </c>
      <c r="E87" s="3" t="s">
        <v>11</v>
      </c>
      <c r="F87" s="3"/>
      <c r="G87" s="3"/>
      <c r="H87" s="3"/>
      <c r="I87" s="3"/>
      <c r="J87" s="397"/>
    </row>
    <row r="88" spans="2:10">
      <c r="B88" s="16"/>
      <c r="C88" s="75" t="s">
        <v>340</v>
      </c>
      <c r="D88" s="405">
        <v>135</v>
      </c>
      <c r="E88" s="3" t="s">
        <v>341</v>
      </c>
      <c r="F88" s="3"/>
      <c r="G88" s="3"/>
      <c r="H88" s="3"/>
      <c r="I88" s="3"/>
      <c r="J88" s="397"/>
    </row>
    <row r="89" spans="2:10">
      <c r="B89" s="16"/>
      <c r="C89" s="75" t="s">
        <v>342</v>
      </c>
      <c r="D89" s="406">
        <f>ROUND(D87*(D88/100)^0.5,2)</f>
        <v>0.64</v>
      </c>
      <c r="E89" s="3" t="s">
        <v>343</v>
      </c>
      <c r="F89" s="3"/>
      <c r="G89" s="3"/>
      <c r="H89" s="3"/>
      <c r="I89" s="3"/>
      <c r="J89" s="397"/>
    </row>
    <row r="90" spans="2:10">
      <c r="B90" s="16"/>
      <c r="C90" s="75" t="s">
        <v>332</v>
      </c>
      <c r="D90" s="407">
        <v>80</v>
      </c>
      <c r="E90" s="3" t="s">
        <v>105</v>
      </c>
      <c r="F90" s="3"/>
      <c r="G90" s="3"/>
      <c r="H90" s="3"/>
      <c r="I90" s="3"/>
      <c r="J90" s="397"/>
    </row>
    <row r="91" spans="2:10">
      <c r="B91" s="16"/>
      <c r="C91" s="393" t="s">
        <v>333</v>
      </c>
      <c r="D91" s="558">
        <f>D86*D89*(D90/100)</f>
        <v>71009.280000000013</v>
      </c>
      <c r="E91" s="3"/>
      <c r="F91" s="3"/>
      <c r="G91" s="3"/>
      <c r="H91" s="3"/>
      <c r="I91" s="3"/>
      <c r="J91" s="397"/>
    </row>
    <row r="92" spans="2:10">
      <c r="B92" s="16"/>
      <c r="C92" s="393"/>
      <c r="D92" s="560"/>
      <c r="E92" s="3"/>
      <c r="F92" s="3"/>
      <c r="G92" s="3"/>
      <c r="H92" s="3"/>
      <c r="I92" s="3"/>
      <c r="J92" s="397"/>
    </row>
    <row r="93" spans="2:10">
      <c r="B93" s="76" t="s">
        <v>461</v>
      </c>
      <c r="C93" s="3"/>
      <c r="D93" s="3"/>
      <c r="E93" s="3"/>
      <c r="F93" s="3"/>
      <c r="G93" s="3"/>
      <c r="H93" s="3"/>
      <c r="I93" s="3"/>
      <c r="J93" s="397"/>
    </row>
    <row r="94" spans="2:10">
      <c r="B94" s="564" t="s">
        <v>462</v>
      </c>
      <c r="C94" s="33"/>
      <c r="D94" s="565" t="s">
        <v>463</v>
      </c>
      <c r="E94" s="33"/>
      <c r="F94" s="33" t="s">
        <v>328</v>
      </c>
      <c r="G94" s="3"/>
      <c r="H94" s="3"/>
      <c r="I94" s="3"/>
      <c r="J94" s="397"/>
    </row>
    <row r="95" spans="2:10">
      <c r="B95" s="569">
        <v>750</v>
      </c>
      <c r="C95" s="3"/>
      <c r="D95" s="398">
        <v>70</v>
      </c>
      <c r="E95" s="3"/>
      <c r="F95" s="561">
        <f>B95*D95*1.08</f>
        <v>56700.000000000007</v>
      </c>
      <c r="G95" s="3"/>
      <c r="H95" s="3"/>
      <c r="I95" s="3"/>
      <c r="J95" s="397"/>
    </row>
    <row r="96" spans="2:10">
      <c r="B96" s="402"/>
      <c r="C96" s="3"/>
      <c r="D96" s="75" t="s">
        <v>466</v>
      </c>
      <c r="E96" s="3"/>
      <c r="F96" s="561">
        <f>D91</f>
        <v>71009.280000000013</v>
      </c>
      <c r="G96" s="3"/>
      <c r="H96" s="3"/>
      <c r="I96" s="3"/>
      <c r="J96" s="397"/>
    </row>
    <row r="97" spans="2:10">
      <c r="B97" s="566"/>
      <c r="C97" s="432" t="s">
        <v>465</v>
      </c>
      <c r="D97" s="567">
        <f>F95/F96</f>
        <v>0.79848718364698246</v>
      </c>
      <c r="E97" s="3"/>
      <c r="F97" s="3"/>
      <c r="G97" s="3"/>
      <c r="H97" s="3"/>
      <c r="I97" s="3"/>
      <c r="J97" s="397"/>
    </row>
    <row r="98" spans="2:10">
      <c r="B98" s="160"/>
      <c r="C98" s="13"/>
      <c r="D98" s="13"/>
      <c r="E98" s="13"/>
      <c r="F98" s="13"/>
      <c r="G98" s="13"/>
      <c r="H98" s="13"/>
      <c r="I98" s="13"/>
      <c r="J98" s="409"/>
    </row>
  </sheetData>
  <sheetProtection sheet="1" objects="1" scenarios="1"/>
  <mergeCells count="1">
    <mergeCell ref="D30:J3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R53"/>
  <sheetViews>
    <sheetView showGridLines="0" topLeftCell="A34" workbookViewId="0">
      <selection activeCell="B4" sqref="B4"/>
    </sheetView>
  </sheetViews>
  <sheetFormatPr defaultRowHeight="15"/>
  <cols>
    <col min="1" max="1" width="2.85546875" style="4" customWidth="1"/>
    <col min="2" max="3" width="9.140625" style="4"/>
    <col min="4" max="4" width="6.7109375" style="4" customWidth="1"/>
    <col min="5" max="7" width="9.140625" style="4"/>
    <col min="8" max="8" width="2.28515625" style="4" customWidth="1"/>
    <col min="9" max="9" width="9.7109375" style="4" bestFit="1" customWidth="1"/>
    <col min="10" max="10" width="2.140625" style="4" customWidth="1"/>
    <col min="11" max="11" width="11.28515625" style="4" customWidth="1"/>
    <col min="12" max="12" width="16.7109375" style="4" customWidth="1"/>
    <col min="13" max="17" width="9.140625" style="4"/>
    <col min="18" max="18" width="1.85546875" style="4" customWidth="1"/>
    <col min="19" max="16384" width="9.140625" style="4"/>
  </cols>
  <sheetData>
    <row r="1" spans="2:18">
      <c r="B1" s="509" t="s">
        <v>440</v>
      </c>
      <c r="C1" s="510"/>
      <c r="D1" s="511"/>
      <c r="E1" s="511"/>
      <c r="F1" s="513"/>
    </row>
    <row r="2" spans="2:18">
      <c r="B2" s="532" t="s">
        <v>402</v>
      </c>
      <c r="C2" s="533" t="s">
        <v>441</v>
      </c>
      <c r="D2" s="534">
        <f>VLOOKUP(B2,Formulae!B23:C25,2,FALSE)</f>
        <v>138690</v>
      </c>
      <c r="E2" s="515" t="s">
        <v>442</v>
      </c>
      <c r="F2" s="291"/>
    </row>
    <row r="3" spans="2:18">
      <c r="B3" s="535">
        <v>0.7</v>
      </c>
      <c r="C3" s="515" t="s">
        <v>444</v>
      </c>
      <c r="D3" s="129"/>
      <c r="E3" s="129"/>
      <c r="F3" s="291"/>
    </row>
    <row r="4" spans="2:18">
      <c r="B4" s="536">
        <f>B3*D2</f>
        <v>97083</v>
      </c>
      <c r="C4" s="520" t="s">
        <v>443</v>
      </c>
      <c r="D4" s="521"/>
      <c r="E4" s="521"/>
      <c r="F4" s="522"/>
    </row>
    <row r="6" spans="2:18" ht="15.75" thickBot="1">
      <c r="B6" s="430"/>
      <c r="C6" s="431"/>
      <c r="D6" s="432" t="s">
        <v>365</v>
      </c>
      <c r="E6" s="432"/>
      <c r="F6" s="431"/>
      <c r="G6" s="432" t="s">
        <v>366</v>
      </c>
      <c r="H6" s="432"/>
      <c r="I6" s="433" t="s">
        <v>367</v>
      </c>
      <c r="K6" s="74"/>
      <c r="L6" s="434" t="s">
        <v>374</v>
      </c>
      <c r="M6" s="435"/>
      <c r="N6" s="458" t="s">
        <v>371</v>
      </c>
      <c r="O6" s="459"/>
      <c r="P6" s="459"/>
      <c r="Q6" s="459"/>
      <c r="R6" s="460"/>
    </row>
    <row r="7" spans="2:18" ht="15.75" thickBot="1">
      <c r="B7" s="436"/>
      <c r="C7" s="428">
        <v>1.5</v>
      </c>
      <c r="D7" s="437"/>
      <c r="E7" s="147"/>
      <c r="F7" s="429">
        <v>140</v>
      </c>
      <c r="G7" s="437"/>
      <c r="H7" s="147"/>
      <c r="I7" s="438">
        <f>C7*(F7/100)^0.5</f>
        <v>1.7748239349298847</v>
      </c>
      <c r="K7" s="16"/>
      <c r="L7" s="93">
        <v>0.4</v>
      </c>
      <c r="M7" s="439"/>
      <c r="N7" s="461" t="s">
        <v>373</v>
      </c>
      <c r="O7" s="462"/>
      <c r="P7" s="462"/>
      <c r="Q7" s="462"/>
      <c r="R7" s="463"/>
    </row>
    <row r="8" spans="2:18" ht="15.75" thickBot="1">
      <c r="B8" s="40"/>
      <c r="C8" s="440"/>
      <c r="D8" s="441"/>
      <c r="E8" s="40"/>
      <c r="F8" s="442"/>
      <c r="G8" s="441"/>
      <c r="H8" s="40"/>
      <c r="K8" s="16"/>
      <c r="L8" s="93">
        <v>0.5</v>
      </c>
      <c r="M8" s="443">
        <v>0.4</v>
      </c>
      <c r="N8" s="464" t="s">
        <v>372</v>
      </c>
      <c r="O8" s="465"/>
      <c r="P8" s="465"/>
      <c r="Q8" s="465"/>
      <c r="R8" s="466"/>
    </row>
    <row r="9" spans="2:18" ht="15.75" thickBot="1">
      <c r="B9" s="444"/>
      <c r="C9" s="445"/>
      <c r="D9" s="446" t="s">
        <v>370</v>
      </c>
      <c r="E9" s="457">
        <v>300</v>
      </c>
      <c r="K9" s="16"/>
      <c r="L9" s="93">
        <v>0.6</v>
      </c>
      <c r="M9" s="443">
        <v>0.5</v>
      </c>
    </row>
    <row r="10" spans="2:18">
      <c r="K10" s="16"/>
      <c r="L10" s="93">
        <v>0.65</v>
      </c>
      <c r="M10" s="443">
        <v>0.6</v>
      </c>
    </row>
    <row r="11" spans="2:18">
      <c r="B11" s="447"/>
      <c r="C11" s="448"/>
      <c r="D11" s="432" t="s">
        <v>368</v>
      </c>
      <c r="E11" s="449"/>
      <c r="F11" s="450"/>
      <c r="G11" s="432" t="s">
        <v>369</v>
      </c>
      <c r="H11" s="449"/>
      <c r="I11" s="451" t="s">
        <v>367</v>
      </c>
      <c r="K11" s="16"/>
      <c r="L11" s="93">
        <v>0.7</v>
      </c>
      <c r="M11" s="443">
        <v>0.65</v>
      </c>
    </row>
    <row r="12" spans="2:18">
      <c r="B12" s="16"/>
      <c r="C12" s="452">
        <f>IFERROR(VLOOKUP(C7,$L$8:$M$53,2,0),"")</f>
        <v>1.35</v>
      </c>
      <c r="D12" s="93"/>
      <c r="E12" s="3"/>
      <c r="F12" s="19">
        <f t="shared" ref="F12:F39" si="0">IF(ISERROR(100*($I$7/C12)^2),"",IF(100*($I$7/C12)^2&lt;=$E$9,100*($I$7/C12)^2,""))</f>
        <v>172.83950617283944</v>
      </c>
      <c r="G12" s="3"/>
      <c r="H12" s="3"/>
      <c r="I12" s="453">
        <f t="shared" ref="I12:I15" si="1">IFERROR(C12*(F12/100)^0.5,"")</f>
        <v>1.7748239349298847</v>
      </c>
      <c r="K12" s="16"/>
      <c r="L12" s="93">
        <v>0.75</v>
      </c>
      <c r="M12" s="443">
        <v>0.7</v>
      </c>
    </row>
    <row r="13" spans="2:18">
      <c r="B13" s="16"/>
      <c r="C13" s="452">
        <f t="shared" ref="C13:C38" si="2">IFERROR(VLOOKUP(C12,$L$8:$M$53,2,0),"")</f>
        <v>1.25</v>
      </c>
      <c r="D13" s="3"/>
      <c r="E13" s="3"/>
      <c r="F13" s="19">
        <f t="shared" si="0"/>
        <v>201.59999999999997</v>
      </c>
      <c r="G13" s="3"/>
      <c r="H13" s="3"/>
      <c r="I13" s="453">
        <f t="shared" si="1"/>
        <v>1.7748239349298847</v>
      </c>
      <c r="K13" s="16"/>
      <c r="L13" s="93">
        <v>0.85</v>
      </c>
      <c r="M13" s="443">
        <v>0.75</v>
      </c>
    </row>
    <row r="14" spans="2:18">
      <c r="B14" s="16"/>
      <c r="C14" s="452">
        <f t="shared" si="2"/>
        <v>1.2</v>
      </c>
      <c r="D14" s="3"/>
      <c r="E14" s="3"/>
      <c r="F14" s="19">
        <f t="shared" si="0"/>
        <v>218.75</v>
      </c>
      <c r="G14" s="3"/>
      <c r="H14" s="3"/>
      <c r="I14" s="453">
        <f t="shared" si="1"/>
        <v>1.7748239349298849</v>
      </c>
      <c r="K14" s="16"/>
      <c r="L14" s="93">
        <v>0.9</v>
      </c>
      <c r="M14" s="443">
        <v>0.85</v>
      </c>
    </row>
    <row r="15" spans="2:18">
      <c r="B15" s="16"/>
      <c r="C15" s="452">
        <f t="shared" si="2"/>
        <v>1.1000000000000001</v>
      </c>
      <c r="D15" s="3"/>
      <c r="E15" s="3"/>
      <c r="F15" s="19">
        <f t="shared" si="0"/>
        <v>260.33057851239664</v>
      </c>
      <c r="G15" s="3"/>
      <c r="H15" s="3"/>
      <c r="I15" s="453">
        <f t="shared" si="1"/>
        <v>1.7748239349298849</v>
      </c>
      <c r="K15" s="16"/>
      <c r="L15" s="93">
        <v>1</v>
      </c>
      <c r="M15" s="443">
        <v>0.9</v>
      </c>
    </row>
    <row r="16" spans="2:18">
      <c r="B16" s="16"/>
      <c r="C16" s="452">
        <f t="shared" si="2"/>
        <v>1</v>
      </c>
      <c r="D16" s="3"/>
      <c r="E16" s="3"/>
      <c r="F16" s="19" t="str">
        <f t="shared" si="0"/>
        <v/>
      </c>
      <c r="G16" s="3"/>
      <c r="H16" s="3"/>
      <c r="I16" s="453" t="str">
        <f>IFERROR(C16*(F16/100)^0.5,"")</f>
        <v/>
      </c>
      <c r="K16" s="16"/>
      <c r="L16" s="93">
        <v>1.1000000000000001</v>
      </c>
      <c r="M16" s="443">
        <v>1</v>
      </c>
    </row>
    <row r="17" spans="2:13">
      <c r="B17" s="16"/>
      <c r="C17" s="452">
        <f t="shared" si="2"/>
        <v>0.9</v>
      </c>
      <c r="D17" s="3"/>
      <c r="E17" s="3"/>
      <c r="F17" s="19" t="str">
        <f t="shared" si="0"/>
        <v/>
      </c>
      <c r="G17" s="3"/>
      <c r="H17" s="3"/>
      <c r="I17" s="453" t="str">
        <f t="shared" ref="I17:I39" si="3">IFERROR(C17*(F17/100)^0.5,"")</f>
        <v/>
      </c>
      <c r="K17" s="16"/>
      <c r="L17" s="93">
        <v>1.2</v>
      </c>
      <c r="M17" s="443">
        <v>1.1000000000000001</v>
      </c>
    </row>
    <row r="18" spans="2:13">
      <c r="B18" s="16"/>
      <c r="C18" s="452">
        <f t="shared" si="2"/>
        <v>0.85</v>
      </c>
      <c r="D18" s="3"/>
      <c r="E18" s="3"/>
      <c r="F18" s="19" t="str">
        <f t="shared" si="0"/>
        <v/>
      </c>
      <c r="G18" s="3"/>
      <c r="H18" s="3"/>
      <c r="I18" s="453" t="str">
        <f t="shared" si="3"/>
        <v/>
      </c>
      <c r="K18" s="16"/>
      <c r="L18" s="93">
        <v>1.25</v>
      </c>
      <c r="M18" s="443">
        <v>1.2</v>
      </c>
    </row>
    <row r="19" spans="2:13">
      <c r="B19" s="16"/>
      <c r="C19" s="452">
        <f t="shared" si="2"/>
        <v>0.75</v>
      </c>
      <c r="D19" s="3"/>
      <c r="E19" s="3"/>
      <c r="F19" s="19" t="str">
        <f t="shared" si="0"/>
        <v/>
      </c>
      <c r="G19" s="3"/>
      <c r="H19" s="3"/>
      <c r="I19" s="453" t="str">
        <f t="shared" si="3"/>
        <v/>
      </c>
      <c r="K19" s="16"/>
      <c r="L19" s="93">
        <v>1.35</v>
      </c>
      <c r="M19" s="443">
        <v>1.25</v>
      </c>
    </row>
    <row r="20" spans="2:13">
      <c r="B20" s="16"/>
      <c r="C20" s="452">
        <f t="shared" si="2"/>
        <v>0.7</v>
      </c>
      <c r="D20" s="3"/>
      <c r="E20" s="3"/>
      <c r="F20" s="19" t="str">
        <f t="shared" si="0"/>
        <v/>
      </c>
      <c r="G20" s="3"/>
      <c r="H20" s="3"/>
      <c r="I20" s="453" t="str">
        <f t="shared" si="3"/>
        <v/>
      </c>
      <c r="K20" s="16"/>
      <c r="L20" s="93">
        <v>1.5</v>
      </c>
      <c r="M20" s="443">
        <v>1.35</v>
      </c>
    </row>
    <row r="21" spans="2:13">
      <c r="B21" s="16"/>
      <c r="C21" s="452">
        <f t="shared" si="2"/>
        <v>0.65</v>
      </c>
      <c r="D21" s="3"/>
      <c r="E21" s="3"/>
      <c r="F21" s="19" t="str">
        <f>IF(ISERROR(100*($I$7/C21)^2),"",IF(100*($I$7/C21)^2&lt;=$E$9,100*($I$7/C21)^2,""))</f>
        <v/>
      </c>
      <c r="G21" s="3"/>
      <c r="H21" s="3"/>
      <c r="I21" s="453" t="str">
        <f t="shared" si="3"/>
        <v/>
      </c>
      <c r="K21" s="16"/>
      <c r="L21" s="93">
        <v>1.65</v>
      </c>
      <c r="M21" s="443">
        <v>1.5</v>
      </c>
    </row>
    <row r="22" spans="2:13">
      <c r="B22" s="16"/>
      <c r="C22" s="452">
        <f t="shared" si="2"/>
        <v>0.6</v>
      </c>
      <c r="D22" s="3"/>
      <c r="E22" s="3"/>
      <c r="F22" s="19" t="str">
        <f t="shared" si="0"/>
        <v/>
      </c>
      <c r="G22" s="3"/>
      <c r="H22" s="3"/>
      <c r="I22" s="453" t="str">
        <f t="shared" si="3"/>
        <v/>
      </c>
      <c r="K22" s="16"/>
      <c r="L22" s="93">
        <v>1.75</v>
      </c>
      <c r="M22" s="443">
        <v>1.65</v>
      </c>
    </row>
    <row r="23" spans="2:13">
      <c r="B23" s="16"/>
      <c r="C23" s="452">
        <f t="shared" si="2"/>
        <v>0.5</v>
      </c>
      <c r="D23" s="3"/>
      <c r="E23" s="3"/>
      <c r="F23" s="19" t="str">
        <f t="shared" si="0"/>
        <v/>
      </c>
      <c r="G23" s="3"/>
      <c r="H23" s="3"/>
      <c r="I23" s="453" t="str">
        <f t="shared" si="3"/>
        <v/>
      </c>
      <c r="K23" s="16"/>
      <c r="L23" s="93">
        <v>2</v>
      </c>
      <c r="M23" s="443">
        <v>1.75</v>
      </c>
    </row>
    <row r="24" spans="2:13">
      <c r="B24" s="16"/>
      <c r="C24" s="452">
        <f t="shared" si="2"/>
        <v>0.4</v>
      </c>
      <c r="D24" s="3"/>
      <c r="E24" s="3"/>
      <c r="F24" s="19" t="str">
        <f t="shared" si="0"/>
        <v/>
      </c>
      <c r="G24" s="3"/>
      <c r="H24" s="3"/>
      <c r="I24" s="453" t="str">
        <f t="shared" si="3"/>
        <v/>
      </c>
      <c r="K24" s="16"/>
      <c r="L24" s="93">
        <v>2.25</v>
      </c>
      <c r="M24" s="443">
        <v>2</v>
      </c>
    </row>
    <row r="25" spans="2:13">
      <c r="B25" s="16"/>
      <c r="C25" s="452" t="str">
        <f t="shared" si="2"/>
        <v/>
      </c>
      <c r="D25" s="3"/>
      <c r="E25" s="3"/>
      <c r="F25" s="19" t="str">
        <f t="shared" si="0"/>
        <v/>
      </c>
      <c r="G25" s="3"/>
      <c r="H25" s="3"/>
      <c r="I25" s="453" t="str">
        <f t="shared" si="3"/>
        <v/>
      </c>
      <c r="K25" s="16"/>
      <c r="L25" s="93">
        <v>2.5</v>
      </c>
      <c r="M25" s="443">
        <v>2.25</v>
      </c>
    </row>
    <row r="26" spans="2:13">
      <c r="B26" s="16"/>
      <c r="C26" s="452" t="str">
        <f t="shared" si="2"/>
        <v/>
      </c>
      <c r="D26" s="3"/>
      <c r="E26" s="3"/>
      <c r="F26" s="19" t="str">
        <f t="shared" si="0"/>
        <v/>
      </c>
      <c r="G26" s="3"/>
      <c r="H26" s="3"/>
      <c r="I26" s="453" t="str">
        <f t="shared" si="3"/>
        <v/>
      </c>
      <c r="K26" s="16"/>
      <c r="L26" s="93">
        <v>2.75</v>
      </c>
      <c r="M26" s="443">
        <v>2.5</v>
      </c>
    </row>
    <row r="27" spans="2:13">
      <c r="B27" s="16"/>
      <c r="C27" s="452" t="str">
        <f t="shared" si="2"/>
        <v/>
      </c>
      <c r="D27" s="3"/>
      <c r="E27" s="3"/>
      <c r="F27" s="19" t="str">
        <f t="shared" si="0"/>
        <v/>
      </c>
      <c r="G27" s="3"/>
      <c r="H27" s="3"/>
      <c r="I27" s="453" t="str">
        <f t="shared" si="3"/>
        <v/>
      </c>
      <c r="K27" s="16"/>
      <c r="L27" s="93">
        <v>3</v>
      </c>
      <c r="M27" s="443">
        <v>2.75</v>
      </c>
    </row>
    <row r="28" spans="2:13">
      <c r="B28" s="16"/>
      <c r="C28" s="452" t="str">
        <f t="shared" si="2"/>
        <v/>
      </c>
      <c r="D28" s="3"/>
      <c r="E28" s="3"/>
      <c r="F28" s="19" t="str">
        <f t="shared" si="0"/>
        <v/>
      </c>
      <c r="G28" s="3"/>
      <c r="H28" s="3"/>
      <c r="I28" s="453" t="str">
        <f t="shared" si="3"/>
        <v/>
      </c>
      <c r="K28" s="16"/>
      <c r="L28" s="93">
        <v>3.25</v>
      </c>
      <c r="M28" s="443">
        <v>3</v>
      </c>
    </row>
    <row r="29" spans="2:13">
      <c r="B29" s="16"/>
      <c r="C29" s="452" t="str">
        <f t="shared" si="2"/>
        <v/>
      </c>
      <c r="D29" s="3"/>
      <c r="E29" s="3"/>
      <c r="F29" s="19" t="str">
        <f t="shared" si="0"/>
        <v/>
      </c>
      <c r="G29" s="3"/>
      <c r="H29" s="3"/>
      <c r="I29" s="453" t="str">
        <f t="shared" si="3"/>
        <v/>
      </c>
      <c r="K29" s="16"/>
      <c r="L29" s="93">
        <v>3.5</v>
      </c>
      <c r="M29" s="443">
        <v>3.25</v>
      </c>
    </row>
    <row r="30" spans="2:13">
      <c r="B30" s="16"/>
      <c r="C30" s="452" t="str">
        <f t="shared" si="2"/>
        <v/>
      </c>
      <c r="D30" s="3"/>
      <c r="E30" s="3"/>
      <c r="F30" s="19" t="str">
        <f t="shared" si="0"/>
        <v/>
      </c>
      <c r="G30" s="3"/>
      <c r="H30" s="3"/>
      <c r="I30" s="453" t="str">
        <f t="shared" si="3"/>
        <v/>
      </c>
      <c r="K30" s="16"/>
      <c r="L30" s="93">
        <v>4</v>
      </c>
      <c r="M30" s="443">
        <v>3.5</v>
      </c>
    </row>
    <row r="31" spans="2:13">
      <c r="B31" s="16"/>
      <c r="C31" s="452" t="str">
        <f t="shared" si="2"/>
        <v/>
      </c>
      <c r="D31" s="3"/>
      <c r="E31" s="3"/>
      <c r="F31" s="19" t="str">
        <f t="shared" si="0"/>
        <v/>
      </c>
      <c r="G31" s="3"/>
      <c r="H31" s="3"/>
      <c r="I31" s="453" t="str">
        <f t="shared" si="3"/>
        <v/>
      </c>
      <c r="K31" s="16"/>
      <c r="L31" s="93">
        <v>4.5</v>
      </c>
      <c r="M31" s="443">
        <v>4</v>
      </c>
    </row>
    <row r="32" spans="2:13">
      <c r="B32" s="16"/>
      <c r="C32" s="452" t="str">
        <f t="shared" si="2"/>
        <v/>
      </c>
      <c r="D32" s="3"/>
      <c r="E32" s="3"/>
      <c r="F32" s="19" t="str">
        <f t="shared" si="0"/>
        <v/>
      </c>
      <c r="G32" s="3"/>
      <c r="H32" s="3"/>
      <c r="I32" s="453" t="str">
        <f t="shared" si="3"/>
        <v/>
      </c>
      <c r="K32" s="16"/>
      <c r="L32" s="93">
        <v>5</v>
      </c>
      <c r="M32" s="443">
        <v>4.5</v>
      </c>
    </row>
    <row r="33" spans="2:13">
      <c r="B33" s="16"/>
      <c r="C33" s="452" t="str">
        <f t="shared" si="2"/>
        <v/>
      </c>
      <c r="D33" s="3"/>
      <c r="E33" s="3"/>
      <c r="F33" s="19" t="str">
        <f t="shared" si="0"/>
        <v/>
      </c>
      <c r="G33" s="3"/>
      <c r="H33" s="3"/>
      <c r="I33" s="453" t="str">
        <f t="shared" si="3"/>
        <v/>
      </c>
      <c r="K33" s="16"/>
      <c r="L33" s="93">
        <v>5.5</v>
      </c>
      <c r="M33" s="443">
        <v>5</v>
      </c>
    </row>
    <row r="34" spans="2:13">
      <c r="B34" s="16"/>
      <c r="C34" s="452" t="str">
        <f t="shared" si="2"/>
        <v/>
      </c>
      <c r="D34" s="3"/>
      <c r="E34" s="3"/>
      <c r="F34" s="19" t="str">
        <f t="shared" si="0"/>
        <v/>
      </c>
      <c r="G34" s="3"/>
      <c r="H34" s="3"/>
      <c r="I34" s="453" t="str">
        <f t="shared" si="3"/>
        <v/>
      </c>
      <c r="K34" s="16"/>
      <c r="L34" s="93">
        <v>6</v>
      </c>
      <c r="M34" s="443">
        <v>5.5</v>
      </c>
    </row>
    <row r="35" spans="2:13">
      <c r="B35" s="16"/>
      <c r="C35" s="452" t="str">
        <f t="shared" si="2"/>
        <v/>
      </c>
      <c r="D35" s="3"/>
      <c r="E35" s="3"/>
      <c r="F35" s="19" t="str">
        <f t="shared" si="0"/>
        <v/>
      </c>
      <c r="G35" s="3"/>
      <c r="H35" s="3"/>
      <c r="I35" s="453" t="str">
        <f t="shared" si="3"/>
        <v/>
      </c>
      <c r="K35" s="16"/>
      <c r="L35" s="93">
        <v>6.5</v>
      </c>
      <c r="M35" s="443">
        <v>6</v>
      </c>
    </row>
    <row r="36" spans="2:13">
      <c r="B36" s="16"/>
      <c r="C36" s="452" t="str">
        <f t="shared" si="2"/>
        <v/>
      </c>
      <c r="D36" s="3"/>
      <c r="E36" s="3"/>
      <c r="F36" s="19" t="str">
        <f t="shared" si="0"/>
        <v/>
      </c>
      <c r="G36" s="3"/>
      <c r="H36" s="3"/>
      <c r="I36" s="453" t="str">
        <f t="shared" si="3"/>
        <v/>
      </c>
      <c r="K36" s="16"/>
      <c r="L36" s="93">
        <v>7</v>
      </c>
      <c r="M36" s="443">
        <v>6.5</v>
      </c>
    </row>
    <row r="37" spans="2:13">
      <c r="B37" s="16"/>
      <c r="C37" s="452" t="str">
        <f t="shared" si="2"/>
        <v/>
      </c>
      <c r="D37" s="3"/>
      <c r="E37" s="3"/>
      <c r="F37" s="19" t="str">
        <f t="shared" si="0"/>
        <v/>
      </c>
      <c r="G37" s="3"/>
      <c r="H37" s="3"/>
      <c r="I37" s="453" t="str">
        <f t="shared" si="3"/>
        <v/>
      </c>
      <c r="K37" s="16"/>
      <c r="L37" s="93">
        <v>7.5</v>
      </c>
      <c r="M37" s="443">
        <v>7</v>
      </c>
    </row>
    <row r="38" spans="2:13">
      <c r="B38" s="16"/>
      <c r="C38" s="452" t="str">
        <f t="shared" si="2"/>
        <v/>
      </c>
      <c r="D38" s="3"/>
      <c r="E38" s="3"/>
      <c r="F38" s="19" t="str">
        <f t="shared" si="0"/>
        <v/>
      </c>
      <c r="G38" s="3"/>
      <c r="H38" s="3"/>
      <c r="I38" s="453" t="str">
        <f t="shared" si="3"/>
        <v/>
      </c>
      <c r="K38" s="16"/>
      <c r="L38" s="93">
        <v>8</v>
      </c>
      <c r="M38" s="443">
        <v>7.5</v>
      </c>
    </row>
    <row r="39" spans="2:13">
      <c r="B39" s="160"/>
      <c r="C39" s="13"/>
      <c r="D39" s="13"/>
      <c r="E39" s="13"/>
      <c r="F39" s="51" t="str">
        <f t="shared" si="0"/>
        <v/>
      </c>
      <c r="G39" s="13"/>
      <c r="H39" s="13"/>
      <c r="I39" s="454" t="str">
        <f t="shared" si="3"/>
        <v/>
      </c>
      <c r="K39" s="16"/>
      <c r="L39" s="93">
        <v>8.5</v>
      </c>
      <c r="M39" s="443">
        <v>8</v>
      </c>
    </row>
    <row r="40" spans="2:13">
      <c r="K40" s="16"/>
      <c r="L40" s="93">
        <v>9</v>
      </c>
      <c r="M40" s="443">
        <v>8.5</v>
      </c>
    </row>
    <row r="41" spans="2:13">
      <c r="K41" s="16"/>
      <c r="L41" s="93">
        <v>9.5</v>
      </c>
      <c r="M41" s="443">
        <v>9</v>
      </c>
    </row>
    <row r="42" spans="2:13">
      <c r="K42" s="16"/>
      <c r="L42" s="93">
        <v>10</v>
      </c>
      <c r="M42" s="443">
        <v>9.5</v>
      </c>
    </row>
    <row r="43" spans="2:13">
      <c r="K43" s="16"/>
      <c r="L43" s="93">
        <v>11</v>
      </c>
      <c r="M43" s="443">
        <v>10</v>
      </c>
    </row>
    <row r="44" spans="2:13">
      <c r="K44" s="16"/>
      <c r="L44" s="93">
        <v>12</v>
      </c>
      <c r="M44" s="443">
        <v>11</v>
      </c>
    </row>
    <row r="45" spans="2:13">
      <c r="K45" s="16"/>
      <c r="L45" s="93">
        <v>13</v>
      </c>
      <c r="M45" s="443">
        <v>12</v>
      </c>
    </row>
    <row r="46" spans="2:13">
      <c r="K46" s="16"/>
      <c r="L46" s="93">
        <v>14</v>
      </c>
      <c r="M46" s="443">
        <v>13</v>
      </c>
    </row>
    <row r="47" spans="2:13">
      <c r="K47" s="16"/>
      <c r="L47" s="93">
        <v>15</v>
      </c>
      <c r="M47" s="443">
        <v>14</v>
      </c>
    </row>
    <row r="48" spans="2:13">
      <c r="K48" s="16"/>
      <c r="L48" s="93">
        <v>16</v>
      </c>
      <c r="M48" s="443">
        <v>15</v>
      </c>
    </row>
    <row r="49" spans="11:13">
      <c r="K49" s="16"/>
      <c r="L49" s="93">
        <v>17</v>
      </c>
      <c r="M49" s="443">
        <v>16</v>
      </c>
    </row>
    <row r="50" spans="11:13">
      <c r="K50" s="16"/>
      <c r="L50" s="93">
        <v>18</v>
      </c>
      <c r="M50" s="443">
        <v>17</v>
      </c>
    </row>
    <row r="51" spans="11:13">
      <c r="K51" s="16"/>
      <c r="L51" s="93">
        <v>19</v>
      </c>
      <c r="M51" s="443">
        <v>18</v>
      </c>
    </row>
    <row r="52" spans="11:13">
      <c r="K52" s="160"/>
      <c r="L52" s="144">
        <v>20</v>
      </c>
      <c r="M52" s="455">
        <v>19</v>
      </c>
    </row>
    <row r="53" spans="11:13">
      <c r="M53" s="456">
        <v>20</v>
      </c>
    </row>
  </sheetData>
  <conditionalFormatting sqref="C13:C38">
    <cfRule type="expression" dxfId="0" priority="1">
      <formula>F13=""</formula>
    </cfRule>
  </conditionalFormatting>
  <dataValidations count="2">
    <dataValidation type="list" allowBlank="1" showInputMessage="1" showErrorMessage="1" sqref="B2">
      <formula1>BTU</formula1>
    </dataValidation>
    <dataValidation type="list" allowBlank="1" showInputMessage="1" showErrorMessage="1" sqref="C7">
      <formula1>$L$7:$L$52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F2"/>
  <sheetViews>
    <sheetView showGridLines="0" workbookViewId="0">
      <selection activeCell="C33" sqref="C33"/>
    </sheetView>
  </sheetViews>
  <sheetFormatPr defaultRowHeight="15"/>
  <cols>
    <col min="1" max="16384" width="9.140625" style="204"/>
  </cols>
  <sheetData>
    <row r="2" spans="6:6" ht="23.25">
      <c r="F2" s="205" t="s">
        <v>206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"/>
  <dimension ref="A1:A2"/>
  <sheetViews>
    <sheetView showGridLines="0" workbookViewId="0"/>
  </sheetViews>
  <sheetFormatPr defaultRowHeight="15"/>
  <sheetData>
    <row r="1" spans="1:1" ht="33" customHeight="1"/>
    <row r="2" spans="1:1" ht="3" customHeight="1">
      <c r="A2" s="179"/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3"/>
  <dimension ref="A1:H553"/>
  <sheetViews>
    <sheetView showGridLines="0" workbookViewId="0">
      <selection activeCell="B29" sqref="B29"/>
    </sheetView>
  </sheetViews>
  <sheetFormatPr defaultRowHeight="15"/>
  <cols>
    <col min="1" max="1" width="17.5703125" style="130" customWidth="1"/>
    <col min="2" max="2" width="18.5703125" style="131" customWidth="1"/>
  </cols>
  <sheetData>
    <row r="1" spans="1:8" ht="20.25" customHeight="1" thickBot="1">
      <c r="A1" s="132" t="s">
        <v>113</v>
      </c>
      <c r="B1" s="121"/>
      <c r="C1" s="135"/>
      <c r="D1" s="154" t="s">
        <v>154</v>
      </c>
      <c r="E1" s="155"/>
      <c r="F1" s="155"/>
      <c r="G1" s="156"/>
      <c r="H1" s="156"/>
    </row>
    <row r="2" spans="1:8" ht="21.75" customHeight="1">
      <c r="A2" s="556" t="s">
        <v>114</v>
      </c>
      <c r="B2" s="133"/>
      <c r="C2" s="136"/>
      <c r="E2" s="153" t="s">
        <v>155</v>
      </c>
      <c r="F2" s="153">
        <v>66.311999999999998</v>
      </c>
    </row>
    <row r="3" spans="1:8">
      <c r="A3" s="557"/>
      <c r="B3" s="134"/>
      <c r="C3" s="136"/>
      <c r="E3" s="153" t="s">
        <v>156</v>
      </c>
      <c r="F3" s="153">
        <v>67.459999999999994</v>
      </c>
    </row>
    <row r="4" spans="1:8">
      <c r="A4" s="122">
        <v>35</v>
      </c>
      <c r="B4" s="123">
        <v>13.01</v>
      </c>
      <c r="C4" s="116"/>
      <c r="E4" s="153" t="s">
        <v>157</v>
      </c>
      <c r="F4" s="153">
        <v>54.7</v>
      </c>
    </row>
    <row r="5" spans="1:8">
      <c r="A5" s="124">
        <v>35.1</v>
      </c>
      <c r="B5" s="125">
        <v>13.05</v>
      </c>
      <c r="C5" s="116"/>
      <c r="E5" s="153" t="s">
        <v>158</v>
      </c>
      <c r="F5" s="153">
        <v>53.18</v>
      </c>
    </row>
    <row r="6" spans="1:8">
      <c r="A6" s="124">
        <v>35.200000000000003</v>
      </c>
      <c r="B6" s="125">
        <v>13.1</v>
      </c>
      <c r="C6" s="116"/>
      <c r="E6" s="153" t="s">
        <v>159</v>
      </c>
      <c r="F6" s="153">
        <v>62.28</v>
      </c>
    </row>
    <row r="7" spans="1:8">
      <c r="A7" s="124">
        <v>35.299999999999997</v>
      </c>
      <c r="B7" s="125">
        <v>13.14</v>
      </c>
      <c r="C7" s="116"/>
      <c r="E7" s="153" t="s">
        <v>160</v>
      </c>
      <c r="F7" s="153">
        <v>27.710999999999999</v>
      </c>
    </row>
    <row r="8" spans="1:8">
      <c r="A8" s="124">
        <v>35.4</v>
      </c>
      <c r="B8" s="125">
        <v>13.48</v>
      </c>
      <c r="C8" s="116"/>
      <c r="E8" s="153" t="s">
        <v>161</v>
      </c>
      <c r="F8" s="153">
        <v>74.599999999999994</v>
      </c>
    </row>
    <row r="9" spans="1:8">
      <c r="A9" s="124">
        <v>35.5</v>
      </c>
      <c r="B9" s="125">
        <v>13.23</v>
      </c>
      <c r="C9" s="116"/>
      <c r="D9" s="116"/>
    </row>
    <row r="10" spans="1:8">
      <c r="A10" s="124">
        <v>35.6</v>
      </c>
      <c r="B10" s="125">
        <v>13.27</v>
      </c>
      <c r="C10" s="116"/>
      <c r="D10" s="116"/>
    </row>
    <row r="11" spans="1:8">
      <c r="A11" s="124">
        <v>35.700000000000003</v>
      </c>
      <c r="B11" s="125">
        <v>13.31</v>
      </c>
      <c r="C11" s="116"/>
      <c r="D11" s="116"/>
    </row>
    <row r="12" spans="1:8">
      <c r="A12" s="124">
        <v>35.799999999999997</v>
      </c>
      <c r="B12" s="125">
        <v>13.35</v>
      </c>
      <c r="C12" s="116"/>
      <c r="D12" s="116"/>
    </row>
    <row r="13" spans="1:8">
      <c r="A13" s="126">
        <v>35.9</v>
      </c>
      <c r="B13" s="127">
        <v>13.4</v>
      </c>
      <c r="C13" s="116"/>
      <c r="D13" s="116"/>
    </row>
    <row r="14" spans="1:8" s="115" customFormat="1">
      <c r="A14" s="124">
        <v>36</v>
      </c>
      <c r="B14" s="125">
        <v>13.44</v>
      </c>
      <c r="C14" s="116"/>
      <c r="D14" s="116"/>
    </row>
    <row r="15" spans="1:8" s="115" customFormat="1">
      <c r="A15" s="124">
        <v>36.1</v>
      </c>
      <c r="B15" s="125">
        <v>13.48</v>
      </c>
      <c r="C15" s="116"/>
      <c r="D15" s="116"/>
    </row>
    <row r="16" spans="1:8" s="115" customFormat="1">
      <c r="A16" s="124">
        <v>36.200000000000003</v>
      </c>
      <c r="B16" s="125">
        <v>13.53</v>
      </c>
      <c r="C16" s="116"/>
      <c r="D16" s="116"/>
    </row>
    <row r="17" spans="1:4" s="115" customFormat="1">
      <c r="A17" s="124">
        <v>36.299999999999997</v>
      </c>
      <c r="B17" s="125">
        <v>13.57</v>
      </c>
      <c r="C17" s="116"/>
      <c r="D17" s="116"/>
    </row>
    <row r="18" spans="1:4" s="115" customFormat="1">
      <c r="A18" s="124">
        <v>36.4</v>
      </c>
      <c r="B18" s="125">
        <v>13.61</v>
      </c>
      <c r="C18" s="116"/>
      <c r="D18" s="116"/>
    </row>
    <row r="19" spans="1:4" s="115" customFormat="1">
      <c r="A19" s="124">
        <v>36.5</v>
      </c>
      <c r="B19" s="125">
        <v>13.66</v>
      </c>
      <c r="C19" s="116"/>
      <c r="D19" s="116"/>
    </row>
    <row r="20" spans="1:4" s="115" customFormat="1">
      <c r="A20" s="124">
        <v>36.6</v>
      </c>
      <c r="B20" s="125">
        <v>13.7</v>
      </c>
      <c r="C20" s="116"/>
      <c r="D20" s="116"/>
    </row>
    <row r="21" spans="1:4" s="115" customFormat="1">
      <c r="A21" s="124">
        <v>36.700000000000003</v>
      </c>
      <c r="B21" s="125">
        <v>13.75</v>
      </c>
      <c r="C21" s="116"/>
      <c r="D21" s="116"/>
    </row>
    <row r="22" spans="1:4" s="115" customFormat="1">
      <c r="A22" s="124">
        <v>36.799999999999997</v>
      </c>
      <c r="B22" s="125">
        <v>13.79</v>
      </c>
      <c r="C22" s="116"/>
      <c r="D22" s="116"/>
    </row>
    <row r="23" spans="1:4" s="115" customFormat="1">
      <c r="A23" s="126">
        <v>36.9</v>
      </c>
      <c r="B23" s="127">
        <v>13.83</v>
      </c>
      <c r="C23" s="116"/>
      <c r="D23" s="116"/>
    </row>
    <row r="24" spans="1:4">
      <c r="A24" s="124">
        <v>37</v>
      </c>
      <c r="B24" s="125">
        <v>13.87</v>
      </c>
      <c r="C24" s="116"/>
      <c r="D24" s="116"/>
    </row>
    <row r="25" spans="1:4">
      <c r="A25" s="124">
        <v>37.1</v>
      </c>
      <c r="B25" s="125">
        <v>13.91</v>
      </c>
      <c r="C25" s="116"/>
      <c r="D25" s="116"/>
    </row>
    <row r="26" spans="1:4">
      <c r="A26" s="124">
        <v>37.200000000000003</v>
      </c>
      <c r="B26" s="125">
        <v>13.96</v>
      </c>
      <c r="C26" s="116"/>
      <c r="D26" s="116"/>
    </row>
    <row r="27" spans="1:4">
      <c r="A27" s="124">
        <v>37.299999999999997</v>
      </c>
      <c r="B27" s="125">
        <v>14</v>
      </c>
      <c r="C27" s="116"/>
      <c r="D27" s="116"/>
    </row>
    <row r="28" spans="1:4">
      <c r="A28" s="124">
        <v>37.4</v>
      </c>
      <c r="B28" s="125">
        <v>14.05</v>
      </c>
      <c r="C28" s="116"/>
      <c r="D28" s="116"/>
    </row>
    <row r="29" spans="1:4">
      <c r="A29" s="124">
        <v>37.5</v>
      </c>
      <c r="B29" s="125">
        <v>14.09</v>
      </c>
      <c r="C29" s="116"/>
      <c r="D29" s="116"/>
    </row>
    <row r="30" spans="1:4">
      <c r="A30" s="124">
        <v>37.6</v>
      </c>
      <c r="B30" s="125">
        <v>14.14</v>
      </c>
      <c r="C30" s="116"/>
      <c r="D30" s="116"/>
    </row>
    <row r="31" spans="1:4">
      <c r="A31" s="124">
        <v>37.700000000000003</v>
      </c>
      <c r="B31" s="125">
        <v>14.18</v>
      </c>
      <c r="C31" s="116"/>
      <c r="D31" s="116"/>
    </row>
    <row r="32" spans="1:4">
      <c r="A32" s="124">
        <v>37.799999999999997</v>
      </c>
      <c r="B32" s="125">
        <v>14.23</v>
      </c>
      <c r="C32" s="116"/>
      <c r="D32" s="116"/>
    </row>
    <row r="33" spans="1:4">
      <c r="A33" s="124">
        <v>37.9</v>
      </c>
      <c r="B33" s="125">
        <v>14.27</v>
      </c>
      <c r="C33" s="116"/>
      <c r="D33" s="116"/>
    </row>
    <row r="34" spans="1:4">
      <c r="A34" s="124">
        <v>38</v>
      </c>
      <c r="B34" s="125">
        <v>14.32</v>
      </c>
      <c r="C34" s="116"/>
      <c r="D34" s="116"/>
    </row>
    <row r="35" spans="1:4">
      <c r="A35" s="124">
        <v>38.1</v>
      </c>
      <c r="B35" s="125">
        <v>14.37</v>
      </c>
      <c r="C35" s="116"/>
      <c r="D35" s="116"/>
    </row>
    <row r="36" spans="1:4">
      <c r="A36" s="124">
        <v>38.200000000000003</v>
      </c>
      <c r="B36" s="125">
        <v>14.41</v>
      </c>
      <c r="C36" s="116"/>
      <c r="D36" s="116"/>
    </row>
    <row r="37" spans="1:4">
      <c r="A37" s="124">
        <v>38.299999999999997</v>
      </c>
      <c r="B37" s="125">
        <v>14.46</v>
      </c>
      <c r="C37" s="116"/>
      <c r="D37" s="116"/>
    </row>
    <row r="38" spans="1:4">
      <c r="A38" s="124">
        <v>38.4</v>
      </c>
      <c r="B38" s="125">
        <v>14.5</v>
      </c>
      <c r="C38" s="116"/>
      <c r="D38" s="116"/>
    </row>
    <row r="39" spans="1:4">
      <c r="A39" s="124">
        <v>38.5</v>
      </c>
      <c r="B39" s="125">
        <v>14.55</v>
      </c>
      <c r="C39" s="116"/>
      <c r="D39" s="116"/>
    </row>
    <row r="40" spans="1:4">
      <c r="A40" s="124">
        <v>38.6</v>
      </c>
      <c r="B40" s="125">
        <v>14.59</v>
      </c>
      <c r="C40" s="116"/>
      <c r="D40" s="116"/>
    </row>
    <row r="41" spans="1:4">
      <c r="A41" s="124">
        <v>38.700000000000003</v>
      </c>
      <c r="B41" s="125">
        <v>14.64</v>
      </c>
      <c r="C41" s="116"/>
      <c r="D41" s="116"/>
    </row>
    <row r="42" spans="1:4">
      <c r="A42" s="124">
        <v>38.799999999999997</v>
      </c>
      <c r="B42" s="125">
        <v>14.68</v>
      </c>
      <c r="C42" s="116"/>
      <c r="D42" s="116"/>
    </row>
    <row r="43" spans="1:4">
      <c r="A43" s="124">
        <v>38.9</v>
      </c>
      <c r="B43" s="125">
        <v>14.73</v>
      </c>
      <c r="C43" s="116"/>
      <c r="D43" s="116"/>
    </row>
    <row r="44" spans="1:4">
      <c r="A44" s="122">
        <v>39</v>
      </c>
      <c r="B44" s="123">
        <v>14.77</v>
      </c>
      <c r="C44" s="116"/>
      <c r="D44" s="116"/>
    </row>
    <row r="45" spans="1:4">
      <c r="A45" s="124">
        <v>39.1</v>
      </c>
      <c r="B45" s="125">
        <v>14.82</v>
      </c>
      <c r="C45" s="116"/>
      <c r="D45" s="116"/>
    </row>
    <row r="46" spans="1:4">
      <c r="A46" s="124">
        <v>39.200000000000003</v>
      </c>
      <c r="B46" s="125">
        <v>14.86</v>
      </c>
      <c r="C46" s="116"/>
      <c r="D46" s="116"/>
    </row>
    <row r="47" spans="1:4">
      <c r="A47" s="124">
        <v>39.299999999999997</v>
      </c>
      <c r="B47" s="125">
        <v>14.91</v>
      </c>
      <c r="C47" s="116"/>
      <c r="D47" s="116"/>
    </row>
    <row r="48" spans="1:4">
      <c r="A48" s="124">
        <v>39.4</v>
      </c>
      <c r="B48" s="125">
        <v>14.95</v>
      </c>
      <c r="C48" s="116"/>
      <c r="D48" s="116"/>
    </row>
    <row r="49" spans="1:4">
      <c r="A49" s="124">
        <v>39.5</v>
      </c>
      <c r="B49" s="125">
        <v>15</v>
      </c>
      <c r="C49" s="116"/>
      <c r="D49" s="116"/>
    </row>
    <row r="50" spans="1:4">
      <c r="A50" s="124">
        <v>39.6</v>
      </c>
      <c r="B50" s="125">
        <v>15.05</v>
      </c>
      <c r="C50" s="116"/>
      <c r="D50" s="116"/>
    </row>
    <row r="51" spans="1:4">
      <c r="A51" s="124">
        <v>39.700000000000003</v>
      </c>
      <c r="B51" s="125">
        <v>15.09</v>
      </c>
      <c r="C51" s="116"/>
      <c r="D51" s="116"/>
    </row>
    <row r="52" spans="1:4">
      <c r="A52" s="124">
        <v>39.799999999999997</v>
      </c>
      <c r="B52" s="125">
        <v>15.14</v>
      </c>
      <c r="C52" s="116"/>
      <c r="D52" s="116"/>
    </row>
    <row r="53" spans="1:4">
      <c r="A53" s="124">
        <v>39.9</v>
      </c>
      <c r="B53" s="125">
        <v>15.18</v>
      </c>
      <c r="C53" s="116"/>
      <c r="D53" s="116"/>
    </row>
    <row r="54" spans="1:4">
      <c r="A54" s="122">
        <v>40</v>
      </c>
      <c r="B54" s="123">
        <v>15.23</v>
      </c>
      <c r="C54" s="116"/>
      <c r="D54" s="116"/>
    </row>
    <row r="55" spans="1:4">
      <c r="A55" s="124">
        <v>40.1</v>
      </c>
      <c r="B55" s="125">
        <v>15.28</v>
      </c>
      <c r="C55" s="116"/>
      <c r="D55" s="116"/>
    </row>
    <row r="56" spans="1:4">
      <c r="A56" s="124">
        <v>40.200000000000003</v>
      </c>
      <c r="B56" s="125">
        <v>15.32</v>
      </c>
      <c r="C56" s="116"/>
      <c r="D56" s="116"/>
    </row>
    <row r="57" spans="1:4">
      <c r="A57" s="124">
        <v>40.299999999999997</v>
      </c>
      <c r="B57" s="125">
        <v>15.37</v>
      </c>
      <c r="C57" s="116"/>
      <c r="D57" s="116"/>
    </row>
    <row r="58" spans="1:4">
      <c r="A58" s="124">
        <v>40.4</v>
      </c>
      <c r="B58" s="125">
        <v>15.42</v>
      </c>
      <c r="C58" s="116"/>
      <c r="D58" s="116"/>
    </row>
    <row r="59" spans="1:4">
      <c r="A59" s="124">
        <v>40.5</v>
      </c>
      <c r="B59" s="125">
        <v>15.46</v>
      </c>
      <c r="C59" s="116"/>
      <c r="D59" s="116"/>
    </row>
    <row r="60" spans="1:4">
      <c r="A60" s="124">
        <v>40.6</v>
      </c>
      <c r="B60" s="125">
        <v>15.51</v>
      </c>
      <c r="C60" s="116"/>
      <c r="D60" s="116"/>
    </row>
    <row r="61" spans="1:4">
      <c r="A61" s="124">
        <v>40.700000000000003</v>
      </c>
      <c r="B61" s="125">
        <v>15.56</v>
      </c>
      <c r="C61" s="116"/>
      <c r="D61" s="116"/>
    </row>
    <row r="62" spans="1:4">
      <c r="A62" s="124">
        <v>40.799999999999997</v>
      </c>
      <c r="B62" s="125">
        <v>15.6</v>
      </c>
      <c r="C62" s="116"/>
      <c r="D62" s="116"/>
    </row>
    <row r="63" spans="1:4">
      <c r="A63" s="126">
        <v>40.9</v>
      </c>
      <c r="B63" s="127">
        <v>15.65</v>
      </c>
      <c r="C63" s="116"/>
      <c r="D63" s="116"/>
    </row>
    <row r="64" spans="1:4">
      <c r="A64" s="124">
        <v>41</v>
      </c>
      <c r="B64" s="125">
        <v>15.7</v>
      </c>
      <c r="C64" s="116"/>
      <c r="D64" s="116"/>
    </row>
    <row r="65" spans="1:4">
      <c r="A65" s="124">
        <v>41.1</v>
      </c>
      <c r="B65" s="125">
        <v>15.75</v>
      </c>
      <c r="C65" s="116"/>
      <c r="D65" s="116"/>
    </row>
    <row r="66" spans="1:4">
      <c r="A66" s="124">
        <v>41.2</v>
      </c>
      <c r="B66" s="125">
        <v>15.8</v>
      </c>
      <c r="C66" s="116"/>
      <c r="D66" s="116"/>
    </row>
    <row r="67" spans="1:4">
      <c r="A67" s="124">
        <v>41.3</v>
      </c>
      <c r="B67" s="125">
        <v>15.84</v>
      </c>
      <c r="C67" s="116"/>
      <c r="D67" s="116"/>
    </row>
    <row r="68" spans="1:4">
      <c r="A68" s="124">
        <v>41.4</v>
      </c>
      <c r="B68" s="125">
        <v>15.89</v>
      </c>
      <c r="C68" s="116"/>
      <c r="D68" s="116"/>
    </row>
    <row r="69" spans="1:4">
      <c r="A69" s="124">
        <v>41.5</v>
      </c>
      <c r="B69" s="125">
        <v>15.94</v>
      </c>
      <c r="C69" s="116"/>
      <c r="D69" s="116"/>
    </row>
    <row r="70" spans="1:4">
      <c r="A70" s="124">
        <v>41.6</v>
      </c>
      <c r="B70" s="125">
        <v>15.99</v>
      </c>
      <c r="C70" s="116"/>
      <c r="D70" s="116"/>
    </row>
    <row r="71" spans="1:4">
      <c r="A71" s="124">
        <v>41.7</v>
      </c>
      <c r="B71" s="125">
        <v>16.03</v>
      </c>
      <c r="C71" s="116"/>
      <c r="D71" s="116"/>
    </row>
    <row r="72" spans="1:4">
      <c r="A72" s="124">
        <v>41.8</v>
      </c>
      <c r="B72" s="125">
        <v>16.079999999999998</v>
      </c>
      <c r="C72" s="116"/>
      <c r="D72" s="116"/>
    </row>
    <row r="73" spans="1:4">
      <c r="A73" s="126">
        <v>41.9</v>
      </c>
      <c r="B73" s="127">
        <v>16.13</v>
      </c>
      <c r="C73" s="116"/>
      <c r="D73" s="116"/>
    </row>
    <row r="74" spans="1:4">
      <c r="A74" s="124">
        <v>42</v>
      </c>
      <c r="B74" s="125">
        <v>16.170000000000002</v>
      </c>
      <c r="C74" s="116"/>
      <c r="D74" s="116"/>
    </row>
    <row r="75" spans="1:4">
      <c r="A75" s="124">
        <v>42.1</v>
      </c>
      <c r="B75" s="125">
        <v>16.22</v>
      </c>
      <c r="C75" s="116"/>
      <c r="D75" s="116"/>
    </row>
    <row r="76" spans="1:4">
      <c r="A76" s="124">
        <v>42.2</v>
      </c>
      <c r="B76" s="125">
        <v>16.27</v>
      </c>
      <c r="C76" s="116"/>
      <c r="D76" s="116"/>
    </row>
    <row r="77" spans="1:4">
      <c r="A77" s="124">
        <v>42.3</v>
      </c>
      <c r="B77" s="125">
        <v>16.32</v>
      </c>
      <c r="C77" s="116"/>
      <c r="D77" s="116"/>
    </row>
    <row r="78" spans="1:4">
      <c r="A78" s="124">
        <v>42.4</v>
      </c>
      <c r="B78" s="125">
        <v>16.36</v>
      </c>
      <c r="C78" s="116"/>
      <c r="D78" s="116"/>
    </row>
    <row r="79" spans="1:4">
      <c r="A79" s="124">
        <v>42.5</v>
      </c>
      <c r="B79" s="125">
        <v>16.41</v>
      </c>
      <c r="C79" s="116"/>
      <c r="D79" s="116"/>
    </row>
    <row r="80" spans="1:4">
      <c r="A80" s="124">
        <v>42.6</v>
      </c>
      <c r="B80" s="125">
        <v>16.46</v>
      </c>
      <c r="C80" s="116"/>
      <c r="D80" s="116"/>
    </row>
    <row r="81" spans="1:4">
      <c r="A81" s="124">
        <v>42.7</v>
      </c>
      <c r="B81" s="125">
        <v>16.510000000000002</v>
      </c>
      <c r="C81" s="116"/>
      <c r="D81" s="116"/>
    </row>
    <row r="82" spans="1:4">
      <c r="A82" s="124">
        <v>42.8</v>
      </c>
      <c r="B82" s="125">
        <v>16.559999999999999</v>
      </c>
      <c r="C82" s="116"/>
      <c r="D82" s="116"/>
    </row>
    <row r="83" spans="1:4">
      <c r="A83" s="126">
        <v>42.9</v>
      </c>
      <c r="B83" s="127">
        <v>16.61</v>
      </c>
      <c r="C83" s="116"/>
      <c r="D83" s="116"/>
    </row>
    <row r="84" spans="1:4">
      <c r="A84" s="124">
        <v>43</v>
      </c>
      <c r="B84" s="125">
        <v>16.66</v>
      </c>
      <c r="C84" s="116"/>
      <c r="D84" s="116"/>
    </row>
    <row r="85" spans="1:4">
      <c r="A85" s="124">
        <v>43.1</v>
      </c>
      <c r="B85" s="125">
        <v>16.71</v>
      </c>
      <c r="C85" s="116"/>
      <c r="D85" s="116"/>
    </row>
    <row r="86" spans="1:4">
      <c r="A86" s="124">
        <v>43.2</v>
      </c>
      <c r="B86" s="125">
        <v>16.760000000000002</v>
      </c>
      <c r="C86" s="116"/>
      <c r="D86" s="116"/>
    </row>
    <row r="87" spans="1:4">
      <c r="A87" s="124">
        <v>43.3</v>
      </c>
      <c r="B87" s="125">
        <v>16.809999999999999</v>
      </c>
      <c r="C87" s="116"/>
      <c r="D87" s="116"/>
    </row>
    <row r="88" spans="1:4">
      <c r="A88" s="124">
        <v>43.4</v>
      </c>
      <c r="B88" s="125">
        <v>16.829999999999998</v>
      </c>
      <c r="C88" s="116"/>
      <c r="D88" s="116"/>
    </row>
    <row r="89" spans="1:4">
      <c r="A89" s="124">
        <v>43.5</v>
      </c>
      <c r="B89" s="125">
        <v>16.91</v>
      </c>
      <c r="C89" s="116"/>
      <c r="D89" s="116"/>
    </row>
    <row r="90" spans="1:4">
      <c r="A90" s="124">
        <v>43.6</v>
      </c>
      <c r="B90" s="125">
        <v>16.96</v>
      </c>
      <c r="C90" s="116"/>
      <c r="D90" s="116"/>
    </row>
    <row r="91" spans="1:4">
      <c r="A91" s="124">
        <v>43.7</v>
      </c>
      <c r="B91" s="125">
        <v>17</v>
      </c>
      <c r="C91" s="116"/>
      <c r="D91" s="116"/>
    </row>
    <row r="92" spans="1:4">
      <c r="A92" s="124">
        <v>43.8</v>
      </c>
      <c r="B92" s="125">
        <v>17.05</v>
      </c>
      <c r="C92" s="116"/>
      <c r="D92" s="116"/>
    </row>
    <row r="93" spans="1:4">
      <c r="A93" s="126">
        <v>43.9</v>
      </c>
      <c r="B93" s="127">
        <v>17.100000000000001</v>
      </c>
      <c r="C93" s="116"/>
      <c r="D93" s="116"/>
    </row>
    <row r="94" spans="1:4">
      <c r="A94" s="124">
        <v>44</v>
      </c>
      <c r="B94" s="123">
        <v>17.149999999999999</v>
      </c>
      <c r="C94" s="116"/>
      <c r="D94" s="116"/>
    </row>
    <row r="95" spans="1:4">
      <c r="A95" s="124">
        <v>44.1</v>
      </c>
      <c r="B95" s="125">
        <v>17.2</v>
      </c>
      <c r="C95" s="116"/>
      <c r="D95" s="116"/>
    </row>
    <row r="96" spans="1:4">
      <c r="A96" s="124">
        <v>44.2</v>
      </c>
      <c r="B96" s="125">
        <v>17.25</v>
      </c>
      <c r="C96" s="116"/>
      <c r="D96" s="116"/>
    </row>
    <row r="97" spans="1:4">
      <c r="A97" s="124">
        <v>44.3</v>
      </c>
      <c r="B97" s="125">
        <v>17.3</v>
      </c>
      <c r="C97" s="116"/>
      <c r="D97" s="116"/>
    </row>
    <row r="98" spans="1:4">
      <c r="A98" s="124">
        <v>44.4</v>
      </c>
      <c r="B98" s="125">
        <v>17.350000000000001</v>
      </c>
      <c r="C98" s="116"/>
      <c r="D98" s="116"/>
    </row>
    <row r="99" spans="1:4">
      <c r="A99" s="124">
        <v>44.5</v>
      </c>
      <c r="B99" s="125">
        <v>17.399999999999999</v>
      </c>
      <c r="C99" s="116"/>
      <c r="D99" s="116"/>
    </row>
    <row r="100" spans="1:4">
      <c r="A100" s="124">
        <v>44.6</v>
      </c>
      <c r="B100" s="125">
        <v>17.45</v>
      </c>
      <c r="C100" s="116"/>
      <c r="D100" s="116"/>
    </row>
    <row r="101" spans="1:4">
      <c r="A101" s="124">
        <v>44.7</v>
      </c>
      <c r="B101" s="125">
        <v>17.5</v>
      </c>
      <c r="C101" s="116"/>
      <c r="D101" s="116"/>
    </row>
    <row r="102" spans="1:4">
      <c r="A102" s="124">
        <v>44.8</v>
      </c>
      <c r="B102" s="125">
        <v>17.55</v>
      </c>
      <c r="C102" s="116"/>
      <c r="D102" s="116"/>
    </row>
    <row r="103" spans="1:4">
      <c r="A103" s="126">
        <v>44.9</v>
      </c>
      <c r="B103" s="127">
        <v>17.600000000000001</v>
      </c>
      <c r="C103" s="116"/>
      <c r="D103" s="116"/>
    </row>
    <row r="104" spans="1:4">
      <c r="A104" s="124">
        <v>45</v>
      </c>
      <c r="B104" s="125">
        <v>17.649999999999999</v>
      </c>
      <c r="C104" s="116"/>
      <c r="D104" s="116"/>
    </row>
    <row r="105" spans="1:4">
      <c r="A105" s="124">
        <v>45.1</v>
      </c>
      <c r="B105" s="125">
        <v>17.7</v>
      </c>
      <c r="C105" s="116"/>
      <c r="D105" s="116"/>
    </row>
    <row r="106" spans="1:4">
      <c r="A106" s="124">
        <v>45.2</v>
      </c>
      <c r="B106" s="125">
        <v>17.75</v>
      </c>
      <c r="C106" s="116"/>
      <c r="D106" s="116"/>
    </row>
    <row r="107" spans="1:4">
      <c r="A107" s="124">
        <v>45.3</v>
      </c>
      <c r="B107" s="125">
        <v>17.8</v>
      </c>
      <c r="C107" s="116"/>
      <c r="D107" s="116"/>
    </row>
    <row r="108" spans="1:4">
      <c r="A108" s="124">
        <v>45.4</v>
      </c>
      <c r="B108" s="125">
        <v>17.850000000000001</v>
      </c>
      <c r="C108" s="116"/>
      <c r="D108" s="116"/>
    </row>
    <row r="109" spans="1:4">
      <c r="A109" s="124">
        <v>45.5</v>
      </c>
      <c r="B109" s="125">
        <v>17.91</v>
      </c>
      <c r="C109" s="116"/>
      <c r="D109" s="116"/>
    </row>
    <row r="110" spans="1:4">
      <c r="A110" s="124">
        <v>45.6</v>
      </c>
      <c r="B110" s="125">
        <v>17.96</v>
      </c>
      <c r="C110" s="116"/>
      <c r="D110" s="116"/>
    </row>
    <row r="111" spans="1:4">
      <c r="A111" s="124">
        <v>45.7</v>
      </c>
      <c r="B111" s="125">
        <v>18.010000000000002</v>
      </c>
      <c r="C111" s="116"/>
      <c r="D111" s="116"/>
    </row>
    <row r="112" spans="1:4">
      <c r="A112" s="124">
        <v>45.8</v>
      </c>
      <c r="B112" s="125">
        <v>18.059999999999999</v>
      </c>
      <c r="C112" s="116"/>
      <c r="D112" s="116"/>
    </row>
    <row r="113" spans="1:4">
      <c r="A113" s="126">
        <v>45.9</v>
      </c>
      <c r="B113" s="127">
        <v>18.11</v>
      </c>
      <c r="C113" s="116"/>
      <c r="D113" s="116"/>
    </row>
    <row r="114" spans="1:4">
      <c r="A114" s="124">
        <v>46</v>
      </c>
      <c r="B114" s="125">
        <v>18.16</v>
      </c>
      <c r="C114" s="116"/>
      <c r="D114" s="116"/>
    </row>
    <row r="115" spans="1:4">
      <c r="A115" s="124">
        <v>46.1</v>
      </c>
      <c r="B115" s="125">
        <v>18.21</v>
      </c>
      <c r="C115" s="116"/>
      <c r="D115" s="116"/>
    </row>
    <row r="116" spans="1:4">
      <c r="A116" s="124">
        <v>46.2</v>
      </c>
      <c r="B116" s="125">
        <v>18.260000000000002</v>
      </c>
      <c r="C116" s="116"/>
      <c r="D116" s="116"/>
    </row>
    <row r="117" spans="1:4">
      <c r="A117" s="124">
        <v>46.3</v>
      </c>
      <c r="B117" s="125">
        <v>18.32</v>
      </c>
      <c r="C117" s="116"/>
      <c r="D117" s="116"/>
    </row>
    <row r="118" spans="1:4">
      <c r="A118" s="124">
        <v>46.4</v>
      </c>
      <c r="B118" s="125">
        <v>18.37</v>
      </c>
      <c r="C118" s="116"/>
      <c r="D118" s="116"/>
    </row>
    <row r="119" spans="1:4">
      <c r="A119" s="124">
        <v>46.5</v>
      </c>
      <c r="B119" s="125">
        <v>18.420000000000002</v>
      </c>
      <c r="C119" s="116"/>
      <c r="D119" s="116"/>
    </row>
    <row r="120" spans="1:4">
      <c r="A120" s="124">
        <v>46.6</v>
      </c>
      <c r="B120" s="125">
        <v>18.47</v>
      </c>
      <c r="C120" s="116"/>
      <c r="D120" s="116"/>
    </row>
    <row r="121" spans="1:4">
      <c r="A121" s="124">
        <v>46.7</v>
      </c>
      <c r="B121" s="125">
        <v>18.52</v>
      </c>
      <c r="C121" s="116"/>
      <c r="D121" s="116"/>
    </row>
    <row r="122" spans="1:4">
      <c r="A122" s="124">
        <v>46.8</v>
      </c>
      <c r="B122" s="125">
        <v>18.579999999999998</v>
      </c>
      <c r="C122" s="116"/>
      <c r="D122" s="116"/>
    </row>
    <row r="123" spans="1:4">
      <c r="A123" s="126">
        <v>46.9</v>
      </c>
      <c r="B123" s="127">
        <v>18.329999999999998</v>
      </c>
      <c r="C123" s="116"/>
      <c r="D123" s="116"/>
    </row>
    <row r="124" spans="1:4">
      <c r="A124" s="124">
        <v>47</v>
      </c>
      <c r="B124" s="125">
        <v>18.68</v>
      </c>
      <c r="C124" s="116"/>
      <c r="D124" s="116"/>
    </row>
    <row r="125" spans="1:4">
      <c r="A125" s="124">
        <v>47.1</v>
      </c>
      <c r="B125" s="125">
        <v>18.73</v>
      </c>
      <c r="C125" s="116"/>
      <c r="D125" s="116"/>
    </row>
    <row r="126" spans="1:4">
      <c r="A126" s="124">
        <v>47.2</v>
      </c>
      <c r="B126" s="125">
        <v>18.79</v>
      </c>
      <c r="C126" s="116"/>
      <c r="D126" s="116"/>
    </row>
    <row r="127" spans="1:4">
      <c r="A127" s="124">
        <v>47.3</v>
      </c>
      <c r="B127" s="125">
        <v>18.84</v>
      </c>
      <c r="C127" s="116"/>
      <c r="D127" s="116"/>
    </row>
    <row r="128" spans="1:4">
      <c r="A128" s="124">
        <v>47.4</v>
      </c>
      <c r="B128" s="125">
        <v>18.89</v>
      </c>
      <c r="C128" s="116"/>
      <c r="D128" s="116"/>
    </row>
    <row r="129" spans="1:4">
      <c r="A129" s="124">
        <v>47.5</v>
      </c>
      <c r="B129" s="125">
        <v>18.95</v>
      </c>
      <c r="C129" s="116"/>
      <c r="D129" s="116"/>
    </row>
    <row r="130" spans="1:4">
      <c r="A130" s="124">
        <v>47.6</v>
      </c>
      <c r="B130" s="125">
        <v>19</v>
      </c>
      <c r="C130" s="116"/>
      <c r="D130" s="116"/>
    </row>
    <row r="131" spans="1:4">
      <c r="A131" s="124">
        <v>47.7</v>
      </c>
      <c r="B131" s="125">
        <v>19.05</v>
      </c>
      <c r="C131" s="116"/>
      <c r="D131" s="116"/>
    </row>
    <row r="132" spans="1:4">
      <c r="A132" s="124">
        <v>47.8</v>
      </c>
      <c r="B132" s="125">
        <v>19.100000000000001</v>
      </c>
      <c r="C132" s="116"/>
      <c r="D132" s="116"/>
    </row>
    <row r="133" spans="1:4">
      <c r="A133" s="126">
        <v>47.9</v>
      </c>
      <c r="B133" s="127">
        <v>19.16</v>
      </c>
      <c r="C133" s="116"/>
      <c r="D133" s="116"/>
    </row>
    <row r="134" spans="1:4">
      <c r="A134" s="124">
        <v>48</v>
      </c>
      <c r="B134" s="125">
        <v>19.21</v>
      </c>
      <c r="C134" s="116"/>
      <c r="D134" s="116"/>
    </row>
    <row r="135" spans="1:4">
      <c r="A135" s="124">
        <v>48.1</v>
      </c>
      <c r="B135" s="125">
        <v>19.260000000000002</v>
      </c>
      <c r="C135" s="116"/>
      <c r="D135" s="116"/>
    </row>
    <row r="136" spans="1:4">
      <c r="A136" s="124">
        <v>48.2</v>
      </c>
      <c r="B136" s="125">
        <v>19.32</v>
      </c>
      <c r="C136" s="116"/>
      <c r="D136" s="116"/>
    </row>
    <row r="137" spans="1:4">
      <c r="A137" s="124">
        <v>48.3</v>
      </c>
      <c r="B137" s="125">
        <v>19.37</v>
      </c>
      <c r="C137" s="116"/>
      <c r="D137" s="116"/>
    </row>
    <row r="138" spans="1:4">
      <c r="A138" s="124">
        <v>48.4</v>
      </c>
      <c r="B138" s="125">
        <v>19.43</v>
      </c>
      <c r="C138" s="116"/>
      <c r="D138" s="116"/>
    </row>
    <row r="139" spans="1:4">
      <c r="A139" s="124">
        <v>48.5</v>
      </c>
      <c r="B139" s="125">
        <v>19.48</v>
      </c>
      <c r="C139" s="116"/>
      <c r="D139" s="116"/>
    </row>
    <row r="140" spans="1:4">
      <c r="A140" s="124">
        <v>48.6</v>
      </c>
      <c r="B140" s="125">
        <v>19.53</v>
      </c>
      <c r="C140" s="116"/>
      <c r="D140" s="116"/>
    </row>
    <row r="141" spans="1:4">
      <c r="A141" s="124">
        <v>48.7</v>
      </c>
      <c r="B141" s="125">
        <v>19.59</v>
      </c>
      <c r="C141" s="116"/>
      <c r="D141" s="116"/>
    </row>
    <row r="142" spans="1:4">
      <c r="A142" s="124">
        <v>48.8</v>
      </c>
      <c r="B142" s="125">
        <v>19.64</v>
      </c>
      <c r="C142" s="116"/>
      <c r="D142" s="116"/>
    </row>
    <row r="143" spans="1:4">
      <c r="A143" s="126">
        <v>48.9</v>
      </c>
      <c r="B143" s="127">
        <v>19.7</v>
      </c>
      <c r="C143" s="116"/>
      <c r="D143" s="116"/>
    </row>
    <row r="144" spans="1:4">
      <c r="A144" s="124">
        <v>49</v>
      </c>
      <c r="B144" s="125">
        <v>19.75</v>
      </c>
      <c r="C144" s="116"/>
      <c r="D144" s="116"/>
    </row>
    <row r="145" spans="1:4">
      <c r="A145" s="124">
        <v>49.1</v>
      </c>
      <c r="B145" s="125">
        <v>19.809999999999999</v>
      </c>
      <c r="C145" s="116"/>
      <c r="D145" s="116"/>
    </row>
    <row r="146" spans="1:4">
      <c r="A146" s="124">
        <v>49.2</v>
      </c>
      <c r="B146" s="125">
        <v>19.86</v>
      </c>
      <c r="C146" s="116"/>
      <c r="D146" s="116"/>
    </row>
    <row r="147" spans="1:4">
      <c r="A147" s="124">
        <v>49.3</v>
      </c>
      <c r="B147" s="125">
        <v>19.920000000000002</v>
      </c>
      <c r="C147" s="116"/>
      <c r="D147" s="116"/>
    </row>
    <row r="148" spans="1:4">
      <c r="A148" s="124">
        <v>49.4</v>
      </c>
      <c r="B148" s="125">
        <v>19.97</v>
      </c>
      <c r="C148" s="116"/>
      <c r="D148" s="116"/>
    </row>
    <row r="149" spans="1:4">
      <c r="A149" s="124">
        <v>49.5</v>
      </c>
      <c r="B149" s="125">
        <v>20.03</v>
      </c>
      <c r="C149" s="116"/>
      <c r="D149" s="116"/>
    </row>
    <row r="150" spans="1:4">
      <c r="A150" s="124">
        <v>49.6</v>
      </c>
      <c r="B150" s="125">
        <v>20.079999999999998</v>
      </c>
      <c r="C150" s="116"/>
      <c r="D150" s="116"/>
    </row>
    <row r="151" spans="1:4">
      <c r="A151" s="124">
        <v>49.7</v>
      </c>
      <c r="B151" s="125">
        <v>20.14</v>
      </c>
      <c r="C151" s="116"/>
      <c r="D151" s="116"/>
    </row>
    <row r="152" spans="1:4">
      <c r="A152" s="124">
        <v>49.8</v>
      </c>
      <c r="B152" s="125">
        <v>20.190000000000001</v>
      </c>
      <c r="C152" s="116"/>
      <c r="D152" s="116"/>
    </row>
    <row r="153" spans="1:4">
      <c r="A153" s="126">
        <v>49.9</v>
      </c>
      <c r="B153" s="127">
        <v>20.25</v>
      </c>
      <c r="C153" s="116"/>
      <c r="D153" s="116"/>
    </row>
    <row r="154" spans="1:4">
      <c r="A154" s="124">
        <v>50</v>
      </c>
      <c r="B154" s="125">
        <v>20.3</v>
      </c>
      <c r="C154" s="116"/>
      <c r="D154" s="116"/>
    </row>
    <row r="155" spans="1:4">
      <c r="A155" s="124">
        <v>50.100000000000101</v>
      </c>
      <c r="B155" s="125">
        <v>20.36</v>
      </c>
      <c r="C155" s="116"/>
      <c r="D155" s="116"/>
    </row>
    <row r="156" spans="1:4">
      <c r="A156" s="124">
        <v>50.2</v>
      </c>
      <c r="B156" s="125">
        <v>20.41</v>
      </c>
      <c r="C156" s="116"/>
      <c r="D156" s="116"/>
    </row>
    <row r="157" spans="1:4">
      <c r="A157" s="124">
        <v>50.3</v>
      </c>
      <c r="B157" s="125">
        <v>20.47</v>
      </c>
      <c r="C157" s="116"/>
      <c r="D157" s="116"/>
    </row>
    <row r="158" spans="1:4">
      <c r="A158" s="124">
        <v>50.4</v>
      </c>
      <c r="B158" s="125">
        <v>20.52</v>
      </c>
      <c r="C158" s="116"/>
      <c r="D158" s="116"/>
    </row>
    <row r="159" spans="1:4">
      <c r="A159" s="124">
        <v>50.5</v>
      </c>
      <c r="B159" s="125">
        <v>20.58</v>
      </c>
      <c r="C159" s="116"/>
      <c r="D159" s="116"/>
    </row>
    <row r="160" spans="1:4">
      <c r="A160" s="124">
        <v>50.6</v>
      </c>
      <c r="B160" s="125">
        <v>20.64</v>
      </c>
      <c r="C160" s="116"/>
      <c r="D160" s="116"/>
    </row>
    <row r="161" spans="1:4">
      <c r="A161" s="124">
        <v>50.7</v>
      </c>
      <c r="B161" s="125">
        <v>20.69</v>
      </c>
      <c r="C161" s="116"/>
      <c r="D161" s="116"/>
    </row>
    <row r="162" spans="1:4">
      <c r="A162" s="124">
        <v>50.8</v>
      </c>
      <c r="B162" s="125">
        <v>20.75</v>
      </c>
      <c r="C162" s="116"/>
      <c r="D162" s="116"/>
    </row>
    <row r="163" spans="1:4">
      <c r="A163" s="126">
        <v>50.9</v>
      </c>
      <c r="B163" s="127">
        <v>20.8</v>
      </c>
      <c r="C163" s="116"/>
      <c r="D163" s="116"/>
    </row>
    <row r="164" spans="1:4">
      <c r="A164" s="124">
        <v>51</v>
      </c>
      <c r="B164" s="125">
        <v>20.83</v>
      </c>
      <c r="C164" s="116"/>
      <c r="D164" s="116"/>
    </row>
    <row r="165" spans="1:4">
      <c r="A165" s="124">
        <v>51.1</v>
      </c>
      <c r="B165" s="125">
        <v>20.92</v>
      </c>
      <c r="C165" s="116"/>
      <c r="D165" s="116"/>
    </row>
    <row r="166" spans="1:4">
      <c r="A166" s="124">
        <v>51.2</v>
      </c>
      <c r="B166" s="125">
        <v>20.97</v>
      </c>
      <c r="C166" s="116"/>
      <c r="D166" s="116"/>
    </row>
    <row r="167" spans="1:4">
      <c r="A167" s="124">
        <v>51.3</v>
      </c>
      <c r="B167" s="125">
        <v>21.03</v>
      </c>
      <c r="C167" s="116"/>
      <c r="D167" s="116"/>
    </row>
    <row r="168" spans="1:4">
      <c r="A168" s="124">
        <v>51.4</v>
      </c>
      <c r="B168" s="125">
        <v>21.09</v>
      </c>
      <c r="C168" s="116"/>
      <c r="D168" s="116"/>
    </row>
    <row r="169" spans="1:4">
      <c r="A169" s="124">
        <v>51.5</v>
      </c>
      <c r="B169" s="125">
        <v>21.15</v>
      </c>
      <c r="C169" s="116"/>
      <c r="D169" s="116"/>
    </row>
    <row r="170" spans="1:4">
      <c r="A170" s="124">
        <v>51.6</v>
      </c>
      <c r="B170" s="125">
        <v>21.2</v>
      </c>
      <c r="C170" s="116"/>
      <c r="D170" s="116"/>
    </row>
    <row r="171" spans="1:4">
      <c r="A171" s="124">
        <v>51.7</v>
      </c>
      <c r="B171" s="125">
        <v>21.26</v>
      </c>
      <c r="C171" s="116"/>
      <c r="D171" s="116"/>
    </row>
    <row r="172" spans="1:4">
      <c r="A172" s="124">
        <v>51.8</v>
      </c>
      <c r="B172" s="125">
        <v>21.32</v>
      </c>
      <c r="C172" s="116"/>
      <c r="D172" s="116"/>
    </row>
    <row r="173" spans="1:4">
      <c r="A173" s="126">
        <v>51.9</v>
      </c>
      <c r="B173" s="127">
        <v>21.38</v>
      </c>
      <c r="C173" s="116"/>
      <c r="D173" s="116"/>
    </row>
    <row r="174" spans="1:4">
      <c r="A174" s="124">
        <v>52</v>
      </c>
      <c r="B174" s="125">
        <v>21.44</v>
      </c>
      <c r="C174" s="116"/>
      <c r="D174" s="116"/>
    </row>
    <row r="175" spans="1:4">
      <c r="A175" s="124">
        <v>52.1</v>
      </c>
      <c r="B175" s="125">
        <v>21.5</v>
      </c>
      <c r="C175" s="116"/>
      <c r="D175" s="116"/>
    </row>
    <row r="176" spans="1:4">
      <c r="A176" s="124">
        <v>52.2</v>
      </c>
      <c r="B176" s="125">
        <v>21.56</v>
      </c>
      <c r="C176" s="116"/>
      <c r="D176" s="116"/>
    </row>
    <row r="177" spans="1:4">
      <c r="A177" s="124">
        <v>52.3</v>
      </c>
      <c r="B177" s="125">
        <v>21.62</v>
      </c>
      <c r="C177" s="116"/>
      <c r="D177" s="116"/>
    </row>
    <row r="178" spans="1:4">
      <c r="A178" s="124">
        <v>52.4</v>
      </c>
      <c r="B178" s="125">
        <v>21.67</v>
      </c>
      <c r="C178" s="116"/>
      <c r="D178" s="116"/>
    </row>
    <row r="179" spans="1:4">
      <c r="A179" s="124">
        <v>52.5</v>
      </c>
      <c r="B179" s="125">
        <v>21.73</v>
      </c>
      <c r="C179" s="116"/>
      <c r="D179" s="116"/>
    </row>
    <row r="180" spans="1:4">
      <c r="A180" s="124">
        <v>52.6</v>
      </c>
      <c r="B180" s="125">
        <v>21.79</v>
      </c>
      <c r="C180" s="116"/>
      <c r="D180" s="116"/>
    </row>
    <row r="181" spans="1:4">
      <c r="A181" s="124">
        <v>52.7</v>
      </c>
      <c r="B181" s="125">
        <v>21.85</v>
      </c>
      <c r="C181" s="116"/>
      <c r="D181" s="116"/>
    </row>
    <row r="182" spans="1:4">
      <c r="A182" s="124">
        <v>52.8</v>
      </c>
      <c r="B182" s="125">
        <v>21.91</v>
      </c>
      <c r="C182" s="116"/>
      <c r="D182" s="116"/>
    </row>
    <row r="183" spans="1:4">
      <c r="A183" s="124">
        <v>52.9</v>
      </c>
      <c r="B183" s="127">
        <v>21.97</v>
      </c>
      <c r="C183" s="116"/>
      <c r="D183" s="116"/>
    </row>
    <row r="184" spans="1:4">
      <c r="A184" s="124">
        <v>53</v>
      </c>
      <c r="B184" s="125">
        <v>22.02</v>
      </c>
      <c r="C184" s="116"/>
      <c r="D184" s="116"/>
    </row>
    <row r="185" spans="1:4">
      <c r="A185" s="124">
        <v>53.1</v>
      </c>
      <c r="B185" s="125">
        <v>22.08</v>
      </c>
      <c r="C185" s="116"/>
      <c r="D185" s="116"/>
    </row>
    <row r="186" spans="1:4">
      <c r="A186" s="124">
        <v>53.2</v>
      </c>
      <c r="B186" s="125">
        <v>22.14</v>
      </c>
      <c r="C186" s="116"/>
      <c r="D186" s="116"/>
    </row>
    <row r="187" spans="1:4">
      <c r="A187" s="124">
        <v>53.3</v>
      </c>
      <c r="B187" s="125">
        <v>22.2</v>
      </c>
      <c r="C187" s="116"/>
      <c r="D187" s="116"/>
    </row>
    <row r="188" spans="1:4">
      <c r="A188" s="124">
        <v>53.4</v>
      </c>
      <c r="B188" s="125">
        <v>22.26</v>
      </c>
      <c r="C188" s="116"/>
      <c r="D188" s="116"/>
    </row>
    <row r="189" spans="1:4">
      <c r="A189" s="124">
        <v>53.5</v>
      </c>
      <c r="B189" s="125">
        <v>22.32</v>
      </c>
      <c r="C189" s="116"/>
      <c r="D189" s="116"/>
    </row>
    <row r="190" spans="1:4">
      <c r="A190" s="124">
        <v>53.6</v>
      </c>
      <c r="B190" s="125">
        <v>22.38</v>
      </c>
      <c r="C190" s="116"/>
      <c r="D190" s="116"/>
    </row>
    <row r="191" spans="1:4">
      <c r="A191" s="124">
        <v>53.7</v>
      </c>
      <c r="B191" s="125">
        <v>22.44</v>
      </c>
      <c r="C191" s="116"/>
      <c r="D191" s="116"/>
    </row>
    <row r="192" spans="1:4">
      <c r="A192" s="124">
        <v>53.8</v>
      </c>
      <c r="B192" s="125">
        <v>22.5</v>
      </c>
      <c r="C192" s="116"/>
      <c r="D192" s="116"/>
    </row>
    <row r="193" spans="1:4">
      <c r="A193" s="124">
        <v>53.9</v>
      </c>
      <c r="B193" s="127">
        <v>22.56</v>
      </c>
      <c r="C193" s="116"/>
      <c r="D193" s="116"/>
    </row>
    <row r="194" spans="1:4">
      <c r="A194" s="124">
        <v>54</v>
      </c>
      <c r="B194" s="125">
        <v>22.62</v>
      </c>
      <c r="C194" s="116"/>
      <c r="D194" s="116"/>
    </row>
    <row r="195" spans="1:4">
      <c r="A195" s="124">
        <v>54.1</v>
      </c>
      <c r="B195" s="125">
        <v>22.68</v>
      </c>
      <c r="C195" s="116"/>
      <c r="D195" s="116"/>
    </row>
    <row r="196" spans="1:4">
      <c r="A196" s="124">
        <v>54.2</v>
      </c>
      <c r="B196" s="125">
        <v>22.74</v>
      </c>
      <c r="C196" s="116"/>
      <c r="D196" s="116"/>
    </row>
    <row r="197" spans="1:4">
      <c r="A197" s="124">
        <v>54.3</v>
      </c>
      <c r="B197" s="125">
        <v>22.8</v>
      </c>
      <c r="C197" s="116"/>
      <c r="D197" s="116"/>
    </row>
    <row r="198" spans="1:4">
      <c r="A198" s="124">
        <v>54.4</v>
      </c>
      <c r="B198" s="125">
        <v>22.86</v>
      </c>
      <c r="C198" s="116"/>
      <c r="D198" s="116"/>
    </row>
    <row r="199" spans="1:4">
      <c r="A199" s="124">
        <v>54.5</v>
      </c>
      <c r="B199" s="125">
        <v>22.92</v>
      </c>
      <c r="C199" s="116"/>
      <c r="D199" s="116"/>
    </row>
    <row r="200" spans="1:4">
      <c r="A200" s="124">
        <v>54.6</v>
      </c>
      <c r="B200" s="125">
        <v>22.98</v>
      </c>
      <c r="C200" s="116"/>
      <c r="D200" s="116"/>
    </row>
    <row r="201" spans="1:4">
      <c r="A201" s="124">
        <v>54.7</v>
      </c>
      <c r="B201" s="125">
        <v>23.04</v>
      </c>
      <c r="C201" s="116"/>
      <c r="D201" s="116"/>
    </row>
    <row r="202" spans="1:4">
      <c r="A202" s="124">
        <v>54.8</v>
      </c>
      <c r="B202" s="125">
        <v>23.1</v>
      </c>
      <c r="C202" s="116"/>
      <c r="D202" s="116"/>
    </row>
    <row r="203" spans="1:4">
      <c r="A203" s="124">
        <v>54.9</v>
      </c>
      <c r="B203" s="127">
        <v>23.16</v>
      </c>
      <c r="C203" s="116"/>
      <c r="D203" s="116"/>
    </row>
    <row r="204" spans="1:4">
      <c r="A204" s="124">
        <v>55</v>
      </c>
      <c r="B204" s="125">
        <v>23.22</v>
      </c>
      <c r="C204" s="116"/>
      <c r="D204" s="116"/>
    </row>
    <row r="205" spans="1:4">
      <c r="A205" s="124">
        <v>55.1</v>
      </c>
      <c r="B205" s="125">
        <v>23.28</v>
      </c>
      <c r="C205" s="117"/>
      <c r="D205" s="117"/>
    </row>
    <row r="206" spans="1:4">
      <c r="A206" s="124">
        <v>55.2</v>
      </c>
      <c r="B206" s="125">
        <v>23.34</v>
      </c>
      <c r="C206" s="117"/>
      <c r="D206" s="117"/>
    </row>
    <row r="207" spans="1:4">
      <c r="A207" s="124">
        <v>55.3</v>
      </c>
      <c r="B207" s="125">
        <v>23.41</v>
      </c>
      <c r="C207" s="117"/>
      <c r="D207" s="117"/>
    </row>
    <row r="208" spans="1:4">
      <c r="A208" s="124">
        <v>55.4</v>
      </c>
      <c r="B208" s="125">
        <v>23.47</v>
      </c>
      <c r="C208" s="118"/>
      <c r="D208" s="118"/>
    </row>
    <row r="209" spans="1:4">
      <c r="A209" s="124">
        <v>55.5</v>
      </c>
      <c r="B209" s="125">
        <v>23.53</v>
      </c>
      <c r="C209" s="118"/>
      <c r="D209" s="118"/>
    </row>
    <row r="210" spans="1:4">
      <c r="A210" s="124">
        <v>55.6</v>
      </c>
      <c r="B210" s="125">
        <v>23.59</v>
      </c>
      <c r="C210" s="118"/>
      <c r="D210" s="118"/>
    </row>
    <row r="211" spans="1:4">
      <c r="A211" s="124">
        <v>55.7</v>
      </c>
      <c r="B211" s="125">
        <v>23.65</v>
      </c>
      <c r="C211" s="118"/>
      <c r="D211" s="118"/>
    </row>
    <row r="212" spans="1:4">
      <c r="A212" s="124">
        <v>55.8</v>
      </c>
      <c r="B212" s="125">
        <v>23.72</v>
      </c>
      <c r="C212" s="118"/>
      <c r="D212" s="118"/>
    </row>
    <row r="213" spans="1:4">
      <c r="A213" s="124">
        <v>55.9</v>
      </c>
      <c r="B213" s="127">
        <v>23.78</v>
      </c>
      <c r="C213" s="118"/>
      <c r="D213" s="118"/>
    </row>
    <row r="214" spans="1:4">
      <c r="A214" s="124">
        <v>56</v>
      </c>
      <c r="B214" s="125">
        <v>23.84</v>
      </c>
      <c r="C214" s="118"/>
      <c r="D214" s="118"/>
    </row>
    <row r="215" spans="1:4">
      <c r="A215" s="124">
        <v>56.1</v>
      </c>
      <c r="B215" s="125">
        <v>23.9</v>
      </c>
      <c r="C215" s="118"/>
      <c r="D215" s="118"/>
    </row>
    <row r="216" spans="1:4">
      <c r="A216" s="124">
        <v>56.2</v>
      </c>
      <c r="B216" s="125">
        <v>23.97</v>
      </c>
      <c r="C216" s="118"/>
      <c r="D216" s="118"/>
    </row>
    <row r="217" spans="1:4">
      <c r="A217" s="124">
        <v>56.3</v>
      </c>
      <c r="B217" s="125">
        <v>24.03</v>
      </c>
      <c r="C217" s="118"/>
      <c r="D217" s="118"/>
    </row>
    <row r="218" spans="1:4">
      <c r="A218" s="124">
        <v>56.4</v>
      </c>
      <c r="B218" s="125">
        <v>24.1</v>
      </c>
      <c r="C218" s="118"/>
      <c r="D218" s="118"/>
    </row>
    <row r="219" spans="1:4">
      <c r="A219" s="124">
        <v>56.5</v>
      </c>
      <c r="B219" s="125">
        <v>24.16</v>
      </c>
      <c r="C219" s="118"/>
      <c r="D219" s="118"/>
    </row>
    <row r="220" spans="1:4">
      <c r="A220" s="124">
        <v>56.6</v>
      </c>
      <c r="B220" s="125">
        <v>24.22</v>
      </c>
      <c r="C220" s="118"/>
      <c r="D220" s="118"/>
    </row>
    <row r="221" spans="1:4">
      <c r="A221" s="124">
        <v>56.7</v>
      </c>
      <c r="B221" s="125">
        <v>24.29</v>
      </c>
      <c r="C221" s="118"/>
      <c r="D221" s="118"/>
    </row>
    <row r="222" spans="1:4">
      <c r="A222" s="124">
        <v>56.8</v>
      </c>
      <c r="B222" s="125">
        <v>24.35</v>
      </c>
      <c r="C222" s="118"/>
      <c r="D222" s="118"/>
    </row>
    <row r="223" spans="1:4">
      <c r="A223" s="124">
        <v>56.9</v>
      </c>
      <c r="B223" s="127">
        <v>24.42</v>
      </c>
      <c r="C223" s="118"/>
      <c r="D223" s="118"/>
    </row>
    <row r="224" spans="1:4">
      <c r="A224" s="124">
        <v>57</v>
      </c>
      <c r="B224" s="125">
        <v>24.48</v>
      </c>
      <c r="C224" s="118"/>
      <c r="D224" s="118"/>
    </row>
    <row r="225" spans="1:4">
      <c r="A225" s="124">
        <v>57.1</v>
      </c>
      <c r="B225" s="125">
        <v>24.54</v>
      </c>
      <c r="C225" s="118"/>
      <c r="D225" s="118"/>
    </row>
    <row r="226" spans="1:4">
      <c r="A226" s="124">
        <v>57.2</v>
      </c>
      <c r="B226" s="125">
        <v>24.61</v>
      </c>
      <c r="C226" s="118"/>
      <c r="D226" s="118"/>
    </row>
    <row r="227" spans="1:4">
      <c r="A227" s="124">
        <v>57.3</v>
      </c>
      <c r="B227" s="125">
        <v>24.67</v>
      </c>
      <c r="C227" s="118"/>
      <c r="D227" s="118"/>
    </row>
    <row r="228" spans="1:4">
      <c r="A228" s="124">
        <v>57.4</v>
      </c>
      <c r="B228" s="125">
        <v>24.74</v>
      </c>
      <c r="C228" s="118"/>
      <c r="D228" s="118"/>
    </row>
    <row r="229" spans="1:4">
      <c r="A229" s="124">
        <v>57.5</v>
      </c>
      <c r="B229" s="125">
        <v>24.8</v>
      </c>
      <c r="C229" s="118"/>
      <c r="D229" s="118"/>
    </row>
    <row r="230" spans="1:4">
      <c r="A230" s="124">
        <v>57.6</v>
      </c>
      <c r="B230" s="125">
        <v>24.86</v>
      </c>
      <c r="C230" s="118"/>
      <c r="D230" s="118"/>
    </row>
    <row r="231" spans="1:4">
      <c r="A231" s="124">
        <v>57.7</v>
      </c>
      <c r="B231" s="125">
        <v>24.93</v>
      </c>
      <c r="C231" s="118"/>
      <c r="D231" s="118"/>
    </row>
    <row r="232" spans="1:4">
      <c r="A232" s="124">
        <v>57.8</v>
      </c>
      <c r="B232" s="125">
        <v>24.99</v>
      </c>
      <c r="C232" s="118"/>
      <c r="D232" s="118"/>
    </row>
    <row r="233" spans="1:4">
      <c r="A233" s="124">
        <v>57.9</v>
      </c>
      <c r="B233" s="127">
        <v>25.06</v>
      </c>
      <c r="C233" s="118"/>
      <c r="D233" s="118"/>
    </row>
    <row r="234" spans="1:4">
      <c r="A234" s="124">
        <v>58</v>
      </c>
      <c r="B234" s="125">
        <v>25.12</v>
      </c>
      <c r="C234" s="118"/>
      <c r="D234" s="118"/>
    </row>
    <row r="235" spans="1:4">
      <c r="A235" s="124">
        <v>58.1</v>
      </c>
      <c r="B235" s="125">
        <v>25.19</v>
      </c>
      <c r="C235" s="118"/>
      <c r="D235" s="118"/>
    </row>
    <row r="236" spans="1:4">
      <c r="A236" s="124">
        <v>58.2</v>
      </c>
      <c r="B236" s="125">
        <v>25.25</v>
      </c>
      <c r="C236" s="118"/>
      <c r="D236" s="118"/>
    </row>
    <row r="237" spans="1:4">
      <c r="A237" s="124">
        <v>58.3</v>
      </c>
      <c r="B237" s="125">
        <v>25.32</v>
      </c>
      <c r="C237" s="118"/>
      <c r="D237" s="118"/>
    </row>
    <row r="238" spans="1:4">
      <c r="A238" s="124">
        <v>58.4</v>
      </c>
      <c r="B238" s="125">
        <v>25.38</v>
      </c>
      <c r="C238" s="118"/>
      <c r="D238" s="118"/>
    </row>
    <row r="239" spans="1:4">
      <c r="A239" s="124">
        <v>58.5</v>
      </c>
      <c r="B239" s="125">
        <v>25.45</v>
      </c>
      <c r="C239" s="118"/>
      <c r="D239" s="118"/>
    </row>
    <row r="240" spans="1:4">
      <c r="A240" s="124">
        <v>58.6</v>
      </c>
      <c r="B240" s="125">
        <v>25.52</v>
      </c>
      <c r="C240" s="118"/>
      <c r="D240" s="118"/>
    </row>
    <row r="241" spans="1:4">
      <c r="A241" s="124">
        <v>58.7</v>
      </c>
      <c r="B241" s="125">
        <v>25.58</v>
      </c>
      <c r="C241" s="118"/>
      <c r="D241" s="118"/>
    </row>
    <row r="242" spans="1:4">
      <c r="A242" s="124">
        <v>58.8</v>
      </c>
      <c r="B242" s="125">
        <v>25.65</v>
      </c>
      <c r="C242" s="118"/>
      <c r="D242" s="118"/>
    </row>
    <row r="243" spans="1:4">
      <c r="A243" s="124">
        <v>58.9</v>
      </c>
      <c r="B243" s="125">
        <v>25.71</v>
      </c>
      <c r="C243" s="118"/>
      <c r="D243" s="118"/>
    </row>
    <row r="244" spans="1:4">
      <c r="A244" s="124">
        <v>59</v>
      </c>
      <c r="B244" s="125">
        <v>25.78</v>
      </c>
      <c r="C244" s="118"/>
      <c r="D244" s="118"/>
    </row>
    <row r="245" spans="1:4">
      <c r="A245" s="124">
        <v>59.1</v>
      </c>
      <c r="B245" s="125">
        <v>25.85</v>
      </c>
      <c r="C245" s="118"/>
      <c r="D245" s="118"/>
    </row>
    <row r="246" spans="1:4">
      <c r="A246" s="124">
        <v>59.2</v>
      </c>
      <c r="B246" s="125">
        <v>25.92</v>
      </c>
      <c r="C246" s="118"/>
      <c r="D246" s="118"/>
    </row>
    <row r="247" spans="1:4">
      <c r="A247" s="124">
        <v>59.3</v>
      </c>
      <c r="B247" s="125">
        <v>25.98</v>
      </c>
      <c r="C247" s="118"/>
      <c r="D247" s="118"/>
    </row>
    <row r="248" spans="1:4">
      <c r="A248" s="124">
        <v>59.4</v>
      </c>
      <c r="B248" s="125">
        <v>26.05</v>
      </c>
      <c r="C248" s="118"/>
      <c r="D248" s="118"/>
    </row>
    <row r="249" spans="1:4">
      <c r="A249" s="124">
        <v>59.5</v>
      </c>
      <c r="B249" s="125">
        <v>26.12</v>
      </c>
      <c r="C249" s="118"/>
      <c r="D249" s="118"/>
    </row>
    <row r="250" spans="1:4">
      <c r="A250" s="124">
        <v>59.6</v>
      </c>
      <c r="B250" s="125">
        <v>26.19</v>
      </c>
      <c r="C250" s="118"/>
      <c r="D250" s="118"/>
    </row>
    <row r="251" spans="1:4">
      <c r="A251" s="124">
        <v>59.7</v>
      </c>
      <c r="B251" s="125">
        <v>26.26</v>
      </c>
      <c r="C251" s="118"/>
      <c r="D251" s="118"/>
    </row>
    <row r="252" spans="1:4">
      <c r="A252" s="124">
        <v>59.8</v>
      </c>
      <c r="B252" s="125">
        <v>26.32</v>
      </c>
      <c r="C252" s="118"/>
      <c r="D252" s="118"/>
    </row>
    <row r="253" spans="1:4">
      <c r="A253" s="124">
        <v>59.9</v>
      </c>
      <c r="B253" s="125">
        <v>26.39</v>
      </c>
      <c r="C253" s="118"/>
      <c r="D253" s="118"/>
    </row>
    <row r="254" spans="1:4">
      <c r="A254" s="124">
        <v>60</v>
      </c>
      <c r="B254" s="125">
        <v>26.46</v>
      </c>
      <c r="C254" s="118"/>
      <c r="D254" s="118"/>
    </row>
    <row r="255" spans="1:4">
      <c r="A255" s="124">
        <v>60.1</v>
      </c>
      <c r="B255" s="125">
        <v>26.53</v>
      </c>
      <c r="C255" s="118"/>
      <c r="D255" s="118"/>
    </row>
    <row r="256" spans="1:4">
      <c r="A256" s="124">
        <v>60.2</v>
      </c>
      <c r="B256" s="125">
        <v>26.6</v>
      </c>
      <c r="C256" s="118"/>
      <c r="D256" s="118"/>
    </row>
    <row r="257" spans="1:4">
      <c r="A257" s="124">
        <v>60.3</v>
      </c>
      <c r="B257" s="125">
        <v>26.37</v>
      </c>
      <c r="C257" s="118"/>
      <c r="D257" s="118"/>
    </row>
    <row r="258" spans="1:4">
      <c r="A258" s="124">
        <v>60.4</v>
      </c>
      <c r="B258" s="125">
        <v>26.74</v>
      </c>
      <c r="C258" s="118"/>
      <c r="D258" s="118"/>
    </row>
    <row r="259" spans="1:4">
      <c r="A259" s="124">
        <v>60.5</v>
      </c>
      <c r="B259" s="125">
        <v>26.81</v>
      </c>
      <c r="C259" s="118"/>
      <c r="D259" s="118"/>
    </row>
    <row r="260" spans="1:4">
      <c r="A260" s="124">
        <v>60.6</v>
      </c>
      <c r="B260" s="125">
        <v>26.87</v>
      </c>
      <c r="C260" s="118"/>
      <c r="D260" s="118"/>
    </row>
    <row r="261" spans="1:4">
      <c r="A261" s="124">
        <v>60.7</v>
      </c>
      <c r="B261" s="125">
        <v>26.94</v>
      </c>
      <c r="C261" s="118"/>
      <c r="D261" s="118"/>
    </row>
    <row r="262" spans="1:4">
      <c r="A262" s="124">
        <v>60.8</v>
      </c>
      <c r="B262" s="125">
        <v>27.01</v>
      </c>
      <c r="C262" s="118"/>
      <c r="D262" s="118"/>
    </row>
    <row r="263" spans="1:4">
      <c r="A263" s="124">
        <v>60.9</v>
      </c>
      <c r="B263" s="125">
        <v>27.08</v>
      </c>
      <c r="C263" s="118"/>
      <c r="D263" s="118"/>
    </row>
    <row r="264" spans="1:4">
      <c r="A264" s="124">
        <v>61</v>
      </c>
      <c r="B264" s="125">
        <v>27.15</v>
      </c>
      <c r="C264" s="118"/>
      <c r="D264" s="118"/>
    </row>
    <row r="265" spans="1:4">
      <c r="A265" s="124">
        <v>61.1</v>
      </c>
      <c r="B265" s="125">
        <v>27.22</v>
      </c>
      <c r="C265" s="118"/>
      <c r="D265" s="118"/>
    </row>
    <row r="266" spans="1:4">
      <c r="A266" s="124">
        <v>61.2</v>
      </c>
      <c r="B266" s="125">
        <v>27.29</v>
      </c>
      <c r="C266" s="118"/>
      <c r="D266" s="118"/>
    </row>
    <row r="267" spans="1:4">
      <c r="A267" s="124">
        <v>61.3</v>
      </c>
      <c r="B267" s="125">
        <v>27.36</v>
      </c>
      <c r="C267" s="118"/>
      <c r="D267" s="118"/>
    </row>
    <row r="268" spans="1:4">
      <c r="A268" s="124">
        <v>61.4</v>
      </c>
      <c r="B268" s="125">
        <v>27.43</v>
      </c>
      <c r="C268" s="118"/>
      <c r="D268" s="118"/>
    </row>
    <row r="269" spans="1:4">
      <c r="A269" s="124">
        <v>61.5</v>
      </c>
      <c r="B269" s="125">
        <v>27.5</v>
      </c>
      <c r="C269" s="118"/>
      <c r="D269" s="118"/>
    </row>
    <row r="270" spans="1:4">
      <c r="A270" s="124">
        <v>61.6</v>
      </c>
      <c r="B270" s="125">
        <v>27.57</v>
      </c>
      <c r="C270" s="118"/>
      <c r="D270" s="118"/>
    </row>
    <row r="271" spans="1:4">
      <c r="A271" s="124">
        <v>61.7</v>
      </c>
      <c r="B271" s="125">
        <v>27.67</v>
      </c>
      <c r="C271" s="118"/>
      <c r="D271" s="118"/>
    </row>
    <row r="272" spans="1:4">
      <c r="A272" s="124">
        <v>61.8</v>
      </c>
      <c r="B272" s="125">
        <v>27.71</v>
      </c>
      <c r="C272" s="118"/>
      <c r="D272" s="118"/>
    </row>
    <row r="273" spans="1:4">
      <c r="A273" s="124">
        <v>61.9</v>
      </c>
      <c r="B273" s="125">
        <v>27.78</v>
      </c>
      <c r="C273" s="118"/>
      <c r="D273" s="118"/>
    </row>
    <row r="274" spans="1:4">
      <c r="A274" s="124">
        <v>62</v>
      </c>
      <c r="B274" s="125">
        <v>27.85</v>
      </c>
      <c r="C274" s="118"/>
      <c r="D274" s="118"/>
    </row>
    <row r="275" spans="1:4">
      <c r="A275" s="124">
        <v>62.1</v>
      </c>
      <c r="B275" s="125">
        <v>27.92</v>
      </c>
      <c r="C275" s="118"/>
      <c r="D275" s="118"/>
    </row>
    <row r="276" spans="1:4">
      <c r="A276" s="124">
        <v>62.2</v>
      </c>
      <c r="B276" s="125">
        <v>27.99</v>
      </c>
      <c r="C276" s="118"/>
      <c r="D276" s="118"/>
    </row>
    <row r="277" spans="1:4">
      <c r="A277" s="124">
        <v>62.3</v>
      </c>
      <c r="B277" s="125">
        <v>28.07</v>
      </c>
      <c r="C277" s="118"/>
      <c r="D277" s="118"/>
    </row>
    <row r="278" spans="1:4">
      <c r="A278" s="124">
        <v>62.4</v>
      </c>
      <c r="B278" s="125">
        <v>28.14</v>
      </c>
      <c r="C278" s="118"/>
      <c r="D278" s="118"/>
    </row>
    <row r="279" spans="1:4">
      <c r="A279" s="124">
        <v>62.5</v>
      </c>
      <c r="B279" s="125">
        <v>28.21</v>
      </c>
      <c r="C279" s="118"/>
      <c r="D279" s="118"/>
    </row>
    <row r="280" spans="1:4">
      <c r="A280" s="124">
        <v>62.6</v>
      </c>
      <c r="B280" s="125">
        <v>28.28</v>
      </c>
      <c r="C280" s="118"/>
      <c r="D280" s="118"/>
    </row>
    <row r="281" spans="1:4">
      <c r="A281" s="124">
        <v>62.7</v>
      </c>
      <c r="B281" s="125">
        <v>28.35</v>
      </c>
      <c r="C281" s="118"/>
      <c r="D281" s="118"/>
    </row>
    <row r="282" spans="1:4">
      <c r="A282" s="124">
        <v>62.8</v>
      </c>
      <c r="B282" s="125">
        <v>28.43</v>
      </c>
      <c r="C282" s="118"/>
      <c r="D282" s="118"/>
    </row>
    <row r="283" spans="1:4">
      <c r="A283" s="124">
        <v>62.9</v>
      </c>
      <c r="B283" s="125">
        <v>28.5</v>
      </c>
      <c r="C283" s="118"/>
      <c r="D283" s="118"/>
    </row>
    <row r="284" spans="1:4">
      <c r="A284" s="124">
        <v>63</v>
      </c>
      <c r="B284" s="125">
        <v>28.57</v>
      </c>
      <c r="C284" s="118"/>
      <c r="D284" s="118"/>
    </row>
    <row r="285" spans="1:4">
      <c r="A285" s="124">
        <v>63.1</v>
      </c>
      <c r="B285" s="125">
        <v>28.64</v>
      </c>
      <c r="C285" s="118"/>
      <c r="D285" s="118"/>
    </row>
    <row r="286" spans="1:4">
      <c r="A286" s="124">
        <v>63.2</v>
      </c>
      <c r="B286" s="125">
        <v>28.72</v>
      </c>
      <c r="C286" s="118"/>
      <c r="D286" s="118"/>
    </row>
    <row r="287" spans="1:4">
      <c r="A287" s="124">
        <v>63.3</v>
      </c>
      <c r="B287" s="125">
        <v>28.79</v>
      </c>
      <c r="C287" s="118"/>
      <c r="D287" s="118"/>
    </row>
    <row r="288" spans="1:4">
      <c r="A288" s="124">
        <v>63.4</v>
      </c>
      <c r="B288" s="125">
        <v>28.87</v>
      </c>
      <c r="C288" s="118"/>
      <c r="D288" s="118"/>
    </row>
    <row r="289" spans="1:4">
      <c r="A289" s="124">
        <v>63.5</v>
      </c>
      <c r="B289" s="125">
        <v>28.94</v>
      </c>
      <c r="C289" s="118"/>
      <c r="D289" s="118"/>
    </row>
    <row r="290" spans="1:4">
      <c r="A290" s="124">
        <v>63.6</v>
      </c>
      <c r="B290" s="125">
        <v>29.01</v>
      </c>
      <c r="C290" s="118"/>
      <c r="D290" s="118"/>
    </row>
    <row r="291" spans="1:4">
      <c r="A291" s="124">
        <v>63.7</v>
      </c>
      <c r="B291" s="125">
        <v>29.09</v>
      </c>
      <c r="C291" s="118"/>
      <c r="D291" s="118"/>
    </row>
    <row r="292" spans="1:4">
      <c r="A292" s="124">
        <v>63.8</v>
      </c>
      <c r="B292" s="125">
        <v>29.16</v>
      </c>
      <c r="C292" s="118"/>
      <c r="D292" s="118"/>
    </row>
    <row r="293" spans="1:4">
      <c r="A293" s="124">
        <v>63.9</v>
      </c>
      <c r="B293" s="125">
        <v>29.24</v>
      </c>
      <c r="C293" s="118"/>
      <c r="D293" s="118"/>
    </row>
    <row r="294" spans="1:4">
      <c r="A294" s="124">
        <v>64</v>
      </c>
      <c r="B294" s="125">
        <v>29.31</v>
      </c>
      <c r="C294" s="118"/>
      <c r="D294" s="118"/>
    </row>
    <row r="295" spans="1:4">
      <c r="A295" s="124">
        <v>64.099999999999994</v>
      </c>
      <c r="B295" s="125">
        <v>29.39</v>
      </c>
      <c r="C295" s="118"/>
      <c r="D295" s="118"/>
    </row>
    <row r="296" spans="1:4">
      <c r="A296" s="124">
        <v>64.2</v>
      </c>
      <c r="B296" s="125">
        <v>29.46</v>
      </c>
      <c r="C296" s="118"/>
      <c r="D296" s="118"/>
    </row>
    <row r="297" spans="1:4">
      <c r="A297" s="124">
        <v>64.3</v>
      </c>
      <c r="B297" s="125">
        <v>29.54</v>
      </c>
      <c r="C297" s="118"/>
      <c r="D297" s="118"/>
    </row>
    <row r="298" spans="1:4">
      <c r="A298" s="124">
        <v>64.400000000000006</v>
      </c>
      <c r="B298" s="125">
        <v>29.61</v>
      </c>
      <c r="C298" s="118"/>
      <c r="D298" s="118"/>
    </row>
    <row r="299" spans="1:4">
      <c r="A299" s="124">
        <v>64.5</v>
      </c>
      <c r="B299" s="125">
        <v>29.69</v>
      </c>
      <c r="C299" s="118"/>
      <c r="D299" s="118"/>
    </row>
    <row r="300" spans="1:4">
      <c r="A300" s="124">
        <v>64.599999999999994</v>
      </c>
      <c r="B300" s="125">
        <v>29.76</v>
      </c>
      <c r="C300" s="118"/>
      <c r="D300" s="118"/>
    </row>
    <row r="301" spans="1:4">
      <c r="A301" s="124">
        <v>64.7</v>
      </c>
      <c r="B301" s="125">
        <v>29.84</v>
      </c>
      <c r="C301" s="118"/>
      <c r="D301" s="118"/>
    </row>
    <row r="302" spans="1:4">
      <c r="A302" s="124">
        <v>64.8</v>
      </c>
      <c r="B302" s="125">
        <v>29.91</v>
      </c>
      <c r="C302" s="118"/>
      <c r="D302" s="118"/>
    </row>
    <row r="303" spans="1:4">
      <c r="A303" s="124">
        <v>64.900000000000006</v>
      </c>
      <c r="B303" s="125">
        <v>29.99</v>
      </c>
      <c r="C303" s="118"/>
      <c r="D303" s="118"/>
    </row>
    <row r="304" spans="1:4">
      <c r="A304" s="124">
        <v>65</v>
      </c>
      <c r="B304" s="125">
        <v>30.06</v>
      </c>
      <c r="C304" s="118"/>
      <c r="D304" s="118"/>
    </row>
    <row r="305" spans="1:4">
      <c r="A305" s="124">
        <v>65.099999999999994</v>
      </c>
      <c r="B305" s="125">
        <v>30.14</v>
      </c>
      <c r="C305" s="118"/>
      <c r="D305" s="118"/>
    </row>
    <row r="306" spans="1:4">
      <c r="A306" s="124">
        <v>65.2</v>
      </c>
      <c r="B306" s="125">
        <v>30.21</v>
      </c>
      <c r="C306" s="118"/>
      <c r="D306" s="118"/>
    </row>
    <row r="307" spans="1:4">
      <c r="A307" s="124">
        <v>65.3</v>
      </c>
      <c r="B307" s="125">
        <v>30.29</v>
      </c>
      <c r="C307" s="118"/>
      <c r="D307" s="118"/>
    </row>
    <row r="308" spans="1:4">
      <c r="A308" s="124">
        <v>65.400000000000006</v>
      </c>
      <c r="B308" s="125">
        <v>30.37</v>
      </c>
      <c r="C308" s="118"/>
      <c r="D308" s="118"/>
    </row>
    <row r="309" spans="1:4">
      <c r="A309" s="124">
        <v>65.5</v>
      </c>
      <c r="B309" s="125">
        <v>30.45</v>
      </c>
      <c r="C309" s="118"/>
      <c r="D309" s="118"/>
    </row>
    <row r="310" spans="1:4">
      <c r="A310" s="124">
        <v>65.599999999999994</v>
      </c>
      <c r="B310" s="125">
        <v>30.52</v>
      </c>
      <c r="C310" s="118"/>
      <c r="D310" s="118"/>
    </row>
    <row r="311" spans="1:4">
      <c r="A311" s="124">
        <v>65.7</v>
      </c>
      <c r="B311" s="125">
        <v>30.6</v>
      </c>
      <c r="C311" s="118"/>
      <c r="D311" s="118"/>
    </row>
    <row r="312" spans="1:4">
      <c r="A312" s="124">
        <v>65.8</v>
      </c>
      <c r="B312" s="125">
        <v>30.68</v>
      </c>
      <c r="C312" s="118"/>
      <c r="D312" s="118"/>
    </row>
    <row r="313" spans="1:4">
      <c r="A313" s="124">
        <v>65.900000000000006</v>
      </c>
      <c r="B313" s="125">
        <v>30.75</v>
      </c>
      <c r="C313" s="118"/>
      <c r="D313" s="118"/>
    </row>
    <row r="314" spans="1:4">
      <c r="A314" s="124">
        <v>66</v>
      </c>
      <c r="B314" s="125">
        <v>30.83</v>
      </c>
      <c r="C314" s="118"/>
      <c r="D314" s="118"/>
    </row>
    <row r="315" spans="1:4">
      <c r="A315" s="124">
        <v>66.099999999999994</v>
      </c>
      <c r="B315" s="125">
        <v>30.91</v>
      </c>
      <c r="C315" s="118"/>
      <c r="D315" s="118"/>
    </row>
    <row r="316" spans="1:4">
      <c r="A316" s="124">
        <v>66.2</v>
      </c>
      <c r="B316" s="125">
        <v>30.99</v>
      </c>
      <c r="C316" s="118"/>
      <c r="D316" s="118"/>
    </row>
    <row r="317" spans="1:4">
      <c r="A317" s="124">
        <v>66.3</v>
      </c>
      <c r="B317" s="125">
        <v>31.07</v>
      </c>
      <c r="C317" s="118"/>
      <c r="D317" s="118"/>
    </row>
    <row r="318" spans="1:4">
      <c r="A318" s="124">
        <v>66.400000000000006</v>
      </c>
      <c r="B318" s="125">
        <v>31.15</v>
      </c>
      <c r="C318" s="118"/>
      <c r="D318" s="118"/>
    </row>
    <row r="319" spans="1:4">
      <c r="A319" s="124">
        <v>66.5</v>
      </c>
      <c r="B319" s="125">
        <v>31.23</v>
      </c>
      <c r="C319" s="118"/>
      <c r="D319" s="118"/>
    </row>
    <row r="320" spans="1:4">
      <c r="A320" s="124">
        <v>66.599999999999994</v>
      </c>
      <c r="B320" s="125">
        <v>31.3</v>
      </c>
      <c r="C320" s="118"/>
      <c r="D320" s="118"/>
    </row>
    <row r="321" spans="1:4">
      <c r="A321" s="124">
        <v>66.7</v>
      </c>
      <c r="B321" s="125">
        <v>31.38</v>
      </c>
      <c r="C321" s="118"/>
      <c r="D321" s="118"/>
    </row>
    <row r="322" spans="1:4">
      <c r="A322" s="124">
        <v>66.8</v>
      </c>
      <c r="B322" s="125">
        <v>31.46</v>
      </c>
      <c r="C322" s="118"/>
      <c r="D322" s="118"/>
    </row>
    <row r="323" spans="1:4">
      <c r="A323" s="124">
        <v>66.900000000000006</v>
      </c>
      <c r="B323" s="125">
        <v>31.54</v>
      </c>
      <c r="C323" s="118"/>
      <c r="D323" s="118"/>
    </row>
    <row r="324" spans="1:4">
      <c r="A324" s="124">
        <v>67</v>
      </c>
      <c r="B324" s="125">
        <v>31.62</v>
      </c>
      <c r="C324" s="118"/>
      <c r="D324" s="118"/>
    </row>
    <row r="325" spans="1:4">
      <c r="A325" s="124">
        <v>67.099999999999994</v>
      </c>
      <c r="B325" s="125">
        <v>31.7</v>
      </c>
      <c r="C325" s="118"/>
      <c r="D325" s="118"/>
    </row>
    <row r="326" spans="1:4">
      <c r="A326" s="124">
        <v>67.2</v>
      </c>
      <c r="B326" s="125">
        <v>31.78</v>
      </c>
      <c r="C326" s="118"/>
      <c r="D326" s="118"/>
    </row>
    <row r="327" spans="1:4">
      <c r="A327" s="124">
        <v>67.3</v>
      </c>
      <c r="B327" s="125">
        <v>31.86</v>
      </c>
      <c r="C327" s="118"/>
      <c r="D327" s="118"/>
    </row>
    <row r="328" spans="1:4">
      <c r="A328" s="124">
        <v>67.400000000000006</v>
      </c>
      <c r="B328" s="125">
        <v>31.94</v>
      </c>
      <c r="C328" s="118"/>
      <c r="D328" s="118"/>
    </row>
    <row r="329" spans="1:4">
      <c r="A329" s="124">
        <v>67.5</v>
      </c>
      <c r="B329" s="125">
        <v>32.020000000000003</v>
      </c>
      <c r="C329" s="118"/>
      <c r="D329" s="118"/>
    </row>
    <row r="330" spans="1:4">
      <c r="A330" s="124">
        <v>67.599999999999994</v>
      </c>
      <c r="B330" s="125">
        <v>32.1</v>
      </c>
      <c r="C330" s="118"/>
      <c r="D330" s="118"/>
    </row>
    <row r="331" spans="1:4">
      <c r="A331" s="124">
        <v>67.7</v>
      </c>
      <c r="B331" s="125">
        <v>32.18</v>
      </c>
      <c r="C331" s="118"/>
      <c r="D331" s="118"/>
    </row>
    <row r="332" spans="1:4">
      <c r="A332" s="124">
        <v>67.8</v>
      </c>
      <c r="B332" s="125">
        <v>32.26</v>
      </c>
      <c r="C332" s="118"/>
      <c r="D332" s="118"/>
    </row>
    <row r="333" spans="1:4">
      <c r="A333" s="124">
        <v>67.900000000000006</v>
      </c>
      <c r="B333" s="125">
        <v>32.340000000000003</v>
      </c>
      <c r="C333" s="118"/>
      <c r="D333" s="118"/>
    </row>
    <row r="334" spans="1:4">
      <c r="A334" s="124">
        <v>68</v>
      </c>
      <c r="B334" s="125">
        <v>32.42</v>
      </c>
      <c r="C334" s="118"/>
      <c r="D334" s="118"/>
    </row>
    <row r="335" spans="1:4">
      <c r="A335" s="124">
        <v>68.099999999999994</v>
      </c>
      <c r="B335" s="125">
        <v>32.5</v>
      </c>
      <c r="C335" s="118"/>
      <c r="D335" s="118"/>
    </row>
    <row r="336" spans="1:4">
      <c r="A336" s="124">
        <v>68.2</v>
      </c>
      <c r="B336" s="125">
        <v>32.590000000000003</v>
      </c>
      <c r="C336" s="118"/>
      <c r="D336" s="118"/>
    </row>
    <row r="337" spans="1:4">
      <c r="A337" s="124">
        <v>68.3</v>
      </c>
      <c r="B337" s="125">
        <v>32.67</v>
      </c>
      <c r="C337" s="118"/>
      <c r="D337" s="118"/>
    </row>
    <row r="338" spans="1:4">
      <c r="A338" s="124">
        <v>68.400000000000006</v>
      </c>
      <c r="B338" s="125">
        <v>32.75</v>
      </c>
      <c r="C338" s="118"/>
      <c r="D338" s="118"/>
    </row>
    <row r="339" spans="1:4">
      <c r="A339" s="124">
        <v>68.5</v>
      </c>
      <c r="B339" s="125">
        <v>32.840000000000003</v>
      </c>
      <c r="C339" s="118"/>
      <c r="D339" s="118"/>
    </row>
    <row r="340" spans="1:4">
      <c r="A340" s="124">
        <v>68.599999999999994</v>
      </c>
      <c r="B340" s="125">
        <v>32.92</v>
      </c>
      <c r="C340" s="118"/>
      <c r="D340" s="118"/>
    </row>
    <row r="341" spans="1:4">
      <c r="A341" s="124">
        <v>68.7</v>
      </c>
      <c r="B341" s="125">
        <v>33</v>
      </c>
      <c r="C341" s="118"/>
      <c r="D341" s="118"/>
    </row>
    <row r="342" spans="1:4">
      <c r="A342" s="124">
        <v>68.8</v>
      </c>
      <c r="B342" s="125">
        <v>33.08</v>
      </c>
      <c r="C342" s="118"/>
      <c r="D342" s="118"/>
    </row>
    <row r="343" spans="1:4">
      <c r="A343" s="124">
        <v>68.900000000000006</v>
      </c>
      <c r="B343" s="125">
        <v>33.17</v>
      </c>
      <c r="C343" s="118"/>
      <c r="D343" s="118"/>
    </row>
    <row r="344" spans="1:4">
      <c r="A344" s="124">
        <v>69</v>
      </c>
      <c r="B344" s="125">
        <v>33.25</v>
      </c>
      <c r="C344" s="118"/>
      <c r="D344" s="118"/>
    </row>
    <row r="345" spans="1:4">
      <c r="A345" s="124">
        <v>69.099999999999994</v>
      </c>
      <c r="B345" s="125">
        <v>33.33</v>
      </c>
      <c r="C345" s="118"/>
      <c r="D345" s="118"/>
    </row>
    <row r="346" spans="1:4">
      <c r="A346" s="124">
        <v>69.2</v>
      </c>
      <c r="B346" s="125">
        <v>33.42</v>
      </c>
      <c r="C346" s="118"/>
      <c r="D346" s="118"/>
    </row>
    <row r="347" spans="1:4">
      <c r="A347" s="124">
        <v>69.3</v>
      </c>
      <c r="B347" s="125">
        <v>33.5</v>
      </c>
      <c r="C347" s="118"/>
      <c r="D347" s="118"/>
    </row>
    <row r="348" spans="1:4">
      <c r="A348" s="124">
        <v>69.400000000000006</v>
      </c>
      <c r="B348" s="125">
        <v>33.590000000000003</v>
      </c>
      <c r="C348" s="118"/>
      <c r="D348" s="118"/>
    </row>
    <row r="349" spans="1:4">
      <c r="A349" s="124">
        <v>69.5</v>
      </c>
      <c r="B349" s="125">
        <v>33.67</v>
      </c>
      <c r="C349" s="118"/>
      <c r="D349" s="118"/>
    </row>
    <row r="350" spans="1:4">
      <c r="A350" s="124">
        <v>69.599999999999994</v>
      </c>
      <c r="B350" s="125">
        <v>33.75</v>
      </c>
      <c r="C350" s="118"/>
      <c r="D350" s="118"/>
    </row>
    <row r="351" spans="1:4">
      <c r="A351" s="124">
        <v>69.7</v>
      </c>
      <c r="B351" s="125">
        <v>33.840000000000003</v>
      </c>
      <c r="C351" s="118"/>
      <c r="D351" s="118"/>
    </row>
    <row r="352" spans="1:4">
      <c r="A352" s="124">
        <v>69.8</v>
      </c>
      <c r="B352" s="125">
        <v>33.92</v>
      </c>
      <c r="C352" s="118"/>
      <c r="D352" s="118"/>
    </row>
    <row r="353" spans="1:4">
      <c r="A353" s="124">
        <v>69.900000000000006</v>
      </c>
      <c r="B353" s="125">
        <v>34.01</v>
      </c>
      <c r="C353" s="118"/>
      <c r="D353" s="118"/>
    </row>
    <row r="354" spans="1:4">
      <c r="A354" s="124">
        <v>70</v>
      </c>
      <c r="B354" s="125">
        <v>34.090000000000003</v>
      </c>
      <c r="C354" s="118"/>
      <c r="D354" s="118"/>
    </row>
    <row r="355" spans="1:4">
      <c r="A355" s="124">
        <v>70.099999999999994</v>
      </c>
      <c r="B355" s="125">
        <v>34.18</v>
      </c>
      <c r="C355" s="118"/>
      <c r="D355" s="118"/>
    </row>
    <row r="356" spans="1:4">
      <c r="A356" s="124">
        <v>70.2</v>
      </c>
      <c r="B356" s="125">
        <v>34.26</v>
      </c>
      <c r="C356" s="118"/>
      <c r="D356" s="118"/>
    </row>
    <row r="357" spans="1:4">
      <c r="A357" s="124">
        <v>70.3</v>
      </c>
      <c r="B357" s="125">
        <v>34.35</v>
      </c>
      <c r="C357" s="118"/>
      <c r="D357" s="118"/>
    </row>
    <row r="358" spans="1:4">
      <c r="A358" s="124">
        <v>70.400000000000006</v>
      </c>
      <c r="B358" s="125">
        <v>34.43</v>
      </c>
      <c r="C358" s="118"/>
      <c r="D358" s="118"/>
    </row>
    <row r="359" spans="1:4">
      <c r="A359" s="124">
        <v>70.5</v>
      </c>
      <c r="B359" s="125">
        <v>34.520000000000003</v>
      </c>
      <c r="C359" s="118"/>
      <c r="D359" s="118"/>
    </row>
    <row r="360" spans="1:4">
      <c r="A360" s="124">
        <v>70.599999999999994</v>
      </c>
      <c r="B360" s="125">
        <v>34.61</v>
      </c>
      <c r="C360" s="118"/>
      <c r="D360" s="118"/>
    </row>
    <row r="361" spans="1:4">
      <c r="A361" s="124">
        <v>70.7</v>
      </c>
      <c r="B361" s="125">
        <v>34.69</v>
      </c>
      <c r="C361" s="118"/>
      <c r="D361" s="118"/>
    </row>
    <row r="362" spans="1:4">
      <c r="A362" s="124">
        <v>70.8</v>
      </c>
      <c r="B362" s="125">
        <v>34.78</v>
      </c>
      <c r="C362" s="118"/>
      <c r="D362" s="118"/>
    </row>
    <row r="363" spans="1:4">
      <c r="A363" s="124">
        <v>70.900000000000006</v>
      </c>
      <c r="B363" s="125">
        <v>34.86</v>
      </c>
      <c r="C363" s="118"/>
      <c r="D363" s="118"/>
    </row>
    <row r="364" spans="1:4">
      <c r="A364" s="124">
        <v>71</v>
      </c>
      <c r="B364" s="125">
        <v>34.950000000000003</v>
      </c>
      <c r="C364" s="118"/>
      <c r="D364" s="118"/>
    </row>
    <row r="365" spans="1:4">
      <c r="A365" s="124">
        <v>71.099999999999994</v>
      </c>
      <c r="B365" s="125">
        <v>35.04</v>
      </c>
      <c r="C365" s="118"/>
      <c r="D365" s="118"/>
    </row>
    <row r="366" spans="1:4">
      <c r="A366" s="124">
        <v>71.2</v>
      </c>
      <c r="B366" s="125">
        <v>35.130000000000003</v>
      </c>
      <c r="C366" s="118"/>
      <c r="D366" s="118"/>
    </row>
    <row r="367" spans="1:4">
      <c r="A367" s="124">
        <v>71.3</v>
      </c>
      <c r="B367" s="125">
        <v>35.21</v>
      </c>
      <c r="C367" s="118"/>
      <c r="D367" s="118"/>
    </row>
    <row r="368" spans="1:4">
      <c r="A368" s="124">
        <v>71.400000000000006</v>
      </c>
      <c r="B368" s="125">
        <v>35.299999999999997</v>
      </c>
      <c r="C368" s="118"/>
      <c r="D368" s="118"/>
    </row>
    <row r="369" spans="1:4">
      <c r="A369" s="124">
        <v>71.5</v>
      </c>
      <c r="B369" s="125">
        <v>35.39</v>
      </c>
      <c r="C369" s="118"/>
      <c r="D369" s="118"/>
    </row>
    <row r="370" spans="1:4">
      <c r="A370" s="124">
        <v>71.599999999999994</v>
      </c>
      <c r="B370" s="125">
        <v>35.479999999999997</v>
      </c>
      <c r="C370" s="118"/>
      <c r="D370" s="118"/>
    </row>
    <row r="371" spans="1:4">
      <c r="A371" s="124">
        <v>71.7</v>
      </c>
      <c r="B371" s="125">
        <v>35.57</v>
      </c>
      <c r="C371" s="118"/>
      <c r="D371" s="118"/>
    </row>
    <row r="372" spans="1:4">
      <c r="A372" s="124">
        <v>71.8</v>
      </c>
      <c r="B372" s="125">
        <v>35.65</v>
      </c>
      <c r="C372" s="118"/>
      <c r="D372" s="118"/>
    </row>
    <row r="373" spans="1:4">
      <c r="A373" s="124">
        <v>71.900000000000006</v>
      </c>
      <c r="B373" s="125">
        <v>35.74</v>
      </c>
      <c r="C373" s="118"/>
      <c r="D373" s="118"/>
    </row>
    <row r="374" spans="1:4">
      <c r="A374" s="124">
        <v>72</v>
      </c>
      <c r="B374" s="125">
        <v>35.83</v>
      </c>
      <c r="C374" s="118"/>
      <c r="D374" s="118"/>
    </row>
    <row r="375" spans="1:4">
      <c r="A375" s="124">
        <v>72.099999999999994</v>
      </c>
      <c r="B375" s="125">
        <v>35.92</v>
      </c>
      <c r="C375" s="118"/>
      <c r="D375" s="118"/>
    </row>
    <row r="376" spans="1:4">
      <c r="A376" s="124">
        <v>72.2</v>
      </c>
      <c r="B376" s="125">
        <v>36.01</v>
      </c>
      <c r="C376" s="118"/>
      <c r="D376" s="118"/>
    </row>
    <row r="377" spans="1:4">
      <c r="A377" s="124">
        <v>72.3</v>
      </c>
      <c r="B377" s="125">
        <v>36.1</v>
      </c>
      <c r="C377" s="118"/>
      <c r="D377" s="118"/>
    </row>
    <row r="378" spans="1:4">
      <c r="A378" s="124">
        <v>72.400000000000006</v>
      </c>
      <c r="B378" s="125">
        <v>36.19</v>
      </c>
      <c r="C378" s="118"/>
      <c r="D378" s="118"/>
    </row>
    <row r="379" spans="1:4">
      <c r="A379" s="124">
        <v>72.5</v>
      </c>
      <c r="B379" s="125">
        <v>36.29</v>
      </c>
      <c r="C379" s="118"/>
      <c r="D379" s="118"/>
    </row>
    <row r="380" spans="1:4">
      <c r="A380" s="124">
        <v>72.599999999999994</v>
      </c>
      <c r="B380" s="125">
        <v>36.380000000000003</v>
      </c>
      <c r="C380" s="118"/>
      <c r="D380" s="118"/>
    </row>
    <row r="381" spans="1:4">
      <c r="A381" s="124">
        <v>72.7</v>
      </c>
      <c r="B381" s="125">
        <v>36.47</v>
      </c>
      <c r="C381" s="118"/>
      <c r="D381" s="118"/>
    </row>
    <row r="382" spans="1:4">
      <c r="A382" s="124">
        <v>72.8</v>
      </c>
      <c r="B382" s="125">
        <v>36.56</v>
      </c>
      <c r="C382" s="118"/>
      <c r="D382" s="118"/>
    </row>
    <row r="383" spans="1:4">
      <c r="A383" s="124">
        <v>72.900000000000006</v>
      </c>
      <c r="B383" s="125">
        <v>36.65</v>
      </c>
      <c r="C383" s="118"/>
      <c r="D383" s="118"/>
    </row>
    <row r="384" spans="1:4">
      <c r="A384" s="124">
        <v>73</v>
      </c>
      <c r="B384" s="125">
        <v>36.74</v>
      </c>
      <c r="C384" s="118"/>
      <c r="D384" s="118"/>
    </row>
    <row r="385" spans="1:4">
      <c r="A385" s="124">
        <v>73.099999999999994</v>
      </c>
      <c r="B385" s="125">
        <v>36.83</v>
      </c>
      <c r="C385" s="118"/>
      <c r="D385" s="118"/>
    </row>
    <row r="386" spans="1:4">
      <c r="A386" s="124">
        <v>73.2</v>
      </c>
      <c r="B386" s="125">
        <v>36.92</v>
      </c>
      <c r="C386" s="118"/>
      <c r="D386" s="118"/>
    </row>
    <row r="387" spans="1:4">
      <c r="A387" s="124">
        <v>73.3</v>
      </c>
      <c r="B387" s="125">
        <v>37.020000000000003</v>
      </c>
      <c r="C387" s="118"/>
      <c r="D387" s="118"/>
    </row>
    <row r="388" spans="1:4">
      <c r="A388" s="124">
        <v>73.400000000000006</v>
      </c>
      <c r="B388" s="125">
        <v>37.11</v>
      </c>
      <c r="C388" s="118"/>
      <c r="D388" s="118"/>
    </row>
    <row r="389" spans="1:4">
      <c r="A389" s="124">
        <v>73.5</v>
      </c>
      <c r="B389" s="125">
        <v>37.200000000000003</v>
      </c>
      <c r="C389" s="118"/>
      <c r="D389" s="118"/>
    </row>
    <row r="390" spans="1:4">
      <c r="A390" s="124">
        <v>73.599999999999994</v>
      </c>
      <c r="B390" s="125">
        <v>37.29</v>
      </c>
      <c r="C390" s="118"/>
      <c r="D390" s="118"/>
    </row>
    <row r="391" spans="1:4">
      <c r="A391" s="124">
        <v>73.7</v>
      </c>
      <c r="B391" s="125">
        <v>37.380000000000003</v>
      </c>
      <c r="C391" s="118"/>
      <c r="D391" s="118"/>
    </row>
    <row r="392" spans="1:4">
      <c r="A392" s="124">
        <v>73.8</v>
      </c>
      <c r="B392" s="125">
        <v>37.479999999999997</v>
      </c>
      <c r="C392" s="118"/>
      <c r="D392" s="118"/>
    </row>
    <row r="393" spans="1:4">
      <c r="A393" s="124">
        <v>73.900000000000006</v>
      </c>
      <c r="B393" s="125">
        <v>37.57</v>
      </c>
      <c r="C393" s="118"/>
      <c r="D393" s="118"/>
    </row>
    <row r="394" spans="1:4">
      <c r="A394" s="124">
        <v>74</v>
      </c>
      <c r="B394" s="125">
        <v>37.659999999999997</v>
      </c>
      <c r="C394" s="118"/>
      <c r="D394" s="118"/>
    </row>
    <row r="395" spans="1:4">
      <c r="A395" s="124">
        <v>74.099999999999994</v>
      </c>
      <c r="B395" s="125">
        <v>37.76</v>
      </c>
      <c r="C395" s="118"/>
      <c r="D395" s="118"/>
    </row>
    <row r="396" spans="1:4">
      <c r="A396" s="124">
        <v>74.2</v>
      </c>
      <c r="B396" s="125">
        <v>37.85</v>
      </c>
      <c r="C396" s="118"/>
      <c r="D396" s="118"/>
    </row>
    <row r="397" spans="1:4">
      <c r="A397" s="124">
        <v>74.3</v>
      </c>
      <c r="B397" s="125">
        <v>37.950000000000003</v>
      </c>
      <c r="C397" s="118"/>
      <c r="D397" s="118"/>
    </row>
    <row r="398" spans="1:4">
      <c r="A398" s="124">
        <v>74.400000000000006</v>
      </c>
      <c r="B398" s="125">
        <v>38.04</v>
      </c>
      <c r="C398" s="118"/>
      <c r="D398" s="118"/>
    </row>
    <row r="399" spans="1:4">
      <c r="A399" s="124">
        <v>74.5</v>
      </c>
      <c r="B399" s="125">
        <v>38.14</v>
      </c>
      <c r="C399" s="118"/>
      <c r="D399" s="118"/>
    </row>
    <row r="400" spans="1:4">
      <c r="A400" s="124">
        <v>74.599999999999994</v>
      </c>
      <c r="B400" s="125">
        <v>38.229999999999997</v>
      </c>
      <c r="C400" s="118"/>
      <c r="D400" s="118"/>
    </row>
    <row r="401" spans="1:4">
      <c r="A401" s="124">
        <v>74.7</v>
      </c>
      <c r="B401" s="125">
        <v>38.33</v>
      </c>
      <c r="C401" s="118"/>
      <c r="D401" s="118"/>
    </row>
    <row r="402" spans="1:4">
      <c r="A402" s="124">
        <v>74.8</v>
      </c>
      <c r="B402" s="125">
        <v>38.42</v>
      </c>
      <c r="C402" s="118"/>
      <c r="D402" s="118"/>
    </row>
    <row r="403" spans="1:4">
      <c r="A403" s="124">
        <v>74.900000000000006</v>
      </c>
      <c r="B403" s="125">
        <v>38.520000000000003</v>
      </c>
      <c r="C403" s="118"/>
      <c r="D403" s="118"/>
    </row>
    <row r="404" spans="1:4">
      <c r="A404" s="124">
        <v>75</v>
      </c>
      <c r="B404" s="125">
        <v>38.61</v>
      </c>
      <c r="C404" s="118"/>
      <c r="D404" s="118"/>
    </row>
    <row r="405" spans="1:4">
      <c r="A405" s="124">
        <v>75.099999999999994</v>
      </c>
      <c r="B405" s="125">
        <v>38.71</v>
      </c>
      <c r="C405" s="118"/>
      <c r="D405" s="118"/>
    </row>
    <row r="406" spans="1:4">
      <c r="A406" s="124">
        <v>75.2</v>
      </c>
      <c r="B406" s="125">
        <v>38.799999999999997</v>
      </c>
      <c r="C406" s="118"/>
      <c r="D406" s="118"/>
    </row>
    <row r="407" spans="1:4">
      <c r="A407" s="124">
        <v>75.3</v>
      </c>
      <c r="B407" s="125">
        <v>38.9</v>
      </c>
      <c r="C407" s="118"/>
      <c r="D407" s="118"/>
    </row>
    <row r="408" spans="1:4">
      <c r="A408" s="124">
        <v>75.400000000000006</v>
      </c>
      <c r="B408" s="125">
        <v>38.99</v>
      </c>
      <c r="C408" s="118"/>
      <c r="D408" s="118"/>
    </row>
    <row r="409" spans="1:4">
      <c r="A409" s="124">
        <v>75.5</v>
      </c>
      <c r="B409" s="125">
        <v>39.090000000000003</v>
      </c>
      <c r="C409" s="118"/>
      <c r="D409" s="118"/>
    </row>
    <row r="410" spans="1:4">
      <c r="A410" s="124">
        <v>75.599999999999994</v>
      </c>
      <c r="B410" s="125">
        <v>39.19</v>
      </c>
      <c r="C410" s="118"/>
      <c r="D410" s="118"/>
    </row>
    <row r="411" spans="1:4">
      <c r="A411" s="124">
        <v>75.7</v>
      </c>
      <c r="B411" s="125">
        <v>39.28</v>
      </c>
      <c r="C411" s="118"/>
      <c r="D411" s="118"/>
    </row>
    <row r="412" spans="1:4">
      <c r="A412" s="124">
        <v>75.8</v>
      </c>
      <c r="B412" s="125">
        <v>39.380000000000003</v>
      </c>
      <c r="C412" s="118"/>
      <c r="D412" s="118"/>
    </row>
    <row r="413" spans="1:4">
      <c r="A413" s="124">
        <v>75.900000000000006</v>
      </c>
      <c r="B413" s="125">
        <v>39.47</v>
      </c>
      <c r="C413" s="118"/>
      <c r="D413" s="118"/>
    </row>
    <row r="414" spans="1:4">
      <c r="A414" s="124">
        <v>76</v>
      </c>
      <c r="B414" s="125">
        <v>39.57</v>
      </c>
      <c r="C414" s="118"/>
      <c r="D414" s="118"/>
    </row>
    <row r="415" spans="1:4">
      <c r="A415" s="124">
        <v>76.099999999999994</v>
      </c>
      <c r="B415" s="125">
        <v>39.67</v>
      </c>
      <c r="C415" s="118"/>
      <c r="D415" s="118"/>
    </row>
    <row r="416" spans="1:4">
      <c r="A416" s="124">
        <v>76.2</v>
      </c>
      <c r="B416" s="125">
        <v>39.770000000000003</v>
      </c>
      <c r="C416" s="118"/>
      <c r="D416" s="118"/>
    </row>
    <row r="417" spans="1:4">
      <c r="A417" s="124">
        <v>76.3</v>
      </c>
      <c r="B417" s="125">
        <v>39.869999999999997</v>
      </c>
      <c r="C417" s="118"/>
      <c r="D417" s="118"/>
    </row>
    <row r="418" spans="1:4">
      <c r="A418" s="124">
        <v>76.400000000000006</v>
      </c>
      <c r="B418" s="125">
        <v>39.97</v>
      </c>
      <c r="C418" s="118"/>
      <c r="D418" s="118"/>
    </row>
    <row r="419" spans="1:4">
      <c r="A419" s="124">
        <v>76.5</v>
      </c>
      <c r="B419" s="125">
        <v>40.07</v>
      </c>
      <c r="C419" s="118"/>
      <c r="D419" s="118"/>
    </row>
    <row r="420" spans="1:4">
      <c r="A420" s="124">
        <v>76.599999999999994</v>
      </c>
      <c r="B420" s="125">
        <v>40.17</v>
      </c>
      <c r="C420" s="118"/>
      <c r="D420" s="118"/>
    </row>
    <row r="421" spans="1:4">
      <c r="A421" s="124">
        <v>76.7</v>
      </c>
      <c r="B421" s="125">
        <v>40.270000000000003</v>
      </c>
      <c r="C421" s="118"/>
      <c r="D421" s="118"/>
    </row>
    <row r="422" spans="1:4">
      <c r="A422" s="124">
        <v>76.8</v>
      </c>
      <c r="B422" s="125">
        <v>40.369999999999997</v>
      </c>
      <c r="C422" s="118"/>
      <c r="D422" s="118"/>
    </row>
    <row r="423" spans="1:4">
      <c r="A423" s="124">
        <v>76.900000000000006</v>
      </c>
      <c r="B423" s="125">
        <v>40.47</v>
      </c>
      <c r="C423" s="118"/>
      <c r="D423" s="118"/>
    </row>
    <row r="424" spans="1:4">
      <c r="A424" s="124">
        <v>77</v>
      </c>
      <c r="B424" s="125">
        <v>40.57</v>
      </c>
      <c r="C424" s="118"/>
      <c r="D424" s="118"/>
    </row>
    <row r="425" spans="1:4">
      <c r="A425" s="124">
        <v>77.099999999999994</v>
      </c>
      <c r="B425" s="125">
        <v>40.67</v>
      </c>
      <c r="C425" s="118"/>
      <c r="D425" s="118"/>
    </row>
    <row r="426" spans="1:4">
      <c r="A426" s="124">
        <v>77.2</v>
      </c>
      <c r="B426" s="125">
        <v>40.770000000000003</v>
      </c>
      <c r="C426" s="118"/>
      <c r="D426" s="118"/>
    </row>
    <row r="427" spans="1:4">
      <c r="A427" s="124">
        <v>77.3</v>
      </c>
      <c r="B427" s="125">
        <v>40.869999999999997</v>
      </c>
      <c r="C427" s="118"/>
      <c r="D427" s="118"/>
    </row>
    <row r="428" spans="1:4">
      <c r="A428" s="124">
        <v>77.400000000000006</v>
      </c>
      <c r="B428" s="125">
        <v>40.97</v>
      </c>
      <c r="C428" s="118"/>
      <c r="D428" s="118"/>
    </row>
    <row r="429" spans="1:4">
      <c r="A429" s="124">
        <v>77.5</v>
      </c>
      <c r="B429" s="125">
        <v>41.08</v>
      </c>
      <c r="C429" s="118"/>
      <c r="D429" s="118"/>
    </row>
    <row r="430" spans="1:4">
      <c r="A430" s="124">
        <v>77.599999999999994</v>
      </c>
      <c r="B430" s="125">
        <v>41.18</v>
      </c>
      <c r="C430" s="118"/>
      <c r="D430" s="118"/>
    </row>
    <row r="431" spans="1:4">
      <c r="A431" s="124">
        <v>77.7</v>
      </c>
      <c r="B431" s="125">
        <v>41.28</v>
      </c>
      <c r="C431" s="118"/>
      <c r="D431" s="118"/>
    </row>
    <row r="432" spans="1:4">
      <c r="A432" s="124">
        <v>77.8</v>
      </c>
      <c r="B432" s="125">
        <v>41.38</v>
      </c>
      <c r="C432" s="118"/>
      <c r="D432" s="118"/>
    </row>
    <row r="433" spans="1:4">
      <c r="A433" s="124">
        <v>77.900000000000006</v>
      </c>
      <c r="B433" s="125">
        <v>41.48</v>
      </c>
      <c r="C433" s="118"/>
      <c r="D433" s="118"/>
    </row>
    <row r="434" spans="1:4">
      <c r="A434" s="124">
        <v>78</v>
      </c>
      <c r="B434" s="125">
        <v>41.58</v>
      </c>
      <c r="C434" s="118"/>
      <c r="D434" s="118"/>
    </row>
    <row r="435" spans="1:4">
      <c r="A435" s="124">
        <v>78.099999999999994</v>
      </c>
      <c r="B435" s="125">
        <v>41.68</v>
      </c>
      <c r="C435" s="118"/>
      <c r="D435" s="118"/>
    </row>
    <row r="436" spans="1:4">
      <c r="A436" s="124">
        <v>78.2</v>
      </c>
      <c r="B436" s="125">
        <v>41.79</v>
      </c>
      <c r="C436" s="118"/>
      <c r="D436" s="118"/>
    </row>
    <row r="437" spans="1:4">
      <c r="A437" s="124">
        <v>78.3</v>
      </c>
      <c r="B437" s="125">
        <v>41.89</v>
      </c>
      <c r="C437" s="118"/>
      <c r="D437" s="118"/>
    </row>
    <row r="438" spans="1:4">
      <c r="A438" s="124">
        <v>78.400000000000006</v>
      </c>
      <c r="B438" s="125">
        <v>42</v>
      </c>
      <c r="C438" s="118"/>
      <c r="D438" s="118"/>
    </row>
    <row r="439" spans="1:4">
      <c r="A439" s="124">
        <v>78.5</v>
      </c>
      <c r="B439" s="125">
        <v>42.1</v>
      </c>
      <c r="C439" s="118"/>
      <c r="D439" s="118"/>
    </row>
    <row r="440" spans="1:4">
      <c r="A440" s="124">
        <v>78.599999999999994</v>
      </c>
      <c r="B440" s="125">
        <v>42.2</v>
      </c>
      <c r="C440" s="118"/>
      <c r="D440" s="118"/>
    </row>
    <row r="441" spans="1:4">
      <c r="A441" s="124">
        <v>78.7</v>
      </c>
      <c r="B441" s="125">
        <v>42.31</v>
      </c>
      <c r="C441" s="118"/>
      <c r="D441" s="118"/>
    </row>
    <row r="442" spans="1:4">
      <c r="A442" s="124">
        <v>78.8</v>
      </c>
      <c r="B442" s="125">
        <v>42.41</v>
      </c>
      <c r="C442" s="118"/>
      <c r="D442" s="118"/>
    </row>
    <row r="443" spans="1:4">
      <c r="A443" s="124">
        <v>78.900000000000006</v>
      </c>
      <c r="B443" s="125">
        <v>42.52</v>
      </c>
      <c r="C443" s="118"/>
      <c r="D443" s="118"/>
    </row>
    <row r="444" spans="1:4">
      <c r="A444" s="124">
        <v>79</v>
      </c>
      <c r="B444" s="125">
        <v>42.62</v>
      </c>
      <c r="C444" s="118"/>
      <c r="D444" s="118"/>
    </row>
    <row r="445" spans="1:4">
      <c r="A445" s="124">
        <v>79.099999999999994</v>
      </c>
      <c r="B445" s="125">
        <v>42.73</v>
      </c>
      <c r="C445" s="118"/>
      <c r="D445" s="118"/>
    </row>
    <row r="446" spans="1:4">
      <c r="A446" s="124">
        <v>79.2</v>
      </c>
      <c r="B446" s="125">
        <v>42.83</v>
      </c>
      <c r="C446" s="118"/>
      <c r="D446" s="118"/>
    </row>
    <row r="447" spans="1:4">
      <c r="A447" s="124">
        <v>79.3</v>
      </c>
      <c r="B447" s="125">
        <v>42.94</v>
      </c>
      <c r="C447" s="118"/>
      <c r="D447" s="118"/>
    </row>
    <row r="448" spans="1:4">
      <c r="A448" s="124">
        <v>79.400000000000006</v>
      </c>
      <c r="B448" s="125">
        <v>43.05</v>
      </c>
      <c r="C448" s="118"/>
      <c r="D448" s="118"/>
    </row>
    <row r="449" spans="1:4">
      <c r="A449" s="124">
        <v>79.5</v>
      </c>
      <c r="B449" s="125">
        <v>43.16</v>
      </c>
      <c r="C449" s="118"/>
      <c r="D449" s="118"/>
    </row>
    <row r="450" spans="1:4">
      <c r="A450" s="124">
        <v>79.599999999999994</v>
      </c>
      <c r="B450" s="125">
        <v>43.26</v>
      </c>
      <c r="C450" s="118"/>
      <c r="D450" s="118"/>
    </row>
    <row r="451" spans="1:4">
      <c r="A451" s="124">
        <v>79.7</v>
      </c>
      <c r="B451" s="125">
        <v>43.37</v>
      </c>
      <c r="C451" s="118"/>
      <c r="D451" s="118"/>
    </row>
    <row r="452" spans="1:4">
      <c r="A452" s="124">
        <v>79.8</v>
      </c>
      <c r="B452" s="125">
        <v>43.48</v>
      </c>
      <c r="C452" s="118"/>
      <c r="D452" s="118"/>
    </row>
    <row r="453" spans="1:4">
      <c r="A453" s="124">
        <v>79.900000000000006</v>
      </c>
      <c r="B453" s="125">
        <v>43.58</v>
      </c>
      <c r="C453" s="118"/>
      <c r="D453" s="118"/>
    </row>
    <row r="454" spans="1:4">
      <c r="A454" s="124">
        <v>80</v>
      </c>
      <c r="B454" s="125">
        <v>43.69</v>
      </c>
      <c r="C454" s="118"/>
      <c r="D454" s="118"/>
    </row>
    <row r="455" spans="1:4">
      <c r="A455" s="124">
        <v>80.099999999999994</v>
      </c>
      <c r="B455" s="125">
        <v>43.8</v>
      </c>
      <c r="C455" s="118"/>
      <c r="D455" s="118"/>
    </row>
    <row r="456" spans="1:4">
      <c r="A456" s="124">
        <v>80.2</v>
      </c>
      <c r="B456" s="125">
        <v>43.91</v>
      </c>
      <c r="C456" s="118"/>
      <c r="D456" s="118"/>
    </row>
    <row r="457" spans="1:4">
      <c r="A457" s="124">
        <v>80.3</v>
      </c>
      <c r="B457" s="125">
        <v>44.02</v>
      </c>
      <c r="C457" s="118"/>
      <c r="D457" s="118"/>
    </row>
    <row r="458" spans="1:4">
      <c r="A458" s="124">
        <v>80.400000000000006</v>
      </c>
      <c r="B458" s="125">
        <v>44.13</v>
      </c>
      <c r="C458" s="118"/>
      <c r="D458" s="118"/>
    </row>
    <row r="459" spans="1:4">
      <c r="A459" s="124">
        <v>80.5</v>
      </c>
      <c r="B459" s="125">
        <v>44.24</v>
      </c>
      <c r="C459" s="118"/>
      <c r="D459" s="118"/>
    </row>
    <row r="460" spans="1:4">
      <c r="A460" s="124">
        <v>80.599999999999994</v>
      </c>
      <c r="B460" s="125">
        <v>44.34</v>
      </c>
      <c r="C460" s="118"/>
      <c r="D460" s="118"/>
    </row>
    <row r="461" spans="1:4">
      <c r="A461" s="124">
        <v>80.7</v>
      </c>
      <c r="B461" s="125">
        <v>44.45</v>
      </c>
      <c r="C461" s="118"/>
      <c r="D461" s="118"/>
    </row>
    <row r="462" spans="1:4">
      <c r="A462" s="124">
        <v>80.8</v>
      </c>
      <c r="B462" s="125">
        <v>44.56</v>
      </c>
      <c r="C462" s="118"/>
      <c r="D462" s="118"/>
    </row>
    <row r="463" spans="1:4">
      <c r="A463" s="124">
        <v>80.900000000000006</v>
      </c>
      <c r="B463" s="125">
        <v>44.67</v>
      </c>
      <c r="C463" s="118"/>
      <c r="D463" s="118"/>
    </row>
    <row r="464" spans="1:4">
      <c r="A464" s="124">
        <v>81</v>
      </c>
      <c r="B464" s="125">
        <v>44.78</v>
      </c>
      <c r="C464" s="118"/>
      <c r="D464" s="118"/>
    </row>
    <row r="465" spans="1:4">
      <c r="A465" s="124">
        <v>81.099999999999994</v>
      </c>
      <c r="B465" s="125">
        <v>44.89</v>
      </c>
      <c r="C465" s="118"/>
      <c r="D465" s="118"/>
    </row>
    <row r="466" spans="1:4">
      <c r="A466" s="124">
        <v>81.2</v>
      </c>
      <c r="B466" s="125">
        <v>45</v>
      </c>
      <c r="C466" s="118"/>
      <c r="D466" s="118"/>
    </row>
    <row r="467" spans="1:4">
      <c r="A467" s="124">
        <v>81.3</v>
      </c>
      <c r="B467" s="125">
        <v>45.12</v>
      </c>
      <c r="C467" s="118"/>
      <c r="D467" s="118"/>
    </row>
    <row r="468" spans="1:4">
      <c r="A468" s="124">
        <v>81.400000000000006</v>
      </c>
      <c r="B468" s="125">
        <v>45.23</v>
      </c>
      <c r="C468" s="118"/>
      <c r="D468" s="118"/>
    </row>
    <row r="469" spans="1:4">
      <c r="A469" s="124">
        <v>81.5</v>
      </c>
      <c r="B469" s="125">
        <v>45.34</v>
      </c>
      <c r="C469" s="118"/>
      <c r="D469" s="118"/>
    </row>
    <row r="470" spans="1:4">
      <c r="A470" s="124">
        <v>81.599999999999994</v>
      </c>
      <c r="B470" s="125">
        <v>45.45</v>
      </c>
      <c r="C470" s="118"/>
      <c r="D470" s="118"/>
    </row>
    <row r="471" spans="1:4">
      <c r="A471" s="124">
        <v>81.7</v>
      </c>
      <c r="B471" s="125">
        <v>45.56</v>
      </c>
      <c r="C471" s="118"/>
      <c r="D471" s="118"/>
    </row>
    <row r="472" spans="1:4">
      <c r="A472" s="124">
        <v>81.8</v>
      </c>
      <c r="B472" s="125">
        <v>45.68</v>
      </c>
      <c r="C472" s="118"/>
      <c r="D472" s="118"/>
    </row>
    <row r="473" spans="1:4">
      <c r="A473" s="124">
        <v>81.900000000000006</v>
      </c>
      <c r="B473" s="125">
        <v>45.79</v>
      </c>
      <c r="C473" s="118"/>
      <c r="D473" s="118"/>
    </row>
    <row r="474" spans="1:4">
      <c r="A474" s="124">
        <v>82</v>
      </c>
      <c r="B474" s="125">
        <v>48.9</v>
      </c>
      <c r="C474" s="118"/>
      <c r="D474" s="118"/>
    </row>
    <row r="475" spans="1:4">
      <c r="A475" s="124">
        <v>82.1</v>
      </c>
      <c r="B475" s="125">
        <v>46.01</v>
      </c>
      <c r="C475" s="118"/>
      <c r="D475" s="118"/>
    </row>
    <row r="476" spans="1:4">
      <c r="A476" s="124">
        <v>82.2</v>
      </c>
      <c r="B476" s="125">
        <v>46.13</v>
      </c>
      <c r="C476" s="118"/>
      <c r="D476" s="118"/>
    </row>
    <row r="477" spans="1:4">
      <c r="A477" s="124">
        <v>82.3</v>
      </c>
      <c r="B477" s="125">
        <v>46.24</v>
      </c>
      <c r="C477" s="118"/>
      <c r="D477" s="118"/>
    </row>
    <row r="478" spans="1:4">
      <c r="A478" s="124">
        <v>82.4</v>
      </c>
      <c r="B478" s="125">
        <v>46.36</v>
      </c>
      <c r="C478" s="118"/>
      <c r="D478" s="118"/>
    </row>
    <row r="479" spans="1:4">
      <c r="A479" s="124">
        <v>82.5</v>
      </c>
      <c r="B479" s="125">
        <v>46.47</v>
      </c>
      <c r="C479" s="118"/>
      <c r="D479" s="118"/>
    </row>
    <row r="480" spans="1:4">
      <c r="A480" s="124">
        <v>82.6</v>
      </c>
      <c r="B480" s="125">
        <v>46.58</v>
      </c>
      <c r="C480" s="118"/>
      <c r="D480" s="118"/>
    </row>
    <row r="481" spans="1:4">
      <c r="A481" s="124">
        <v>82.7</v>
      </c>
      <c r="B481" s="125">
        <v>46.7</v>
      </c>
      <c r="C481" s="118"/>
      <c r="D481" s="118"/>
    </row>
    <row r="482" spans="1:4">
      <c r="A482" s="124">
        <v>82.8</v>
      </c>
      <c r="B482" s="125">
        <v>46.81</v>
      </c>
      <c r="C482" s="118"/>
      <c r="D482" s="118"/>
    </row>
    <row r="483" spans="1:4">
      <c r="A483" s="124">
        <v>82.9</v>
      </c>
      <c r="B483" s="125">
        <v>46.93</v>
      </c>
      <c r="C483" s="118"/>
      <c r="D483" s="118"/>
    </row>
    <row r="484" spans="1:4">
      <c r="A484" s="124">
        <v>83</v>
      </c>
      <c r="B484" s="125">
        <v>47.04</v>
      </c>
      <c r="C484" s="118"/>
      <c r="D484" s="118"/>
    </row>
    <row r="485" spans="1:4">
      <c r="A485" s="124">
        <v>83.1</v>
      </c>
      <c r="B485" s="125">
        <v>47.16</v>
      </c>
      <c r="C485" s="118"/>
      <c r="D485" s="118"/>
    </row>
    <row r="486" spans="1:4">
      <c r="A486" s="124">
        <v>83.2</v>
      </c>
      <c r="B486" s="125">
        <v>47.28</v>
      </c>
      <c r="C486" s="118"/>
      <c r="D486" s="118"/>
    </row>
    <row r="487" spans="1:4">
      <c r="A487" s="124">
        <v>83.3</v>
      </c>
      <c r="B487" s="125">
        <v>47.39</v>
      </c>
      <c r="C487" s="118"/>
      <c r="D487" s="118"/>
    </row>
    <row r="488" spans="1:4">
      <c r="A488" s="124">
        <v>83.4</v>
      </c>
      <c r="B488" s="125">
        <v>47.51</v>
      </c>
      <c r="C488" s="118"/>
      <c r="D488" s="118"/>
    </row>
    <row r="489" spans="1:4">
      <c r="A489" s="124">
        <v>83.5</v>
      </c>
      <c r="B489" s="125">
        <v>47.63</v>
      </c>
      <c r="C489" s="118"/>
      <c r="D489" s="118"/>
    </row>
    <row r="490" spans="1:4">
      <c r="A490" s="124">
        <v>83.6</v>
      </c>
      <c r="B490" s="125">
        <v>47.75</v>
      </c>
      <c r="C490" s="118"/>
      <c r="D490" s="118"/>
    </row>
    <row r="491" spans="1:4">
      <c r="A491" s="124">
        <v>83.7</v>
      </c>
      <c r="B491" s="125">
        <v>47.87</v>
      </c>
      <c r="C491" s="118"/>
      <c r="D491" s="118"/>
    </row>
    <row r="492" spans="1:4">
      <c r="A492" s="124">
        <v>83.8</v>
      </c>
      <c r="B492" s="125">
        <v>47.98</v>
      </c>
      <c r="C492" s="118"/>
      <c r="D492" s="118"/>
    </row>
    <row r="493" spans="1:4">
      <c r="A493" s="124">
        <v>83.9</v>
      </c>
      <c r="B493" s="125">
        <v>48.1</v>
      </c>
      <c r="C493" s="118"/>
      <c r="D493" s="118"/>
    </row>
    <row r="494" spans="1:4">
      <c r="A494" s="124">
        <v>84</v>
      </c>
      <c r="B494" s="125">
        <v>48.22</v>
      </c>
      <c r="C494" s="118"/>
      <c r="D494" s="118"/>
    </row>
    <row r="495" spans="1:4">
      <c r="A495" s="124">
        <v>84.1</v>
      </c>
      <c r="B495" s="125">
        <v>48.34</v>
      </c>
      <c r="C495" s="118"/>
      <c r="D495" s="118"/>
    </row>
    <row r="496" spans="1:4">
      <c r="A496" s="124">
        <v>84.2</v>
      </c>
      <c r="B496" s="125">
        <v>48.46</v>
      </c>
      <c r="C496" s="118"/>
      <c r="D496" s="118"/>
    </row>
    <row r="497" spans="1:4">
      <c r="A497" s="124">
        <v>84.3</v>
      </c>
      <c r="B497" s="125">
        <v>48.58</v>
      </c>
      <c r="C497" s="118"/>
      <c r="D497" s="118"/>
    </row>
    <row r="498" spans="1:4">
      <c r="A498" s="124">
        <v>84.4</v>
      </c>
      <c r="B498" s="125">
        <v>48.7</v>
      </c>
      <c r="C498" s="118"/>
      <c r="D498" s="118"/>
    </row>
    <row r="499" spans="1:4">
      <c r="A499" s="124">
        <v>84.5</v>
      </c>
      <c r="B499" s="125">
        <v>48.83</v>
      </c>
      <c r="C499" s="118"/>
      <c r="D499" s="118"/>
    </row>
    <row r="500" spans="1:4">
      <c r="A500" s="124">
        <v>84.6</v>
      </c>
      <c r="B500" s="125">
        <v>48.95</v>
      </c>
      <c r="C500" s="118"/>
      <c r="D500" s="118"/>
    </row>
    <row r="501" spans="1:4">
      <c r="A501" s="124">
        <v>84.7</v>
      </c>
      <c r="B501" s="125">
        <v>49.07</v>
      </c>
      <c r="C501" s="118"/>
      <c r="D501" s="118"/>
    </row>
    <row r="502" spans="1:4">
      <c r="A502" s="124">
        <v>84.8</v>
      </c>
      <c r="B502" s="125">
        <v>49.19</v>
      </c>
      <c r="C502" s="118"/>
      <c r="D502" s="118"/>
    </row>
    <row r="503" spans="1:4">
      <c r="A503" s="124">
        <v>84.9</v>
      </c>
      <c r="B503" s="125">
        <v>49.31</v>
      </c>
      <c r="C503" s="118"/>
      <c r="D503" s="118"/>
    </row>
    <row r="504" spans="1:4">
      <c r="A504" s="124">
        <v>85</v>
      </c>
      <c r="B504" s="125">
        <v>49.43</v>
      </c>
      <c r="C504" s="118"/>
      <c r="D504" s="118"/>
    </row>
    <row r="505" spans="1:4">
      <c r="A505" s="124">
        <v>85.1</v>
      </c>
      <c r="B505" s="125">
        <v>49.55</v>
      </c>
      <c r="C505" s="118"/>
      <c r="D505" s="118"/>
    </row>
    <row r="506" spans="1:4">
      <c r="A506" s="124">
        <v>85.2</v>
      </c>
      <c r="B506" s="125">
        <v>49.68</v>
      </c>
      <c r="C506" s="118"/>
      <c r="D506" s="118"/>
    </row>
    <row r="507" spans="1:4">
      <c r="A507" s="124">
        <v>85.3</v>
      </c>
      <c r="B507" s="125">
        <v>49.8</v>
      </c>
      <c r="C507" s="118"/>
      <c r="D507" s="118"/>
    </row>
    <row r="508" spans="1:4">
      <c r="A508" s="124">
        <v>85.4</v>
      </c>
      <c r="B508" s="125">
        <v>49.92</v>
      </c>
      <c r="C508" s="118"/>
      <c r="D508" s="118"/>
    </row>
    <row r="509" spans="1:4">
      <c r="A509" s="124">
        <v>85.5</v>
      </c>
      <c r="B509" s="125">
        <v>50.05</v>
      </c>
      <c r="C509" s="118"/>
      <c r="D509" s="118"/>
    </row>
    <row r="510" spans="1:4">
      <c r="A510" s="124">
        <v>85.6</v>
      </c>
      <c r="B510" s="125">
        <v>50.17</v>
      </c>
      <c r="C510" s="118"/>
      <c r="D510" s="118"/>
    </row>
    <row r="511" spans="1:4">
      <c r="A511" s="124">
        <v>85.7</v>
      </c>
      <c r="B511" s="125">
        <v>50.29</v>
      </c>
      <c r="C511" s="118"/>
      <c r="D511" s="118"/>
    </row>
    <row r="512" spans="1:4">
      <c r="A512" s="124">
        <v>85.8</v>
      </c>
      <c r="B512" s="125">
        <v>50.41</v>
      </c>
      <c r="C512" s="118"/>
      <c r="D512" s="118"/>
    </row>
    <row r="513" spans="1:4">
      <c r="A513" s="124">
        <v>85.9</v>
      </c>
      <c r="B513" s="127">
        <v>50.54</v>
      </c>
      <c r="C513" s="118"/>
      <c r="D513" s="118"/>
    </row>
    <row r="514" spans="1:4">
      <c r="A514" s="128"/>
      <c r="B514" s="129"/>
    </row>
    <row r="515" spans="1:4">
      <c r="A515" s="128"/>
      <c r="B515" s="129"/>
    </row>
    <row r="516" spans="1:4">
      <c r="A516" s="128"/>
      <c r="B516" s="129"/>
    </row>
    <row r="517" spans="1:4">
      <c r="A517" s="128"/>
      <c r="B517" s="129"/>
    </row>
    <row r="518" spans="1:4">
      <c r="A518" s="128"/>
      <c r="B518" s="129"/>
    </row>
    <row r="519" spans="1:4">
      <c r="A519" s="128"/>
      <c r="B519" s="129"/>
    </row>
    <row r="520" spans="1:4">
      <c r="A520" s="128"/>
      <c r="B520" s="129"/>
    </row>
    <row r="521" spans="1:4">
      <c r="A521" s="128"/>
      <c r="B521" s="129"/>
    </row>
    <row r="522" spans="1:4">
      <c r="A522" s="128"/>
      <c r="B522" s="129"/>
    </row>
    <row r="523" spans="1:4">
      <c r="A523" s="128"/>
      <c r="B523" s="129"/>
    </row>
    <row r="524" spans="1:4">
      <c r="A524" s="128"/>
      <c r="B524" s="129"/>
    </row>
    <row r="525" spans="1:4">
      <c r="A525" s="128"/>
      <c r="B525" s="129"/>
    </row>
    <row r="526" spans="1:4">
      <c r="A526" s="128"/>
      <c r="B526" s="129"/>
    </row>
    <row r="527" spans="1:4">
      <c r="A527" s="128"/>
      <c r="B527" s="129"/>
    </row>
    <row r="528" spans="1:4">
      <c r="A528" s="128"/>
      <c r="B528" s="129"/>
    </row>
    <row r="529" spans="1:2">
      <c r="A529" s="128"/>
      <c r="B529" s="129"/>
    </row>
    <row r="530" spans="1:2">
      <c r="A530" s="128"/>
      <c r="B530" s="129"/>
    </row>
    <row r="531" spans="1:2">
      <c r="A531" s="128"/>
      <c r="B531" s="129"/>
    </row>
    <row r="532" spans="1:2">
      <c r="A532" s="128"/>
      <c r="B532" s="129"/>
    </row>
    <row r="533" spans="1:2">
      <c r="A533" s="128"/>
      <c r="B533" s="129"/>
    </row>
    <row r="534" spans="1:2">
      <c r="A534" s="128"/>
      <c r="B534" s="129"/>
    </row>
    <row r="535" spans="1:2">
      <c r="A535" s="128"/>
      <c r="B535" s="129"/>
    </row>
    <row r="536" spans="1:2">
      <c r="A536" s="128"/>
      <c r="B536" s="129"/>
    </row>
    <row r="537" spans="1:2">
      <c r="A537" s="128"/>
      <c r="B537" s="129"/>
    </row>
    <row r="538" spans="1:2">
      <c r="A538" s="128"/>
      <c r="B538" s="129"/>
    </row>
    <row r="539" spans="1:2">
      <c r="A539" s="128"/>
      <c r="B539" s="129"/>
    </row>
    <row r="540" spans="1:2">
      <c r="A540" s="128"/>
      <c r="B540" s="129"/>
    </row>
    <row r="541" spans="1:2">
      <c r="A541" s="128"/>
      <c r="B541" s="129"/>
    </row>
    <row r="542" spans="1:2">
      <c r="A542" s="128"/>
      <c r="B542" s="129"/>
    </row>
    <row r="543" spans="1:2">
      <c r="A543" s="128"/>
      <c r="B543" s="129"/>
    </row>
    <row r="544" spans="1:2">
      <c r="A544" s="128"/>
      <c r="B544" s="129"/>
    </row>
    <row r="545" spans="1:2">
      <c r="A545" s="128"/>
      <c r="B545" s="129"/>
    </row>
    <row r="546" spans="1:2">
      <c r="A546" s="128"/>
      <c r="B546" s="129"/>
    </row>
    <row r="547" spans="1:2">
      <c r="A547" s="128"/>
      <c r="B547" s="129"/>
    </row>
    <row r="548" spans="1:2">
      <c r="A548" s="128"/>
      <c r="B548" s="129"/>
    </row>
    <row r="549" spans="1:2">
      <c r="A549" s="128"/>
      <c r="B549" s="129"/>
    </row>
    <row r="550" spans="1:2">
      <c r="A550" s="128"/>
      <c r="B550" s="129"/>
    </row>
    <row r="551" spans="1:2">
      <c r="A551" s="128"/>
      <c r="B551" s="129"/>
    </row>
    <row r="552" spans="1:2">
      <c r="A552" s="128"/>
      <c r="B552" s="129"/>
    </row>
    <row r="553" spans="1:2">
      <c r="A553" s="128"/>
      <c r="B553" s="129"/>
    </row>
  </sheetData>
  <sheetProtection sheet="1" objects="1" scenarios="1"/>
  <mergeCells count="1">
    <mergeCell ref="A2:A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"/>
  <dimension ref="A1:F31"/>
  <sheetViews>
    <sheetView topLeftCell="A10" workbookViewId="0">
      <selection activeCell="B24" sqref="B24"/>
    </sheetView>
  </sheetViews>
  <sheetFormatPr defaultRowHeight="15"/>
  <sheetData>
    <row r="1" spans="1:6">
      <c r="B1">
        <v>65</v>
      </c>
      <c r="F1" t="s">
        <v>136</v>
      </c>
    </row>
    <row r="2" spans="1:6">
      <c r="B2">
        <v>47</v>
      </c>
    </row>
    <row r="3" spans="1:6">
      <c r="B3">
        <f>0.24*(B1) + ((IF((B2) &gt; 32,((1093 - 0.556*(B2))*(0.621945*(IF((B2 + 459.67) &gt; 491.67, EXP(-10440.397/(B2 + 459.67) + -11.29465 + -0.027022355*(B2 + 459.67) + 0.00001289036*(B2 + 459.67)*(B2 + 459.67) + -0.0000000024780681*(B2 + 459.67)*(B2 + 459.67)*(B2 + 459.67) + 6.5459673*LN((B2 + 459.67))), EXP(-10214.165/(B2 + 459.67) + -4.8932428 + -0.005376579*(B2 + 459.67) + 0.00000019202377*(B2 + 459.67)*(B2 + 459.67) + 0.00000000035575832*(B2 + 459.67)*(B2 + 459.67)*(B2 + 459.67) + -9.0344688E-14*(B2 + 459.67)*(B2 + 459.67)*(B2 + 459.67)*(B2 + 459.67) + 4.1635019*LN((B2 + 459.67)))))/((14.696)-(IF((B2 + 459.67) &gt; 491.67, EXP(-10440.397/(B2 + 459.67) + -11.29465 + -0.027022355*(B2 + 459.67) + 0.00001289036*(B2 + 459.67)*(B2 + 459.67) + -0.0000000024780681*(B2 + 459.67)*(B2 + 459.67)*(B2 + 459.67) + 6.5459673*LN((B2 + 459.67))), EXP(-10214.165/(B2 + 459.67) + -4.8932428 + -0.005376579*(B2 + 459.67) + 0.00000019202377*(B2 + 459.67)*(B2 + 459.67) + 0.00000000035575832*(B2 + 459.67)*(B2 + 459.67)*(B2 + 459.67) + -9.0344688E-14*(B2 + 459.67)*(B2 + 459.67)*(B2 + 459.67)*(B2 + 459.67) + 4.1635019*LN((B2 + 459.67))))))) - 0.24*((B1) - (B2))) / (1093 + 0.444*(B1) - (B2)),((1220 - 0.04*(B2))*(0.621945*(IF((B2 + 459.67) &gt; 491.67, EXP(-10440.397/(B2 + 459.67) + -11.29465 + -0.027022355*(B2 + 459.67) + 0.00001289036*(B2 + 459.67)*(B2 + 459.67) + -0.0000000024780681*(B2 + 459.67)*(B2 + 459.67)*(B2 + 459.67) + 6.5459673*LN((B2 + 459.67))), EXP(-10214.165/(B2 + 459.67) + -4.8932428 + -0.005376579*(B2 + 459.67) + 0.00000019202377*(B2 + 459.67)*(B2 + 459.67) + 0.00000000035575832*(B2 + 459.67)*(B2 + 459.67)*(B2 + 459.67) + -9.0344688E-14*(B2 + 459.67)*(B2 + 459.67)*(B2 + 459.67)*(B2 + 459.67) + 4.1635019*LN((B2 + 459.67)))))/((14.696)-(IF((B2 + 459.67) &gt; 491.67, EXP(-10440.397/(B2 + 459.67) + -11.29465 + -0.027022355*(B2 + 459.67) + 0.00001289036*(B2 + 459.67)*(B2 + 459.67) + -0.0000000024780681*(B2 + 459.67)*(B2 + 459.67)*(B2 + 459.67) + 6.5459673*LN((B2 + 459.67))), EXP(-10214.165/(B2 + 459.67) + -4.8932428 + -0.005376579*(B2 + 459.67) + 0.00000019202377*(B2 + 459.67)*(B2 + 459.67) + 0.00000000035575832*(B2 + 459.67)*(B2 + 459.67)*(B2 + 459.67) + -9.0344688E-14*(B2 + 459.67)*(B2 + 459.67)*(B2 + 459.67)*(B2 + 459.67) + 4.1635019*LN((B2 + 459.67))))))) - 0.24*((B1) - (B2))) / (1220 + 0.444*(B1) - 0.48*(B2)))))*(1061 + 0.444*(B1))</f>
        <v>18.586361132299874</v>
      </c>
    </row>
    <row r="5" spans="1:6">
      <c r="A5" s="142" t="s">
        <v>130</v>
      </c>
    </row>
    <row r="6" spans="1:6">
      <c r="A6" t="s">
        <v>129</v>
      </c>
    </row>
    <row r="7" spans="1:6">
      <c r="A7">
        <v>74</v>
      </c>
      <c r="B7" t="s">
        <v>124</v>
      </c>
    </row>
    <row r="8" spans="1:6">
      <c r="A8">
        <f>C8/100</f>
        <v>0.6</v>
      </c>
      <c r="B8" t="s">
        <v>126</v>
      </c>
      <c r="C8">
        <v>60</v>
      </c>
    </row>
    <row r="9" spans="1:6">
      <c r="B9" s="141">
        <f>IF((A7 + 459.67) &gt; 491.67, EXP(-10440.397/(A7 + 459.67) + -11.29465 + -0.027022355*(A7 + 459.67) + 0.00001289036*(A7 + 459.67)*(A7 + 459.67) + -0.0000000024780681*(A7 + 459.67)*(A7 + 459.67)*(A7 + 459.67) + 6.5459673*LN((A7 + 459.67))), EXP(-10214.165/(A7 + 459.67) + -4.8932428 + -0.005376579*(A7 + 459.67) + 0.00000019202377*(A7 + 459.67)*(A7 + 459.67) + 0.00000000035575832*(A7 + 459.67)*(A7 + 459.67)*(A7 + 459.67) + -9.0344688E-14*(A7 + 459.67)*(A7 + 459.67)*(A7 + 459.67)*(A7 + 459.67) + 4.1635019*LN((A7 + 459.67))))</f>
        <v>0.41591741864129167</v>
      </c>
      <c r="C9" t="s">
        <v>127</v>
      </c>
    </row>
    <row r="11" spans="1:6">
      <c r="A11" t="s">
        <v>128</v>
      </c>
    </row>
    <row r="12" spans="1:6">
      <c r="A12" s="83" t="s">
        <v>124</v>
      </c>
      <c r="B12" s="83" t="s">
        <v>132</v>
      </c>
    </row>
    <row r="13" spans="1:6">
      <c r="A13">
        <v>74</v>
      </c>
      <c r="B13">
        <f>C13/100</f>
        <v>0.6</v>
      </c>
      <c r="C13">
        <v>60</v>
      </c>
    </row>
    <row r="14" spans="1:6">
      <c r="B14">
        <f>0.621945*((B13*IF((A13 + 459.67) &gt; 491.67, EXP(-10440.397/(A13 + 459.67) + -11.29465 + -0.027022355*(A13 + 459.67) + 0.00001289036*(A13 + 459.67)*(A13 + 459.67) + -0.0000000024780681*(A13 + 459.67)*(A13 + 459.67)*(A13 + 459.67) + 6.5459673*LN((A13 + 459.67))), EXP(-10214.165/(A13 + 459.67) + -4.8932428 + -0.005376579*(A13 + 459.67) + 0.00000019202377*(A13 + 459.67)*(A13 + 459.67) + 0.00000000035575832*(A13 + 459.67)*(A13 + 459.67)*(A13 + 459.67) + -9.0344688E-14*(A13 + 459.67)*(A13 + 459.67)*(A13 + 459.67)*(A13 + 459.67) + 4.1635019*LN((A13 + 459.67))))))/((14.696)-((B13*IF((A13 + 459.67) &gt; 491.67, EXP(-10440.397/(A13 + 459.67) + -11.29465 + -0.027022355*(A13 + 459.67) + 0.00001289036*(A13 + 459.67)*(A13 + 459.67) + -0.0000000024780681*(A13 + 459.67)*(A13 + 459.67)*(A13 + 459.67) + 6.5459673*LN((A13 + 459.67))), EXP(-10214.165/(A13 + 459.67) + -4.8932428 + -0.005376579*(A13 + 459.67) + 0.00000019202377*(A13 + 459.67)*(A13 + 459.67) + 0.00000000035575832*(A13 + 459.67)*(A13 + 459.67)*(A13 + 459.67) + -9.0344688E-14*(A13 + 459.67)*(A13 + 459.67)*(A13 + 459.67)*(A13 + 459.67) + 4.1635019*LN((A13 + 459.67)))))))</f>
        <v>1.0743584770615393E-2</v>
      </c>
    </row>
    <row r="16" spans="1:6">
      <c r="A16" t="s">
        <v>131</v>
      </c>
    </row>
    <row r="17" spans="1:3">
      <c r="A17" s="83" t="s">
        <v>124</v>
      </c>
      <c r="B17" s="83" t="s">
        <v>132</v>
      </c>
    </row>
    <row r="18" spans="1:3">
      <c r="A18">
        <v>74</v>
      </c>
      <c r="B18">
        <f>C18/100</f>
        <v>0.6</v>
      </c>
      <c r="C18">
        <v>60</v>
      </c>
    </row>
    <row r="19" spans="1:3">
      <c r="B19" s="141">
        <f>0.24*(A18) + ((0.621945*((B18*IF((A18 + 459.67) &gt; 491.67, EXP(-10440.397/(A18 + 459.67) + -11.29465 + -0.027022355*(A18 + 459.67) + 0.00001289036*(A18 + 459.67)*(A18 + 459.67) + -0.0000000024780681*(A18 + 459.67)*(A18 + 459.67)*(A18 + 459.67) + 6.5459673*LN((A18 + 459.67))), EXP(-10214.165/(A18 + 459.67) + -4.8932428 + -0.005376579*(A18 + 459.67) + 0.00000019202377*(A18 + 459.67)*(A18 + 459.67) + 0.00000000035575832*(A18 + 459.67)*(A18 + 459.67)*(A18 + 459.67) + -9.0344688E-14*(A18 + 459.67)*(A18 + 459.67)*(A18 + 459.67)*(A18 + 459.67) + 4.1635019*LN((A18 + 459.67))))))/((14.696)-((B18*IF((A18 + 459.67) &gt; 491.67, EXP(-10440.397/(A18 + 459.67) + -11.29465 + -0.027022355*(A18 + 459.67) + 0.00001289036*(A18 + 459.67)*(A18 + 459.67) + -0.0000000024780681*(A18 + 459.67)*(A18 + 459.67)*(A18 + 459.67) + 6.5459673*LN((A18 + 459.67))), EXP(-10214.165/(A18 + 459.67) + -4.8932428 + -0.005376579*(A18 + 459.67) + 0.00000019202377*(A18 + 459.67)*(A18 + 459.67) + 0.00000000035575832*(A18 + 459.67)*(A18 + 459.67)*(A18 + 459.67) + -9.0344688E-14*(A18 + 459.67)*(A18 + 459.67)*(A18 + 459.67)*(A18 + 459.67) + 4.1635019*LN((A18 + 459.67)))))))))*(1061 + 0.444*(A18))</f>
        <v>29.511934662846269</v>
      </c>
    </row>
    <row r="21" spans="1:3">
      <c r="A21" s="142" t="s">
        <v>133</v>
      </c>
    </row>
    <row r="22" spans="1:3">
      <c r="A22" t="s">
        <v>131</v>
      </c>
    </row>
    <row r="23" spans="1:3">
      <c r="A23" s="83" t="s">
        <v>124</v>
      </c>
      <c r="B23" s="83" t="s">
        <v>134</v>
      </c>
    </row>
    <row r="24" spans="1:3">
      <c r="A24">
        <v>75</v>
      </c>
      <c r="B24">
        <v>55.55</v>
      </c>
    </row>
    <row r="25" spans="1:3">
      <c r="B25" s="141">
        <f>0.24*(A24) + ((0.621945*(IF((B24 + 459.67) &gt; 491.67, EXP(-10440.397/(B24 + 459.67) + -11.29465 + -0.027022355*(B24 + 459.67) + 0.00001289036*(B24 + 459.67)*(B24 + 459.67) + -0.0000000024780681*(B24 + 459.67)*(B24 + 459.67)*(B24 + 459.67) + 6.5459673*LN((B24 + 459.67))), EXP(-10214.165/(B24 + 459.67) + -4.8932428 + -0.005376579*(B24 + 459.67) + 0.00000019202377*(B24 + 459.67)*(B24 + 459.67) + 0.00000000035575832*(B24 + 459.67)*(B24 + 459.67)*(B24 + 459.67) + -9.0344688E-14*(B24 + 459.67)*(B24 + 459.67)*(B24 + 459.67)*(B24 + 459.67) + 4.1635019*LN((B24 + 459.67)))))/((14.696)-(IF((B24 + 459.67) &gt; 491.67, EXP(-10440.397/(B24 + 459.67) + -11.29465 + -0.027022355*(B24 + 459.67) + 0.00001289036*(B24 + 459.67)*(B24 + 459.67) + -0.0000000024780681*(B24 + 459.67)*(B24 + 459.67)*(B24 + 459.67) + 6.5459673*LN((B24 + 459.67))), EXP(-10214.165/(B24 + 459.67) + -4.8932428 + -0.005376579*(B24 + 459.67) + 0.00000019202377*(B24 + 459.67)*(B24 + 459.67) + 0.00000000035575832*(B24 + 459.67)*(B24 + 459.67)*(B24 + 459.67) + -9.0344688E-14*(B24 + 459.67)*(B24 + 459.67)*(B24 + 459.67)*(B24 + 459.67) + 4.1635019*LN((B24 + 459.67))))))))*(1061 + 0.444*(A24))</f>
        <v>28.268272992217959</v>
      </c>
    </row>
    <row r="27" spans="1:3">
      <c r="A27" s="142" t="s">
        <v>135</v>
      </c>
    </row>
    <row r="28" spans="1:3">
      <c r="A28" t="s">
        <v>131</v>
      </c>
    </row>
    <row r="29" spans="1:3">
      <c r="A29" s="83" t="s">
        <v>124</v>
      </c>
      <c r="B29">
        <v>74</v>
      </c>
    </row>
    <row r="30" spans="1:3">
      <c r="A30" s="83" t="s">
        <v>125</v>
      </c>
      <c r="B30">
        <v>64.45</v>
      </c>
    </row>
    <row r="31" spans="1:3">
      <c r="B31" s="141">
        <f>0.24*(B29) + ((IF((B30) &gt; 32,((1093 - 0.556*(B30))*(0.621945*(IF((B30 + 459.67) &gt; 491.67, EXP(-10440.397/(B30 + 459.67) + -11.29465 + -0.027022355*(B30 + 459.67) + 0.00001289036*(B30 + 459.67)*(B30 + 459.67) + -0.0000000024780681*(B30 + 459.67)*(B30 + 459.67)*(B30 + 459.67) + 6.5459673*LN((B30 + 459.67))), EXP(-10214.165/(B30 + 459.67) + -4.8932428 + -0.005376579*(B30 + 459.67) + 0.00000019202377*(B30 + 459.67)*(B30 + 459.67) + 0.00000000035575832*(B30 + 459.67)*(B30 + 459.67)*(B30 + 459.67) + -9.0344688E-14*(B30 + 459.67)*(B30 + 459.67)*(B30 + 459.67)*(B30 + 459.67) + 4.1635019*LN((B30 + 459.67)))))/((14.696)-(IF((B30 + 459.67) &gt; 491.67, EXP(-10440.397/(B30 + 459.67) + -11.29465 + -0.027022355*(B30 + 459.67) + 0.00001289036*(B30 + 459.67)*(B30 + 459.67) + -0.0000000024780681*(B30 + 459.67)*(B30 + 459.67)*(B30 + 459.67) + 6.5459673*LN((B30 + 459.67))), EXP(-10214.165/(B30 + 459.67) + -4.8932428 + -0.005376579*(B30 + 459.67) + 0.00000019202377*(B30 + 459.67)*(B30 + 459.67) + 0.00000000035575832*(B30 + 459.67)*(B30 + 459.67)*(B30 + 459.67) + -9.0344688E-14*(B30 + 459.67)*(B30 + 459.67)*(B30 + 459.67)*(B30 + 459.67) + 4.1635019*LN((B30 + 459.67))))))) - 0.24*((B29) - (B30))) / (1093 + 0.444*(B29) - (B30)),((1220 - 0.04*(B30))*(0.621945*(IF((B30 + 459.67) &gt; 491.67, EXP(-10440.397/(B30 + 459.67) + -11.29465 + -0.027022355*(B30 + 459.67) + 0.00001289036*(B30 + 459.67)*(B30 + 459.67) + -0.0000000024780681*(B30 + 459.67)*(B30 + 459.67)*(B30 + 459.67) + 6.5459673*LN((B30 + 459.67))), EXP(-10214.165/(B30 + 459.67) + -4.8932428 + -0.005376579*(B30 + 459.67) + 0.00000019202377*(B30 + 459.67)*(B30 + 459.67) + 0.00000000035575832*(B30 + 459.67)*(B30 + 459.67)*(B30 + 459.67) + -9.0344688E-14*(B30 + 459.67)*(B30 + 459.67)*(B30 + 459.67)*(B30 + 459.67) + 4.1635019*LN((B30 + 459.67)))))/((14.696)-(IF((B30 + 459.67) &gt; 491.67, EXP(-10440.397/(B30 + 459.67) + -11.29465 + -0.027022355*(B30 + 459.67) + 0.00001289036*(B30 + 459.67)*(B30 + 459.67) + -0.0000000024780681*(B30 + 459.67)*(B30 + 459.67)*(B30 + 459.67) + 6.5459673*LN((B30 + 459.67))), EXP(-10214.165/(B30 + 459.67) + -4.8932428 + -0.005376579*(B30 + 459.67) + 0.00000019202377*(B30 + 459.67)*(B30 + 459.67) + 0.00000000035575832*(B30 + 459.67)*(B30 + 459.67)*(B30 + 459.67) + -9.0344688E-14*(B30 + 459.67)*(B30 + 459.67)*(B30 + 459.67)*(B30 + 459.67) + 4.1635019*LN((B30 + 459.67))))))) - 0.24*((B29) - (B30))) / (1220 + 0.444*(B29) - 0.48*(B30)))))*(1061 + 0.444*(B29))</f>
        <v>29.514859416271918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C10" sqref="C10"/>
    </sheetView>
  </sheetViews>
  <sheetFormatPr defaultRowHeight="15"/>
  <cols>
    <col min="6" max="6" width="4.85546875" customWidth="1"/>
  </cols>
  <sheetData>
    <row r="1" spans="1:11">
      <c r="A1" s="239" t="s">
        <v>225</v>
      </c>
      <c r="B1" s="240"/>
      <c r="C1" s="241">
        <f>'Duct Traverse'!T4*25.4</f>
        <v>304.79999999999995</v>
      </c>
      <c r="D1" s="240" t="s">
        <v>232</v>
      </c>
      <c r="E1" s="242"/>
      <c r="F1" s="235"/>
      <c r="G1" s="239" t="s">
        <v>226</v>
      </c>
      <c r="H1" s="240"/>
      <c r="I1" s="241">
        <f>'Duct Traverse'!T5*25.4</f>
        <v>254</v>
      </c>
      <c r="J1" s="240" t="s">
        <v>232</v>
      </c>
      <c r="K1" s="253"/>
    </row>
    <row r="2" spans="1:11">
      <c r="A2" s="243"/>
      <c r="B2" s="204"/>
      <c r="C2" s="244"/>
      <c r="D2" s="204"/>
      <c r="E2" s="245"/>
      <c r="G2" s="243"/>
      <c r="H2" s="204"/>
      <c r="I2" s="244"/>
      <c r="J2" s="204"/>
      <c r="K2" s="245"/>
    </row>
    <row r="3" spans="1:11">
      <c r="A3" s="243" t="str">
        <f>A8 &amp; ", " &amp; A9 &amp; ", " &amp; A10 &amp; ", " &amp; A11 &amp; ", " &amp; A12 &amp; " mm"</f>
        <v>23, 88, 152, 217, 282 mm</v>
      </c>
      <c r="B3" s="204"/>
      <c r="C3" s="244"/>
      <c r="D3" s="204"/>
      <c r="E3" s="245" t="str">
        <f>" ("&amp;LEN(TRIM(A3))-LEN(SUBSTITUTE(TRIM(A3),",",""))+1&amp;")"</f>
        <v xml:space="preserve"> (5)</v>
      </c>
      <c r="G3" s="243" t="str">
        <f>G8 &amp; ", " &amp; G9 &amp; ", " &amp; G10 &amp; ", " &amp; G11 &amp; ", " &amp; G12 &amp; " mm"</f>
        <v>19, 73, 127, 181, 235 mm</v>
      </c>
      <c r="H3" s="204"/>
      <c r="I3" s="244"/>
      <c r="J3" s="204"/>
      <c r="K3" s="245" t="str">
        <f>" ("&amp;LEN(TRIM(G3))-LEN(SUBSTITUTE(TRIM(G3),",",""))+1&amp;")"</f>
        <v xml:space="preserve"> (5)</v>
      </c>
    </row>
    <row r="4" spans="1:11">
      <c r="A4" s="243" t="str">
        <f>C8 &amp; ", " &amp; C9 &amp; ", " &amp; C10 &amp; ", " &amp; C11 &amp; ", " &amp;C12 &amp; ", " &amp; C13 &amp; " mm"</f>
        <v>19, 72, 133, 172, 233, 286 mm</v>
      </c>
      <c r="B4" s="204"/>
      <c r="C4" s="244"/>
      <c r="D4" s="204"/>
      <c r="E4" s="245" t="str">
        <f t="shared" ref="E4:E5" si="0">" ("&amp;LEN(TRIM(A4))-LEN(SUBSTITUTE(TRIM(A4),",",""))+1&amp;")"</f>
        <v xml:space="preserve"> (6)</v>
      </c>
      <c r="G4" s="243" t="str">
        <f>I8 &amp; ", " &amp; I9 &amp; ", " &amp; I10 &amp; ", " &amp; I11 &amp; ", " &amp;I12 &amp; ", " &amp; I13 &amp; " mm"</f>
        <v>15, 60, 111, 143, 194, 239 mm</v>
      </c>
      <c r="H4" s="204"/>
      <c r="I4" s="244"/>
      <c r="J4" s="204"/>
      <c r="K4" s="245" t="str">
        <f t="shared" ref="K4:K5" si="1">" ("&amp;LEN(TRIM(G4))-LEN(SUBSTITUTE(TRIM(G4),",",""))+1&amp;")"</f>
        <v xml:space="preserve"> (6)</v>
      </c>
    </row>
    <row r="5" spans="1:11">
      <c r="A5" s="243" t="str">
        <f>E8 &amp; ", " &amp; E9 &amp; ", " &amp; E10 &amp; ", " &amp; E11 &amp; ", " &amp;E12 &amp; ", " &amp; E13 &amp; ", " &amp; E14 &amp;  " mm"</f>
        <v>16, 62, 112, 152, 193, 244, 289 mm</v>
      </c>
      <c r="B5" s="204"/>
      <c r="C5" s="244"/>
      <c r="D5" s="204"/>
      <c r="E5" s="245" t="str">
        <f t="shared" si="0"/>
        <v xml:space="preserve"> (7)</v>
      </c>
      <c r="G5" s="243" t="str">
        <f>K8 &amp; ", " &amp; K9 &amp; ", " &amp; K10 &amp; ", " &amp; K11 &amp; ", " &amp;K12 &amp; ", " &amp; K13 &amp; ", " &amp; K14 &amp;  " mm"</f>
        <v>13, 52, 93, 127, 161, 203, 241 mm</v>
      </c>
      <c r="H5" s="204"/>
      <c r="I5" s="244"/>
      <c r="J5" s="204"/>
      <c r="K5" s="245" t="str">
        <f t="shared" si="1"/>
        <v xml:space="preserve"> (7)</v>
      </c>
    </row>
    <row r="6" spans="1:11">
      <c r="A6" s="243"/>
      <c r="B6" s="204"/>
      <c r="C6" s="244"/>
      <c r="D6" s="204"/>
      <c r="E6" s="245"/>
      <c r="G6" s="243"/>
      <c r="H6" s="204"/>
      <c r="I6" s="244"/>
      <c r="J6" s="204"/>
      <c r="K6" s="245"/>
    </row>
    <row r="7" spans="1:11">
      <c r="A7" s="246" t="s">
        <v>222</v>
      </c>
      <c r="B7" s="247"/>
      <c r="C7" s="247" t="s">
        <v>223</v>
      </c>
      <c r="D7" s="247"/>
      <c r="E7" s="248" t="s">
        <v>224</v>
      </c>
      <c r="G7" s="246" t="s">
        <v>222</v>
      </c>
      <c r="H7" s="247"/>
      <c r="I7" s="247" t="s">
        <v>223</v>
      </c>
      <c r="J7" s="247"/>
      <c r="K7" s="248" t="s">
        <v>224</v>
      </c>
    </row>
    <row r="8" spans="1:11">
      <c r="A8" s="243">
        <f>ROUND($C$1*0.074,0)</f>
        <v>23</v>
      </c>
      <c r="B8" s="204"/>
      <c r="C8" s="204">
        <f>ROUND($C$1*0.061,0)</f>
        <v>19</v>
      </c>
      <c r="D8" s="204"/>
      <c r="E8" s="245">
        <f>ROUND($C$1*0.053,0)</f>
        <v>16</v>
      </c>
      <c r="G8" s="243">
        <f>ROUND($I$1*0.074,0)</f>
        <v>19</v>
      </c>
      <c r="H8" s="204"/>
      <c r="I8" s="204">
        <f>ROUND($I$1*0.061,0)</f>
        <v>15</v>
      </c>
      <c r="J8" s="204"/>
      <c r="K8" s="245">
        <f>ROUND($I$1*0.053,0)</f>
        <v>13</v>
      </c>
    </row>
    <row r="9" spans="1:11">
      <c r="A9" s="243">
        <f>ROUND($C$1*0.288,0)</f>
        <v>88</v>
      </c>
      <c r="B9" s="204"/>
      <c r="C9" s="204">
        <f>ROUND($C$1*0.235,0)</f>
        <v>72</v>
      </c>
      <c r="D9" s="204"/>
      <c r="E9" s="245">
        <f>ROUND($C$1*0.203,0)</f>
        <v>62</v>
      </c>
      <c r="G9" s="243">
        <f>ROUND($I$1*0.288,0)</f>
        <v>73</v>
      </c>
      <c r="H9" s="204"/>
      <c r="I9" s="204">
        <f>ROUND($I$1*0.235,0)</f>
        <v>60</v>
      </c>
      <c r="J9" s="204"/>
      <c r="K9" s="245">
        <f>ROUND($I$1*0.203,0)</f>
        <v>52</v>
      </c>
    </row>
    <row r="10" spans="1:11">
      <c r="A10" s="243">
        <f>ROUND($C$1*0.5,0)</f>
        <v>152</v>
      </c>
      <c r="B10" s="204"/>
      <c r="C10" s="204">
        <f>ROUND($C$1*0.437,0)</f>
        <v>133</v>
      </c>
      <c r="D10" s="204"/>
      <c r="E10" s="245">
        <f>ROUND($C$1*0.366,0)</f>
        <v>112</v>
      </c>
      <c r="G10" s="243">
        <f>ROUND($I$1*0.5,0)</f>
        <v>127</v>
      </c>
      <c r="H10" s="204"/>
      <c r="I10" s="204">
        <f>ROUND($I$1*0.437,0)</f>
        <v>111</v>
      </c>
      <c r="J10" s="204"/>
      <c r="K10" s="245">
        <f>ROUND($I$1*0.366,0)</f>
        <v>93</v>
      </c>
    </row>
    <row r="11" spans="1:11">
      <c r="A11" s="243">
        <f>ROUND($C$1*0.712,0)</f>
        <v>217</v>
      </c>
      <c r="B11" s="204"/>
      <c r="C11" s="204">
        <f>ROUND($C$1*0.563,0)</f>
        <v>172</v>
      </c>
      <c r="D11" s="204"/>
      <c r="E11" s="245">
        <f>ROUND($C$1*0.5,0)</f>
        <v>152</v>
      </c>
      <c r="G11" s="243">
        <f>ROUND($I$1*0.712,0)</f>
        <v>181</v>
      </c>
      <c r="H11" s="204"/>
      <c r="I11" s="204">
        <f>ROUND($I$1*0.563,0)</f>
        <v>143</v>
      </c>
      <c r="J11" s="204"/>
      <c r="K11" s="245">
        <f>ROUND($I$1*0.5,0)</f>
        <v>127</v>
      </c>
    </row>
    <row r="12" spans="1:11">
      <c r="A12" s="243">
        <f>ROUND($C$1*0.926,0)</f>
        <v>282</v>
      </c>
      <c r="B12" s="204"/>
      <c r="C12" s="204">
        <f>ROUND($C$1*0.765,0)</f>
        <v>233</v>
      </c>
      <c r="D12" s="204"/>
      <c r="E12" s="245">
        <f>ROUND($C$1*0.634,0)</f>
        <v>193</v>
      </c>
      <c r="G12" s="243">
        <f>ROUND($I$1*0.926,0)</f>
        <v>235</v>
      </c>
      <c r="H12" s="204"/>
      <c r="I12" s="204">
        <f>ROUND($I$1*0.765,0)</f>
        <v>194</v>
      </c>
      <c r="J12" s="204"/>
      <c r="K12" s="245">
        <f>ROUND($I$1*0.634,0)</f>
        <v>161</v>
      </c>
    </row>
    <row r="13" spans="1:11">
      <c r="A13" s="243"/>
      <c r="B13" s="204"/>
      <c r="C13" s="204">
        <f>ROUND($C$1*0.939,0)</f>
        <v>286</v>
      </c>
      <c r="D13" s="204"/>
      <c r="E13" s="245">
        <f>ROUND($C$1*0.799,0)</f>
        <v>244</v>
      </c>
      <c r="G13" s="243"/>
      <c r="H13" s="204"/>
      <c r="I13" s="204">
        <f>ROUND($I$1*0.939,0)</f>
        <v>239</v>
      </c>
      <c r="J13" s="204"/>
      <c r="K13" s="245">
        <f>ROUND($I$1*0.799,0)</f>
        <v>203</v>
      </c>
    </row>
    <row r="14" spans="1:11">
      <c r="A14" s="249"/>
      <c r="B14" s="250"/>
      <c r="C14" s="250"/>
      <c r="D14" s="250"/>
      <c r="E14" s="251">
        <f>ROUND($C$1*0.947,0)</f>
        <v>289</v>
      </c>
      <c r="G14" s="249"/>
      <c r="H14" s="250"/>
      <c r="I14" s="250"/>
      <c r="J14" s="250"/>
      <c r="K14" s="251">
        <f>ROUND($I$1*0.947,0)</f>
        <v>241</v>
      </c>
    </row>
    <row r="16" spans="1:11">
      <c r="A16" s="260" t="s">
        <v>228</v>
      </c>
      <c r="B16" s="252"/>
      <c r="C16" s="252"/>
      <c r="D16" s="252">
        <f>'Duct Traverse'!$T$12*25.4</f>
        <v>152.39999999999998</v>
      </c>
      <c r="E16" s="261" t="s">
        <v>232</v>
      </c>
    </row>
    <row r="17" spans="1:5">
      <c r="A17" s="243"/>
      <c r="B17" s="204"/>
      <c r="C17" s="204"/>
      <c r="D17" s="204"/>
      <c r="E17" s="245"/>
    </row>
    <row r="18" spans="1:5">
      <c r="A18" s="243" t="str">
        <f xml:space="preserve"> A22 &amp; ", " &amp; A23 &amp; ", " &amp; A24 &amp; ", " &amp; A25 &amp; ", " &amp; A26 &amp; ", " &amp; A27  &amp; "  mm"</f>
        <v>5, 21, 49, 103, 132, 148  mm</v>
      </c>
      <c r="B18" s="204"/>
      <c r="C18" s="204"/>
      <c r="D18" s="204"/>
      <c r="E18" s="245"/>
    </row>
    <row r="19" spans="1:5">
      <c r="A19" s="243" t="str">
        <f>C22 &amp; ", " &amp; C23 &amp; ", " &amp; C24 &amp; ", " &amp; C25 &amp; ", " &amp; C26 &amp; ", " &amp; C27 &amp; ", " &amp; C28 &amp; ", "&amp; C29 &amp; ", "&amp; C30 &amp; ", "&amp; C31 &amp; "  mm"</f>
        <v>3, 12, 23, 33, 55, 97, 119, 129, 141, 150  mm</v>
      </c>
      <c r="B19" s="204"/>
      <c r="C19" s="204"/>
      <c r="D19" s="204"/>
      <c r="E19" s="245"/>
    </row>
    <row r="20" spans="1:5">
      <c r="A20" s="243"/>
      <c r="B20" s="204"/>
      <c r="C20" s="204"/>
      <c r="D20" s="204"/>
      <c r="E20" s="245"/>
    </row>
    <row r="21" spans="1:5">
      <c r="A21" s="246" t="s">
        <v>231</v>
      </c>
      <c r="B21" s="247"/>
      <c r="C21" s="247" t="s">
        <v>235</v>
      </c>
      <c r="D21" s="204"/>
      <c r="E21" s="245"/>
    </row>
    <row r="22" spans="1:5">
      <c r="A22" s="243">
        <f>ROUND($D$16*0.032,0)</f>
        <v>5</v>
      </c>
      <c r="B22" s="204"/>
      <c r="C22" s="204">
        <f>ROUND($D$16*0.019,0)</f>
        <v>3</v>
      </c>
      <c r="D22" s="204"/>
      <c r="E22" s="245"/>
    </row>
    <row r="23" spans="1:5">
      <c r="A23" s="243">
        <f>ROUND($D$16*0.135,0)</f>
        <v>21</v>
      </c>
      <c r="B23" s="204"/>
      <c r="C23" s="204">
        <f>ROUND($D$16*0.077,0)</f>
        <v>12</v>
      </c>
      <c r="D23" s="204"/>
      <c r="E23" s="245"/>
    </row>
    <row r="24" spans="1:5">
      <c r="A24" s="243">
        <f>ROUND($D$16*0.321,0)</f>
        <v>49</v>
      </c>
      <c r="B24" s="204"/>
      <c r="C24" s="204">
        <f>ROUND($D$16*0.153,0)</f>
        <v>23</v>
      </c>
      <c r="D24" s="204"/>
      <c r="E24" s="245"/>
    </row>
    <row r="25" spans="1:5">
      <c r="A25" s="243">
        <f>ROUND($D$16*0.679,0)</f>
        <v>103</v>
      </c>
      <c r="B25" s="204"/>
      <c r="C25" s="204">
        <f>ROUND($D$16*0.217,0)</f>
        <v>33</v>
      </c>
      <c r="D25" s="204"/>
      <c r="E25" s="245"/>
    </row>
    <row r="26" spans="1:5">
      <c r="A26" s="243">
        <f>ROUND($D$16*0.865,0)</f>
        <v>132</v>
      </c>
      <c r="B26" s="204"/>
      <c r="C26" s="204">
        <f>ROUND($D$16*0.361,0)</f>
        <v>55</v>
      </c>
      <c r="D26" s="204"/>
      <c r="E26" s="245"/>
    </row>
    <row r="27" spans="1:5">
      <c r="A27" s="243">
        <f>ROUND($D$16*0.968,0)</f>
        <v>148</v>
      </c>
      <c r="B27" s="204"/>
      <c r="C27" s="204">
        <f>ROUND($D$16*0.639,0)</f>
        <v>97</v>
      </c>
      <c r="D27" s="204"/>
      <c r="E27" s="245"/>
    </row>
    <row r="28" spans="1:5">
      <c r="A28" s="243"/>
      <c r="B28" s="204"/>
      <c r="C28" s="204">
        <f>ROUND($D$16*0.783,0)</f>
        <v>119</v>
      </c>
      <c r="D28" s="204"/>
      <c r="E28" s="245"/>
    </row>
    <row r="29" spans="1:5">
      <c r="A29" s="243"/>
      <c r="B29" s="204"/>
      <c r="C29" s="204">
        <f>ROUND($D$16*0.847,0)</f>
        <v>129</v>
      </c>
      <c r="D29" s="204"/>
      <c r="E29" s="245"/>
    </row>
    <row r="30" spans="1:5">
      <c r="A30" s="243"/>
      <c r="B30" s="204"/>
      <c r="C30" s="204">
        <f>ROUND($D$16*0.923,0)</f>
        <v>141</v>
      </c>
      <c r="D30" s="204"/>
      <c r="E30" s="245"/>
    </row>
    <row r="31" spans="1:5">
      <c r="A31" s="249"/>
      <c r="B31" s="250"/>
      <c r="C31" s="250">
        <f>ROUND($D$16*0.981,0)</f>
        <v>150</v>
      </c>
      <c r="D31" s="250"/>
      <c r="E31" s="251"/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B2:R42"/>
  <sheetViews>
    <sheetView workbookViewId="0">
      <selection activeCell="D13" sqref="D13"/>
    </sheetView>
  </sheetViews>
  <sheetFormatPr defaultRowHeight="15"/>
  <sheetData>
    <row r="2" spans="2:2">
      <c r="B2" s="78" t="s">
        <v>77</v>
      </c>
    </row>
    <row r="3" spans="2:2">
      <c r="B3" s="78" t="s">
        <v>78</v>
      </c>
    </row>
    <row r="4" spans="2:2">
      <c r="B4" s="78" t="s">
        <v>79</v>
      </c>
    </row>
    <row r="5" spans="2:2">
      <c r="B5" s="78" t="s">
        <v>80</v>
      </c>
    </row>
    <row r="6" spans="2:2">
      <c r="B6" s="78" t="s">
        <v>81</v>
      </c>
    </row>
    <row r="7" spans="2:2">
      <c r="B7" s="78" t="s">
        <v>82</v>
      </c>
    </row>
    <row r="9" spans="2:2">
      <c r="B9" s="78" t="s">
        <v>83</v>
      </c>
    </row>
    <row r="10" spans="2:2">
      <c r="B10" s="78" t="s">
        <v>84</v>
      </c>
    </row>
    <row r="11" spans="2:2">
      <c r="B11" s="78" t="s">
        <v>85</v>
      </c>
    </row>
    <row r="13" spans="2:2" ht="16.5">
      <c r="B13" s="81"/>
    </row>
    <row r="14" spans="2:2">
      <c r="B14" s="78" t="s">
        <v>86</v>
      </c>
    </row>
    <row r="15" spans="2:2">
      <c r="B15" s="78" t="s">
        <v>87</v>
      </c>
    </row>
    <row r="16" spans="2:2">
      <c r="B16" s="78" t="s">
        <v>82</v>
      </c>
    </row>
    <row r="18" spans="2:18">
      <c r="B18" s="78" t="s">
        <v>88</v>
      </c>
    </row>
    <row r="19" spans="2:18">
      <c r="B19" s="78"/>
    </row>
    <row r="20" spans="2:18">
      <c r="B20" s="78" t="s">
        <v>85</v>
      </c>
    </row>
    <row r="22" spans="2:18">
      <c r="B22" s="29" t="s">
        <v>89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8">
      <c r="B23" s="55" t="s">
        <v>19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2:18">
      <c r="B24" s="58">
        <v>5.2555880000000004</v>
      </c>
      <c r="C24" s="46" t="s">
        <v>44</v>
      </c>
      <c r="D24" s="46"/>
      <c r="E24" s="46"/>
      <c r="F24" s="46">
        <v>5.2561</v>
      </c>
      <c r="G24" s="46"/>
      <c r="H24" s="46" t="s">
        <v>46</v>
      </c>
      <c r="I24" s="46"/>
      <c r="J24" s="46"/>
      <c r="K24" s="46"/>
      <c r="L24" s="46"/>
      <c r="M24" s="59"/>
      <c r="R24" s="78"/>
    </row>
    <row r="25" spans="2:18">
      <c r="B25" s="58" t="s">
        <v>45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59"/>
      <c r="R25" s="78"/>
    </row>
    <row r="26" spans="2:18">
      <c r="B26" s="58">
        <f>(70+460)/(150+460) *(POWER(1-(6.8754*0.000001* 3000),5.255588))</f>
        <v>0.77870862242559835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59"/>
      <c r="R26" s="78"/>
    </row>
    <row r="27" spans="2:18">
      <c r="B27" s="60">
        <f>(70+460)/(150+460) *(POWER(1-(6.8754*0.000001* 3000),5.255588))</f>
        <v>0.77870862242559835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61"/>
      <c r="R27" s="78"/>
    </row>
    <row r="28" spans="2:18">
      <c r="R28" s="78"/>
    </row>
    <row r="29" spans="2:18">
      <c r="B29" s="4" t="s">
        <v>75</v>
      </c>
      <c r="C29" s="4"/>
      <c r="D29" s="4" t="s">
        <v>76</v>
      </c>
      <c r="R29" s="78"/>
    </row>
    <row r="30" spans="2:18">
      <c r="B30" s="4">
        <v>30</v>
      </c>
      <c r="C30" s="4"/>
      <c r="D30" s="4">
        <v>78</v>
      </c>
    </row>
    <row r="31" spans="2:18" ht="15.75">
      <c r="B31" s="77"/>
      <c r="C31" s="4"/>
      <c r="D31" s="4"/>
      <c r="R31" s="78"/>
    </row>
    <row r="32" spans="2:18" ht="15.75">
      <c r="B32" s="77">
        <f>B30*    (ATAN(0.151977 *((D30 + 8.313659)^(0.5))))                + ATAN(B30 +D30) -    ATAN(D30 - 1.67633)     +      0.00391838 *(D30^(1.5))         *     ATAN(0.023101 * D30) - 4.686035</f>
        <v>26.827007455928797</v>
      </c>
      <c r="C32" s="4"/>
      <c r="D32" s="4"/>
      <c r="R32" s="78"/>
    </row>
    <row r="33" spans="2:18">
      <c r="C33" s="4"/>
      <c r="D33" s="4"/>
      <c r="R33" s="78"/>
    </row>
    <row r="34" spans="2:18">
      <c r="B34" t="s">
        <v>102</v>
      </c>
    </row>
    <row r="35" spans="2:18" ht="16.5">
      <c r="B35" t="str">
        <f>INT(MROUND(W31/25.4,1/16)) &amp; IF(TEXT(MOD(MROUND(W31/25.4,1/16),1),"#-#/##")="0", "","-") &amp; IF(TEXT(MOD(MROUND(W31/25.4,1/16),1),"#-#/##")="0", "",TEXT(MOD(MROUND(W31/25.4,1/16),1),"#-#/##")) &amp; """"</f>
        <v>0"</v>
      </c>
      <c r="C35" s="83"/>
      <c r="R35" s="81"/>
    </row>
    <row r="36" spans="2:18">
      <c r="B36" t="s">
        <v>101</v>
      </c>
      <c r="R36" s="78"/>
    </row>
    <row r="37" spans="2:18">
      <c r="B37" t="str">
        <f>INT(MROUND(W31/25.4,1/16)/12) &amp; "' " &amp; TEXT(MOD(MROUND(W31/25.4,1/16),12),"#-#/##") &amp; """"</f>
        <v>0' 0"</v>
      </c>
      <c r="R37" s="78"/>
    </row>
    <row r="38" spans="2:18">
      <c r="R38" s="78"/>
    </row>
    <row r="40" spans="2:18">
      <c r="R40" s="78"/>
    </row>
    <row r="41" spans="2:18">
      <c r="R41" s="78"/>
    </row>
    <row r="42" spans="2:18">
      <c r="R42" s="78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G25"/>
  <sheetViews>
    <sheetView workbookViewId="0">
      <selection activeCell="G4" sqref="G4"/>
    </sheetView>
  </sheetViews>
  <sheetFormatPr defaultRowHeight="15"/>
  <cols>
    <col min="1" max="1" width="8.85546875" customWidth="1"/>
    <col min="2" max="2" width="17.42578125" customWidth="1"/>
  </cols>
  <sheetData>
    <row r="1" spans="2:7">
      <c r="B1" s="478" t="s">
        <v>386</v>
      </c>
    </row>
    <row r="2" spans="2:7">
      <c r="B2" s="478"/>
    </row>
    <row r="3" spans="2:7">
      <c r="B3">
        <f>(12-(0.75*'Oil Line Calcs'!B30))/('Oil Line Calcs'!E25*'Oil Line Calcs'!B27)</f>
        <v>63.95348837209302</v>
      </c>
      <c r="C3" s="478" t="s">
        <v>387</v>
      </c>
    </row>
    <row r="4" spans="2:7">
      <c r="B4">
        <f>(12+(0.75*'Oil Line Calcs'!B30))/('Oil Line Calcs'!E25*'Oil Line Calcs'!B27)</f>
        <v>122.09302325581395</v>
      </c>
      <c r="C4" s="478" t="s">
        <v>388</v>
      </c>
      <c r="G4" t="s">
        <v>451</v>
      </c>
    </row>
    <row r="5" spans="2:7">
      <c r="B5">
        <f>IF((17-(0.75*'Oil Line Calcs'!B30))/('Oil Line Calcs'!E25*'Oil Line Calcs'!B27)&gt;100,100,(17-(0.75*'Oil Line Calcs'!B30))/('Oil Line Calcs'!E25*'Oil Line Calcs'!B27))</f>
        <v>100</v>
      </c>
      <c r="C5" s="478" t="s">
        <v>389</v>
      </c>
    </row>
    <row r="6" spans="2:7">
      <c r="B6">
        <f>IF((17+(0.75*'Oil Line Calcs'!B30))/('Oil Line Calcs'!E25*'Oil Line Calcs'!B27)&gt;100, 100,(17+(0.75*'Oil Line Calcs'!B30))/('Oil Line Calcs'!E25*'Oil Line Calcs'!B27))</f>
        <v>100</v>
      </c>
      <c r="C6" s="479" t="s">
        <v>390</v>
      </c>
    </row>
    <row r="9" spans="2:7">
      <c r="B9" s="480" t="s">
        <v>391</v>
      </c>
      <c r="C9" s="481"/>
    </row>
    <row r="10" spans="2:7">
      <c r="B10" s="482" t="s">
        <v>392</v>
      </c>
      <c r="C10" s="483"/>
    </row>
    <row r="11" spans="2:7">
      <c r="B11" s="482" t="s">
        <v>393</v>
      </c>
      <c r="C11" s="484"/>
    </row>
    <row r="12" spans="2:7">
      <c r="B12" s="485" t="s">
        <v>394</v>
      </c>
      <c r="C12" s="486"/>
    </row>
    <row r="14" spans="2:7">
      <c r="B14" s="487" t="s">
        <v>395</v>
      </c>
      <c r="C14" s="488"/>
    </row>
    <row r="15" spans="2:7">
      <c r="B15" s="482" t="s">
        <v>396</v>
      </c>
      <c r="C15" s="484"/>
    </row>
    <row r="16" spans="2:7">
      <c r="B16" s="485" t="s">
        <v>397</v>
      </c>
      <c r="C16" s="486"/>
    </row>
    <row r="18" spans="2:3">
      <c r="B18" s="489" t="s">
        <v>398</v>
      </c>
      <c r="C18" s="488"/>
    </row>
    <row r="19" spans="2:3">
      <c r="B19" s="490" t="s">
        <v>399</v>
      </c>
      <c r="C19" s="484"/>
    </row>
    <row r="20" spans="2:3">
      <c r="B20" s="491" t="s">
        <v>400</v>
      </c>
      <c r="C20" s="486"/>
    </row>
    <row r="22" spans="2:3">
      <c r="B22" s="480"/>
      <c r="C22" s="492" t="s">
        <v>401</v>
      </c>
    </row>
    <row r="23" spans="2:3">
      <c r="B23" s="482" t="s">
        <v>402</v>
      </c>
      <c r="C23" s="484">
        <v>138690</v>
      </c>
    </row>
    <row r="24" spans="2:3">
      <c r="B24" s="482" t="s">
        <v>403</v>
      </c>
      <c r="C24" s="484">
        <v>126700</v>
      </c>
    </row>
    <row r="25" spans="2:3">
      <c r="B25" s="485" t="s">
        <v>404</v>
      </c>
      <c r="C25" s="486">
        <v>119550</v>
      </c>
    </row>
  </sheetData>
  <sheetProtection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3:E40"/>
  <sheetViews>
    <sheetView showGridLines="0" workbookViewId="0"/>
  </sheetViews>
  <sheetFormatPr defaultRowHeight="15"/>
  <cols>
    <col min="2" max="2" width="15.28515625" customWidth="1"/>
    <col min="3" max="3" width="35" customWidth="1"/>
    <col min="4" max="4" width="14.85546875" customWidth="1"/>
  </cols>
  <sheetData>
    <row r="3" spans="2:5">
      <c r="B3" t="s">
        <v>405</v>
      </c>
      <c r="C3" s="478"/>
    </row>
    <row r="4" spans="2:5">
      <c r="B4" s="493"/>
      <c r="C4" s="494" t="s">
        <v>406</v>
      </c>
      <c r="D4" s="495"/>
      <c r="E4" s="496"/>
    </row>
    <row r="5" spans="2:5">
      <c r="B5" s="497"/>
      <c r="C5" s="498" t="s">
        <v>407</v>
      </c>
      <c r="D5" s="498" t="s">
        <v>408</v>
      </c>
      <c r="E5" s="499"/>
    </row>
    <row r="6" spans="2:5">
      <c r="B6" s="500"/>
      <c r="C6" s="501" t="s">
        <v>409</v>
      </c>
      <c r="D6" s="502">
        <v>15</v>
      </c>
      <c r="E6" s="503"/>
    </row>
    <row r="7" spans="2:5">
      <c r="B7" s="490"/>
      <c r="C7" s="504" t="s">
        <v>410</v>
      </c>
      <c r="D7" s="505">
        <v>15</v>
      </c>
      <c r="E7" s="484"/>
    </row>
    <row r="8" spans="2:5">
      <c r="B8" s="490"/>
      <c r="C8" s="504" t="s">
        <v>411</v>
      </c>
      <c r="D8" s="505">
        <v>17</v>
      </c>
      <c r="E8" s="484"/>
    </row>
    <row r="9" spans="2:5">
      <c r="B9" s="490"/>
      <c r="C9" s="504" t="s">
        <v>412</v>
      </c>
      <c r="D9" s="505">
        <v>15</v>
      </c>
      <c r="E9" s="484"/>
    </row>
    <row r="10" spans="2:5">
      <c r="B10" s="490"/>
      <c r="C10" s="504" t="s">
        <v>413</v>
      </c>
      <c r="D10" s="505">
        <v>17</v>
      </c>
      <c r="E10" s="484"/>
    </row>
    <row r="11" spans="2:5">
      <c r="B11" s="490"/>
      <c r="C11" s="504" t="s">
        <v>414</v>
      </c>
      <c r="D11" s="505">
        <v>15</v>
      </c>
      <c r="E11" s="484"/>
    </row>
    <row r="12" spans="2:5">
      <c r="B12" s="490"/>
      <c r="C12" s="504" t="s">
        <v>415</v>
      </c>
      <c r="D12" s="505">
        <v>20</v>
      </c>
      <c r="E12" s="484"/>
    </row>
    <row r="13" spans="2:5">
      <c r="B13" s="490"/>
      <c r="C13" s="504" t="s">
        <v>416</v>
      </c>
      <c r="D13" s="505">
        <v>21</v>
      </c>
      <c r="E13" s="484"/>
    </row>
    <row r="14" spans="2:5">
      <c r="B14" s="490"/>
      <c r="C14" s="504" t="s">
        <v>417</v>
      </c>
      <c r="D14" s="505">
        <v>25</v>
      </c>
      <c r="E14" s="484"/>
    </row>
    <row r="15" spans="2:5">
      <c r="B15" s="490"/>
      <c r="C15" s="504" t="s">
        <v>418</v>
      </c>
      <c r="D15" s="505">
        <v>28</v>
      </c>
      <c r="E15" s="484"/>
    </row>
    <row r="16" spans="2:5">
      <c r="B16" s="490"/>
      <c r="C16" s="504" t="s">
        <v>419</v>
      </c>
      <c r="D16" s="505">
        <v>33</v>
      </c>
      <c r="E16" s="484"/>
    </row>
    <row r="17" spans="2:5">
      <c r="B17" s="490"/>
      <c r="C17" s="504" t="s">
        <v>420</v>
      </c>
      <c r="D17" s="505">
        <v>39</v>
      </c>
      <c r="E17" s="484"/>
    </row>
    <row r="18" spans="2:5">
      <c r="B18" s="490"/>
      <c r="C18" s="504" t="s">
        <v>421</v>
      </c>
      <c r="D18" s="505">
        <v>17</v>
      </c>
      <c r="E18" s="484"/>
    </row>
    <row r="19" spans="2:5">
      <c r="B19" s="490"/>
      <c r="C19" s="504"/>
      <c r="D19" s="505"/>
      <c r="E19" s="484"/>
    </row>
    <row r="20" spans="2:5">
      <c r="B20" s="490"/>
      <c r="C20" s="504"/>
      <c r="D20" s="505"/>
      <c r="E20" s="484"/>
    </row>
    <row r="21" spans="2:5">
      <c r="B21" s="490"/>
      <c r="C21" s="505"/>
      <c r="D21" s="505"/>
      <c r="E21" s="484"/>
    </row>
    <row r="22" spans="2:5">
      <c r="B22" s="490"/>
      <c r="C22" s="505"/>
      <c r="D22" s="505"/>
      <c r="E22" s="484"/>
    </row>
    <row r="23" spans="2:5">
      <c r="B23" s="490"/>
      <c r="C23" s="505"/>
      <c r="D23" s="505"/>
      <c r="E23" s="484"/>
    </row>
    <row r="24" spans="2:5">
      <c r="B24" s="490"/>
      <c r="C24" s="505"/>
      <c r="D24" s="505"/>
      <c r="E24" s="484"/>
    </row>
    <row r="25" spans="2:5">
      <c r="B25" s="490"/>
      <c r="C25" s="505"/>
      <c r="D25" s="505"/>
      <c r="E25" s="484"/>
    </row>
    <row r="26" spans="2:5">
      <c r="B26" s="490"/>
      <c r="C26" s="505"/>
      <c r="D26" s="505"/>
      <c r="E26" s="484"/>
    </row>
    <row r="27" spans="2:5">
      <c r="B27" s="490"/>
      <c r="C27" s="505"/>
      <c r="D27" s="505"/>
      <c r="E27" s="484"/>
    </row>
    <row r="28" spans="2:5">
      <c r="B28" s="490"/>
      <c r="C28" s="505"/>
      <c r="D28" s="505"/>
      <c r="E28" s="484"/>
    </row>
    <row r="29" spans="2:5">
      <c r="B29" s="490"/>
      <c r="C29" s="505"/>
      <c r="D29" s="505"/>
      <c r="E29" s="484"/>
    </row>
    <row r="30" spans="2:5">
      <c r="B30" s="506"/>
      <c r="C30" s="505"/>
      <c r="D30" s="505"/>
      <c r="E30" s="484"/>
    </row>
    <row r="31" spans="2:5">
      <c r="B31" s="506"/>
      <c r="C31" s="505"/>
      <c r="D31" s="505"/>
      <c r="E31" s="484"/>
    </row>
    <row r="32" spans="2:5">
      <c r="B32" s="506"/>
      <c r="C32" s="505"/>
      <c r="D32" s="505"/>
      <c r="E32" s="484"/>
    </row>
    <row r="33" spans="2:5">
      <c r="B33" s="506"/>
      <c r="C33" s="505"/>
      <c r="D33" s="505"/>
      <c r="E33" s="484"/>
    </row>
    <row r="34" spans="2:5">
      <c r="B34" s="506"/>
      <c r="C34" s="505"/>
      <c r="D34" s="505"/>
      <c r="E34" s="484"/>
    </row>
    <row r="35" spans="2:5">
      <c r="B35" s="506"/>
      <c r="C35" s="505"/>
      <c r="D35" s="505"/>
      <c r="E35" s="484"/>
    </row>
    <row r="36" spans="2:5">
      <c r="B36" s="506"/>
      <c r="C36" s="505"/>
      <c r="D36" s="505"/>
      <c r="E36" s="484"/>
    </row>
    <row r="37" spans="2:5">
      <c r="B37" s="506"/>
      <c r="C37" s="505"/>
      <c r="D37" s="505"/>
      <c r="E37" s="484"/>
    </row>
    <row r="38" spans="2:5">
      <c r="B38" s="506"/>
      <c r="C38" s="505"/>
      <c r="D38" s="505"/>
      <c r="E38" s="484"/>
    </row>
    <row r="39" spans="2:5">
      <c r="B39" s="506"/>
      <c r="C39" s="505"/>
      <c r="D39" s="505"/>
      <c r="E39" s="484"/>
    </row>
    <row r="40" spans="2:5">
      <c r="B40" s="507"/>
      <c r="C40" s="508"/>
      <c r="D40" s="508"/>
      <c r="E40" s="486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60"/>
  <sheetViews>
    <sheetView showGridLines="0" topLeftCell="A40" workbookViewId="0">
      <selection activeCell="B1" sqref="B1"/>
    </sheetView>
  </sheetViews>
  <sheetFormatPr defaultRowHeight="15"/>
  <cols>
    <col min="1" max="1" width="7.42578125" style="4" customWidth="1"/>
    <col min="2" max="2" width="21.140625" style="4" customWidth="1"/>
    <col min="3" max="3" width="2.140625" style="4" customWidth="1"/>
    <col min="4" max="4" width="11.85546875" style="4" customWidth="1"/>
    <col min="5" max="5" width="2.85546875" style="4" customWidth="1"/>
    <col min="6" max="6" width="13.28515625" style="4" customWidth="1"/>
    <col min="7" max="7" width="3.5703125" style="4" customWidth="1"/>
    <col min="8" max="8" width="8.42578125" style="4" customWidth="1"/>
    <col min="9" max="9" width="2.7109375" style="4" customWidth="1"/>
    <col min="10" max="16384" width="9.140625" style="4"/>
  </cols>
  <sheetData>
    <row r="1" spans="2:9" s="200" customFormat="1" ht="18.75">
      <c r="B1" s="201" t="s">
        <v>312</v>
      </c>
    </row>
    <row r="2" spans="2:9">
      <c r="B2" s="5" t="s">
        <v>57</v>
      </c>
      <c r="C2" s="6"/>
      <c r="D2" s="6"/>
      <c r="E2" s="6"/>
      <c r="F2" s="6"/>
      <c r="G2" s="6"/>
      <c r="H2" s="6"/>
      <c r="I2" s="7"/>
    </row>
    <row r="3" spans="2:9">
      <c r="B3" s="16" t="s">
        <v>20</v>
      </c>
      <c r="C3" s="3"/>
      <c r="D3" s="3"/>
      <c r="E3" s="3"/>
      <c r="F3" s="3"/>
      <c r="G3" s="3"/>
      <c r="H3" s="3"/>
      <c r="I3" s="12"/>
    </row>
    <row r="4" spans="2:9">
      <c r="B4" s="16" t="s">
        <v>51</v>
      </c>
      <c r="C4" s="3"/>
      <c r="D4" s="3"/>
      <c r="E4" s="3"/>
      <c r="F4" s="3"/>
      <c r="G4" s="3"/>
      <c r="H4" s="3"/>
      <c r="I4" s="12"/>
    </row>
    <row r="5" spans="2:9">
      <c r="B5" s="16"/>
      <c r="C5" s="3"/>
      <c r="D5" s="3"/>
      <c r="E5" s="3"/>
      <c r="F5" s="3"/>
      <c r="G5" s="3"/>
      <c r="H5" s="3"/>
      <c r="I5" s="12"/>
    </row>
    <row r="6" spans="2:9" ht="15.75" thickBot="1">
      <c r="B6" s="8" t="s">
        <v>21</v>
      </c>
      <c r="C6" s="9" t="s">
        <v>2</v>
      </c>
      <c r="D6" s="10" t="s">
        <v>25</v>
      </c>
      <c r="E6" s="11"/>
      <c r="F6" s="10" t="s">
        <v>23</v>
      </c>
      <c r="G6" s="10"/>
      <c r="H6" s="10" t="s">
        <v>22</v>
      </c>
      <c r="I6" s="12"/>
    </row>
    <row r="7" spans="2:9">
      <c r="B7" s="20">
        <f>(H7*F7)/D7</f>
        <v>1200</v>
      </c>
      <c r="C7" s="13"/>
      <c r="D7" s="1">
        <v>825</v>
      </c>
      <c r="E7" s="14"/>
      <c r="F7" s="1">
        <v>1000</v>
      </c>
      <c r="G7" s="13"/>
      <c r="H7" s="1">
        <v>990</v>
      </c>
      <c r="I7" s="12"/>
    </row>
    <row r="8" spans="2:9">
      <c r="B8" s="22"/>
      <c r="C8" s="23"/>
      <c r="D8" s="23"/>
      <c r="E8" s="23"/>
      <c r="F8" s="23"/>
      <c r="G8" s="23"/>
      <c r="H8" s="23"/>
      <c r="I8" s="12"/>
    </row>
    <row r="9" spans="2:9" ht="15.75" thickBot="1">
      <c r="B9" s="24" t="s">
        <v>24</v>
      </c>
      <c r="C9" s="9"/>
      <c r="D9" s="9" t="s">
        <v>63</v>
      </c>
      <c r="E9" s="9"/>
      <c r="F9" s="10" t="s">
        <v>25</v>
      </c>
      <c r="G9" s="10"/>
      <c r="H9" s="10" t="s">
        <v>21</v>
      </c>
      <c r="I9" s="12"/>
    </row>
    <row r="10" spans="2:9">
      <c r="B10" s="25">
        <f>(H10*F10)/D10</f>
        <v>990</v>
      </c>
      <c r="C10" s="13"/>
      <c r="D10" s="1">
        <v>1000</v>
      </c>
      <c r="E10" s="26"/>
      <c r="F10" s="1">
        <v>825</v>
      </c>
      <c r="G10" s="13"/>
      <c r="H10" s="1">
        <v>1200</v>
      </c>
      <c r="I10" s="15"/>
    </row>
    <row r="12" spans="2:9">
      <c r="B12" s="5" t="s">
        <v>58</v>
      </c>
      <c r="C12" s="6"/>
      <c r="D12" s="6"/>
      <c r="E12" s="6"/>
      <c r="F12" s="6"/>
      <c r="G12" s="6"/>
      <c r="H12" s="6"/>
      <c r="I12" s="7"/>
    </row>
    <row r="13" spans="2:9">
      <c r="B13" s="16" t="s">
        <v>26</v>
      </c>
      <c r="C13" s="3"/>
      <c r="D13" s="3"/>
      <c r="E13" s="3"/>
      <c r="F13" s="3"/>
      <c r="G13" s="3"/>
      <c r="H13" s="3"/>
      <c r="I13" s="12"/>
    </row>
    <row r="14" spans="2:9">
      <c r="B14" s="16" t="s">
        <v>27</v>
      </c>
      <c r="C14" s="3"/>
      <c r="D14" s="3"/>
      <c r="E14" s="3"/>
      <c r="F14" s="3"/>
      <c r="G14" s="3"/>
      <c r="H14" s="3"/>
      <c r="I14" s="12"/>
    </row>
    <row r="15" spans="2:9">
      <c r="B15" s="16"/>
      <c r="C15" s="3"/>
      <c r="D15" s="3"/>
      <c r="E15" s="3"/>
      <c r="F15" s="3"/>
      <c r="G15" s="3"/>
      <c r="H15" s="3"/>
      <c r="I15" s="12"/>
    </row>
    <row r="16" spans="2:9" ht="15.75" thickBot="1">
      <c r="B16" s="8" t="s">
        <v>28</v>
      </c>
      <c r="C16" s="9" t="s">
        <v>2</v>
      </c>
      <c r="D16" s="10" t="s">
        <v>29</v>
      </c>
      <c r="E16" s="11"/>
      <c r="F16" s="10" t="s">
        <v>25</v>
      </c>
      <c r="G16" s="10"/>
      <c r="H16" s="10" t="s">
        <v>22</v>
      </c>
      <c r="I16" s="12"/>
    </row>
    <row r="17" spans="2:9">
      <c r="B17" s="54">
        <f>(H17/F17)^2 * D17</f>
        <v>0.72</v>
      </c>
      <c r="C17" s="13"/>
      <c r="D17" s="1">
        <v>0.5</v>
      </c>
      <c r="E17" s="14"/>
      <c r="F17" s="1">
        <v>825</v>
      </c>
      <c r="G17" s="13"/>
      <c r="H17" s="1">
        <v>990</v>
      </c>
      <c r="I17" s="15"/>
    </row>
    <row r="19" spans="2:9">
      <c r="B19" s="5" t="s">
        <v>59</v>
      </c>
      <c r="C19" s="6"/>
      <c r="D19" s="6"/>
      <c r="E19" s="6"/>
      <c r="F19" s="6"/>
      <c r="G19" s="6"/>
      <c r="H19" s="6"/>
      <c r="I19" s="7"/>
    </row>
    <row r="20" spans="2:9">
      <c r="B20" s="16" t="s">
        <v>30</v>
      </c>
      <c r="C20" s="3"/>
      <c r="D20" s="3"/>
      <c r="E20" s="3"/>
      <c r="F20" s="3"/>
      <c r="G20" s="3"/>
      <c r="H20" s="3"/>
      <c r="I20" s="12"/>
    </row>
    <row r="21" spans="2:9">
      <c r="B21" s="16" t="s">
        <v>31</v>
      </c>
      <c r="C21" s="3"/>
      <c r="D21" s="3"/>
      <c r="E21" s="3"/>
      <c r="F21" s="3"/>
      <c r="G21" s="3"/>
      <c r="H21" s="3"/>
      <c r="I21" s="12"/>
    </row>
    <row r="22" spans="2:9">
      <c r="B22" s="16"/>
      <c r="C22" s="3"/>
      <c r="D22" s="3"/>
      <c r="E22" s="3"/>
      <c r="F22" s="3"/>
      <c r="G22" s="3"/>
      <c r="H22" s="3"/>
      <c r="I22" s="12"/>
    </row>
    <row r="23" spans="2:9" ht="15.75" thickBot="1">
      <c r="B23" s="8" t="s">
        <v>32</v>
      </c>
      <c r="C23" s="9" t="s">
        <v>2</v>
      </c>
      <c r="D23" s="10" t="s">
        <v>33</v>
      </c>
      <c r="E23" s="11"/>
      <c r="F23" s="10" t="s">
        <v>22</v>
      </c>
      <c r="G23" s="10"/>
      <c r="H23" s="10" t="s">
        <v>25</v>
      </c>
      <c r="I23" s="12"/>
    </row>
    <row r="24" spans="2:9">
      <c r="B24" s="27">
        <f>(F24/H24)^3 * D24</f>
        <v>0.57023999999999997</v>
      </c>
      <c r="C24" s="13"/>
      <c r="D24" s="1">
        <v>0.33</v>
      </c>
      <c r="E24" s="14"/>
      <c r="F24" s="1">
        <v>990</v>
      </c>
      <c r="G24" s="13"/>
      <c r="H24" s="1">
        <v>825</v>
      </c>
      <c r="I24" s="15"/>
    </row>
    <row r="26" spans="2:9">
      <c r="B26" s="5" t="s">
        <v>34</v>
      </c>
      <c r="C26" s="6"/>
      <c r="D26" s="6"/>
      <c r="E26" s="6"/>
      <c r="F26" s="6"/>
      <c r="G26" s="6"/>
      <c r="H26" s="6"/>
      <c r="I26" s="7"/>
    </row>
    <row r="27" spans="2:9" ht="21.75" customHeight="1">
      <c r="B27" s="16"/>
      <c r="C27" s="3"/>
      <c r="D27" s="18" t="s">
        <v>38</v>
      </c>
      <c r="E27" s="3"/>
      <c r="F27" s="18" t="s">
        <v>38</v>
      </c>
      <c r="G27" s="3"/>
      <c r="H27" s="3"/>
      <c r="I27" s="12"/>
    </row>
    <row r="28" spans="2:9" ht="15.75" thickBot="1">
      <c r="B28" s="8" t="s">
        <v>35</v>
      </c>
      <c r="C28" s="9" t="s">
        <v>2</v>
      </c>
      <c r="D28" s="11" t="s">
        <v>37</v>
      </c>
      <c r="E28" s="11"/>
      <c r="F28" s="11" t="s">
        <v>39</v>
      </c>
      <c r="G28" s="10"/>
      <c r="H28" s="10" t="s">
        <v>36</v>
      </c>
      <c r="I28" s="12"/>
    </row>
    <row r="29" spans="2:9">
      <c r="B29" s="20">
        <f>(F29/D29) *H29</f>
        <v>739.28571428571422</v>
      </c>
      <c r="C29" s="13"/>
      <c r="D29" s="1">
        <v>7</v>
      </c>
      <c r="E29" s="14"/>
      <c r="F29" s="1">
        <v>3</v>
      </c>
      <c r="G29" s="13"/>
      <c r="H29" s="1">
        <v>1725</v>
      </c>
      <c r="I29" s="15"/>
    </row>
    <row r="30" spans="2:9" ht="15" customHeight="1"/>
    <row r="31" spans="2:9">
      <c r="B31" s="5" t="s">
        <v>248</v>
      </c>
      <c r="C31" s="6"/>
      <c r="D31" s="6"/>
      <c r="E31" s="6"/>
      <c r="F31" s="6"/>
      <c r="G31" s="6"/>
      <c r="H31" s="6"/>
      <c r="I31" s="7"/>
    </row>
    <row r="32" spans="2:9">
      <c r="B32" s="16">
        <f>2*H34+(1.57*(F34+D34))+((F34-D34)^2/(4*H34))</f>
        <v>52.580000000000005</v>
      </c>
      <c r="C32" s="3"/>
      <c r="D32" s="18" t="s">
        <v>38</v>
      </c>
      <c r="E32" s="3"/>
      <c r="F32" s="18" t="s">
        <v>38</v>
      </c>
      <c r="G32" s="3"/>
      <c r="H32" s="18" t="s">
        <v>251</v>
      </c>
      <c r="I32" s="12"/>
    </row>
    <row r="33" spans="2:9" ht="15.75" thickBot="1">
      <c r="B33" s="8" t="s">
        <v>250</v>
      </c>
      <c r="C33" s="9" t="s">
        <v>2</v>
      </c>
      <c r="D33" s="11" t="s">
        <v>37</v>
      </c>
      <c r="E33" s="11"/>
      <c r="F33" s="11" t="s">
        <v>39</v>
      </c>
      <c r="G33" s="10"/>
      <c r="H33" s="11" t="s">
        <v>249</v>
      </c>
      <c r="I33" s="12"/>
    </row>
    <row r="34" spans="2:9">
      <c r="B34" s="95" t="str">
        <f>B32 &amp;"""" &amp; " or " &amp; INT(B32) &amp; " " &amp;TEXT(MOD(MROUND(B32,1/16),1),"#-#/##")&amp;""""</f>
        <v>52.58" or 52 9/16"</v>
      </c>
      <c r="C34" s="13"/>
      <c r="D34" s="1">
        <v>4</v>
      </c>
      <c r="E34" s="14"/>
      <c r="F34" s="1">
        <v>10</v>
      </c>
      <c r="G34" s="13"/>
      <c r="H34" s="1">
        <v>15</v>
      </c>
      <c r="I34" s="15"/>
    </row>
    <row r="36" spans="2:9">
      <c r="B36" s="5" t="s">
        <v>64</v>
      </c>
      <c r="C36" s="6"/>
      <c r="D36" s="6"/>
      <c r="E36" s="6"/>
      <c r="F36" s="6"/>
      <c r="G36" s="6"/>
      <c r="H36" s="6"/>
      <c r="I36" s="7"/>
    </row>
    <row r="37" spans="2:9">
      <c r="B37" s="76" t="s">
        <v>74</v>
      </c>
      <c r="C37" s="3"/>
      <c r="D37" s="3"/>
      <c r="E37" s="3"/>
      <c r="F37" s="3"/>
      <c r="G37" s="3"/>
      <c r="H37" s="3"/>
      <c r="I37" s="12"/>
    </row>
    <row r="38" spans="2:9" ht="15.75" thickBot="1">
      <c r="B38" s="8" t="s">
        <v>65</v>
      </c>
      <c r="C38" s="9" t="s">
        <v>2</v>
      </c>
      <c r="D38" s="10" t="s">
        <v>67</v>
      </c>
      <c r="E38" s="11"/>
      <c r="F38" s="10" t="s">
        <v>68</v>
      </c>
      <c r="G38" s="10"/>
      <c r="H38" s="10" t="s">
        <v>69</v>
      </c>
      <c r="I38" s="12"/>
    </row>
    <row r="39" spans="2:9">
      <c r="B39" s="27">
        <f>D39+F39+H39</f>
        <v>27.5</v>
      </c>
      <c r="C39" s="13" t="s">
        <v>2</v>
      </c>
      <c r="D39" s="1">
        <v>5</v>
      </c>
      <c r="E39" s="14"/>
      <c r="F39" s="1">
        <v>10</v>
      </c>
      <c r="G39" s="13"/>
      <c r="H39" s="1">
        <v>12.5</v>
      </c>
      <c r="I39" s="12"/>
    </row>
    <row r="40" spans="2:9">
      <c r="B40" s="5"/>
      <c r="C40" s="3"/>
      <c r="D40" s="3"/>
      <c r="E40" s="3"/>
      <c r="F40" s="3"/>
      <c r="G40" s="3"/>
      <c r="H40" s="3"/>
      <c r="I40" s="12"/>
    </row>
    <row r="41" spans="2:9" ht="15.75" thickBot="1">
      <c r="B41" s="8" t="s">
        <v>100</v>
      </c>
      <c r="C41" s="9" t="s">
        <v>2</v>
      </c>
      <c r="D41" s="10" t="s">
        <v>70</v>
      </c>
      <c r="E41" s="9"/>
      <c r="F41" s="10" t="s">
        <v>71</v>
      </c>
      <c r="G41" s="10"/>
      <c r="H41" s="10" t="s">
        <v>72</v>
      </c>
      <c r="I41" s="12"/>
    </row>
    <row r="42" spans="2:9">
      <c r="B42" s="103">
        <f>MIN(D42,F42,H42)</f>
        <v>330</v>
      </c>
      <c r="C42" s="100" t="s">
        <v>2</v>
      </c>
      <c r="D42" s="48">
        <v>330</v>
      </c>
      <c r="E42" s="100"/>
      <c r="F42" s="48">
        <v>440</v>
      </c>
      <c r="G42" s="100"/>
      <c r="H42" s="48">
        <v>333</v>
      </c>
      <c r="I42" s="12"/>
    </row>
    <row r="43" spans="2:9">
      <c r="B43" s="30"/>
      <c r="C43" s="3"/>
      <c r="D43" s="75"/>
      <c r="E43" s="3"/>
      <c r="F43" s="75"/>
      <c r="G43" s="75"/>
      <c r="H43" s="75"/>
      <c r="I43" s="12"/>
    </row>
    <row r="44" spans="2:9">
      <c r="B44" s="30"/>
      <c r="C44" s="3"/>
      <c r="D44" s="75"/>
      <c r="E44" s="3"/>
      <c r="F44" s="75"/>
      <c r="G44" s="75"/>
      <c r="H44" s="75"/>
      <c r="I44" s="12"/>
    </row>
    <row r="45" spans="2:9">
      <c r="B45" s="76" t="s">
        <v>66</v>
      </c>
      <c r="C45" s="3"/>
      <c r="D45" s="3"/>
      <c r="E45" s="3"/>
      <c r="F45" s="3"/>
      <c r="G45" s="3"/>
      <c r="H45" s="3"/>
      <c r="I45" s="12"/>
    </row>
    <row r="46" spans="2:9" ht="15.75" thickBot="1">
      <c r="B46" s="8" t="s">
        <v>65</v>
      </c>
      <c r="C46" s="9" t="s">
        <v>2</v>
      </c>
      <c r="D46" s="10" t="s">
        <v>67</v>
      </c>
      <c r="E46" s="11"/>
      <c r="F46" s="10" t="s">
        <v>68</v>
      </c>
      <c r="G46" s="10"/>
      <c r="H46" s="10" t="s">
        <v>69</v>
      </c>
      <c r="I46" s="12"/>
    </row>
    <row r="47" spans="2:9">
      <c r="B47" s="27">
        <f>1/(IFERROR(1/D47,0) + IFERROR(1/F47,0) + IFERROR(1/H47,0))</f>
        <v>7.1590909090909092</v>
      </c>
      <c r="C47" s="13" t="s">
        <v>2</v>
      </c>
      <c r="D47" s="1">
        <v>35</v>
      </c>
      <c r="E47" s="14"/>
      <c r="F47" s="1">
        <v>15</v>
      </c>
      <c r="G47" s="13"/>
      <c r="H47" s="1">
        <v>22.5</v>
      </c>
      <c r="I47" s="12"/>
    </row>
    <row r="48" spans="2:9">
      <c r="B48" s="97"/>
      <c r="C48" s="98"/>
      <c r="D48" s="75"/>
      <c r="E48" s="75"/>
      <c r="F48" s="75"/>
      <c r="G48" s="75"/>
      <c r="H48" s="75"/>
      <c r="I48" s="63"/>
    </row>
    <row r="49" spans="2:9" ht="15.75" thickBot="1">
      <c r="B49" s="96" t="s">
        <v>73</v>
      </c>
      <c r="C49" s="31" t="s">
        <v>2</v>
      </c>
      <c r="D49" s="75" t="s">
        <v>70</v>
      </c>
      <c r="E49" s="3"/>
      <c r="F49" s="75" t="s">
        <v>71</v>
      </c>
      <c r="G49" s="75"/>
      <c r="H49" s="75" t="s">
        <v>72</v>
      </c>
      <c r="I49" s="12"/>
    </row>
    <row r="50" spans="2:9">
      <c r="B50" s="99">
        <f>D50+F50+H50</f>
        <v>1103</v>
      </c>
      <c r="C50" s="100" t="s">
        <v>2</v>
      </c>
      <c r="D50" s="48">
        <v>330</v>
      </c>
      <c r="E50" s="100"/>
      <c r="F50" s="48">
        <v>440</v>
      </c>
      <c r="G50" s="100"/>
      <c r="H50" s="48">
        <v>333</v>
      </c>
      <c r="I50" s="12"/>
    </row>
    <row r="51" spans="2:9">
      <c r="B51" s="25"/>
      <c r="C51" s="13"/>
      <c r="D51" s="13"/>
      <c r="E51" s="13"/>
      <c r="F51" s="13"/>
      <c r="G51" s="13"/>
      <c r="H51" s="13"/>
      <c r="I51" s="15"/>
    </row>
    <row r="55" spans="2:9" ht="17.25" customHeight="1"/>
    <row r="56" spans="2:9" ht="17.25" customHeight="1"/>
    <row r="57" spans="2:9" ht="15.75" customHeight="1"/>
    <row r="60" spans="2:9" ht="15" customHeight="1"/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6"/>
  <sheetViews>
    <sheetView showGridLines="0" topLeftCell="A76" workbookViewId="0">
      <selection activeCell="L102" sqref="L102"/>
    </sheetView>
  </sheetViews>
  <sheetFormatPr defaultRowHeight="15"/>
  <cols>
    <col min="1" max="1" width="5.7109375" style="4" customWidth="1"/>
    <col min="2" max="2" width="20.7109375" style="4" customWidth="1"/>
    <col min="3" max="3" width="2.85546875" style="4" customWidth="1"/>
    <col min="4" max="4" width="12.140625" style="4" customWidth="1"/>
    <col min="5" max="5" width="2.85546875" style="4" customWidth="1"/>
    <col min="6" max="6" width="12.7109375" style="4" customWidth="1"/>
    <col min="7" max="7" width="2.85546875" style="4" customWidth="1"/>
    <col min="8" max="8" width="13" style="4" customWidth="1"/>
    <col min="9" max="9" width="2.7109375" style="4" customWidth="1"/>
    <col min="10" max="10" width="17" style="4" customWidth="1"/>
    <col min="11" max="16384" width="9.140625" style="4"/>
  </cols>
  <sheetData>
    <row r="1" spans="1:10" s="200" customFormat="1" ht="18.75">
      <c r="B1" s="201" t="s">
        <v>197</v>
      </c>
    </row>
    <row r="2" spans="1:10">
      <c r="A2" s="53"/>
      <c r="B2" s="5" t="s">
        <v>103</v>
      </c>
      <c r="C2" s="6"/>
      <c r="D2" s="6"/>
      <c r="E2" s="6"/>
      <c r="F2" s="6"/>
      <c r="G2" s="6"/>
      <c r="H2" s="6"/>
      <c r="I2" s="6"/>
      <c r="J2" s="7"/>
    </row>
    <row r="3" spans="1:10">
      <c r="A3" s="39"/>
      <c r="B3" s="16"/>
      <c r="C3" s="3"/>
      <c r="D3" s="3"/>
      <c r="E3" s="3"/>
      <c r="F3" s="108">
        <f>ROUND((D5-32) * (5/9),2)</f>
        <v>23.89</v>
      </c>
      <c r="G3" s="108"/>
      <c r="H3" s="108">
        <v>17.625</v>
      </c>
      <c r="I3" s="3"/>
      <c r="J3" s="12"/>
    </row>
    <row r="4" spans="1:10" ht="15.75" thickBot="1">
      <c r="A4" s="39"/>
      <c r="B4" s="8" t="s">
        <v>107</v>
      </c>
      <c r="C4" s="9"/>
      <c r="D4" s="10" t="s">
        <v>104</v>
      </c>
      <c r="E4" s="11"/>
      <c r="F4" s="10" t="s">
        <v>92</v>
      </c>
      <c r="G4" s="75"/>
      <c r="H4" s="108">
        <v>243.04</v>
      </c>
      <c r="I4" s="3"/>
      <c r="J4" s="12"/>
    </row>
    <row r="5" spans="1:10">
      <c r="A5" s="40"/>
      <c r="B5" s="27">
        <f>((H4*H5)/(H3-H5)*(9/5))+32</f>
        <v>62.441285274143837</v>
      </c>
      <c r="C5" s="13" t="s">
        <v>106</v>
      </c>
      <c r="D5" s="1">
        <v>75</v>
      </c>
      <c r="E5" s="14" t="s">
        <v>106</v>
      </c>
      <c r="F5" s="1">
        <v>65</v>
      </c>
      <c r="G5" s="13" t="s">
        <v>105</v>
      </c>
      <c r="H5" s="107">
        <f>LN(F5/100)+(H3*F3)/(H4+F3)</f>
        <v>1.1466390671990454</v>
      </c>
      <c r="I5" s="13"/>
      <c r="J5" s="15"/>
    </row>
    <row r="6" spans="1:10">
      <c r="A6" s="39"/>
    </row>
    <row r="7" spans="1:10">
      <c r="A7" s="39"/>
      <c r="B7" s="5" t="s">
        <v>252</v>
      </c>
      <c r="C7" s="6"/>
      <c r="D7" s="6"/>
      <c r="E7" s="6"/>
      <c r="F7" s="6"/>
      <c r="G7" s="6"/>
      <c r="H7" s="6"/>
      <c r="I7" s="6"/>
      <c r="J7" s="7"/>
    </row>
    <row r="8" spans="1:10">
      <c r="A8" s="39"/>
      <c r="B8" s="16"/>
      <c r="C8" s="3"/>
      <c r="D8" s="3"/>
      <c r="E8" s="3"/>
      <c r="F8" s="3"/>
      <c r="G8" s="3"/>
      <c r="H8" s="3"/>
      <c r="I8" s="3"/>
      <c r="J8" s="12"/>
    </row>
    <row r="9" spans="1:10" ht="15.75" thickBot="1">
      <c r="A9" s="40"/>
      <c r="B9" s="8" t="s">
        <v>90</v>
      </c>
      <c r="C9" s="9"/>
      <c r="D9" s="10" t="s">
        <v>91</v>
      </c>
      <c r="E9" s="11"/>
      <c r="F9" s="10" t="s">
        <v>92</v>
      </c>
      <c r="G9" s="75"/>
      <c r="H9" s="3"/>
      <c r="I9" s="3"/>
      <c r="J9" s="12"/>
    </row>
    <row r="10" spans="1:10">
      <c r="A10" s="39"/>
      <c r="B10" s="27">
        <f>(((D10-32)*(5/9)*ATAN(0.151977*((F10+8.313659)^(1/2))))+(ATAN((D10-32)*(5/9)+F10))-(ATAN(F10-1.676331))+(0.00391838*((F10)^(3/2))*ATAN(0.023101*F10))-4.686035)*(9/5)+32</f>
        <v>64.396665443018179</v>
      </c>
      <c r="C10" s="13" t="s">
        <v>106</v>
      </c>
      <c r="D10" s="1">
        <v>77</v>
      </c>
      <c r="E10" s="14" t="s">
        <v>106</v>
      </c>
      <c r="F10" s="1">
        <v>50</v>
      </c>
      <c r="G10" s="13" t="s">
        <v>105</v>
      </c>
      <c r="H10" s="107">
        <f>(D10-32)*5/9</f>
        <v>25</v>
      </c>
      <c r="I10" s="13"/>
      <c r="J10" s="15"/>
    </row>
    <row r="11" spans="1:10">
      <c r="A11" s="39"/>
      <c r="B11" s="182" t="s">
        <v>181</v>
      </c>
      <c r="C11" s="183"/>
      <c r="D11" s="183"/>
      <c r="E11" s="183"/>
      <c r="F11" s="183"/>
      <c r="G11" s="183"/>
      <c r="H11" s="183"/>
    </row>
    <row r="12" spans="1:10">
      <c r="A12" s="39"/>
      <c r="B12" s="184"/>
      <c r="C12" s="183"/>
      <c r="D12" s="183"/>
      <c r="E12" s="183"/>
      <c r="F12" s="183"/>
      <c r="G12" s="183"/>
      <c r="H12" s="183"/>
    </row>
    <row r="13" spans="1:10">
      <c r="A13" s="39"/>
      <c r="B13" s="196" t="s">
        <v>137</v>
      </c>
      <c r="C13" s="6"/>
      <c r="D13" s="6"/>
      <c r="E13" s="6"/>
      <c r="F13" s="6"/>
      <c r="G13" s="6"/>
      <c r="H13" s="6"/>
      <c r="I13" s="6"/>
      <c r="J13" s="7"/>
    </row>
    <row r="14" spans="1:10">
      <c r="A14" s="39"/>
      <c r="B14" s="16"/>
      <c r="C14" s="3"/>
      <c r="D14" s="3"/>
      <c r="E14" s="3"/>
      <c r="F14" s="3"/>
      <c r="G14" s="3"/>
      <c r="H14" s="3"/>
      <c r="I14" s="3"/>
      <c r="J14" s="12"/>
    </row>
    <row r="15" spans="1:10">
      <c r="A15" s="39"/>
      <c r="B15" s="16"/>
      <c r="C15" s="3"/>
      <c r="D15" s="75"/>
      <c r="E15" s="75" t="s">
        <v>116</v>
      </c>
      <c r="F15" s="143">
        <v>54.9</v>
      </c>
      <c r="G15" s="75"/>
      <c r="H15" s="144">
        <f>VLOOKUP(F15,'Enthalpy Chart'!A4:B513,2,FALSE)</f>
        <v>23.16</v>
      </c>
      <c r="I15" s="15" t="s">
        <v>115</v>
      </c>
      <c r="J15" s="12"/>
    </row>
    <row r="16" spans="1:10" ht="15.75" thickBot="1">
      <c r="A16" s="39"/>
      <c r="B16" s="16"/>
      <c r="C16" s="3"/>
      <c r="D16" s="75"/>
      <c r="E16" s="75" t="s">
        <v>117</v>
      </c>
      <c r="F16" s="120">
        <v>64.400000000000006</v>
      </c>
      <c r="G16" s="75" t="s">
        <v>118</v>
      </c>
      <c r="H16" s="137">
        <f>VLOOKUP(F16,'Enthalpy Chart'!A4:B513,2,FALSE)</f>
        <v>29.61</v>
      </c>
      <c r="I16" s="119" t="s">
        <v>115</v>
      </c>
      <c r="J16" s="12"/>
    </row>
    <row r="17" spans="1:10" ht="16.5" thickTop="1" thickBot="1">
      <c r="A17" s="40"/>
      <c r="B17" s="8" t="s">
        <v>110</v>
      </c>
      <c r="C17" s="9" t="s">
        <v>2</v>
      </c>
      <c r="D17" s="11" t="s">
        <v>0</v>
      </c>
      <c r="E17" s="11" t="s">
        <v>17</v>
      </c>
      <c r="F17" s="10" t="s">
        <v>112</v>
      </c>
      <c r="G17" s="75"/>
      <c r="H17" s="138">
        <f>H16-H15</f>
        <v>6.4499999999999993</v>
      </c>
      <c r="I17" s="139" t="s">
        <v>112</v>
      </c>
      <c r="J17" s="12"/>
    </row>
    <row r="18" spans="1:10">
      <c r="A18" s="39"/>
      <c r="B18" s="112">
        <f>D18*F18*4.5</f>
        <v>23219.999999999996</v>
      </c>
      <c r="C18" s="13"/>
      <c r="D18" s="1">
        <v>800</v>
      </c>
      <c r="E18" s="14"/>
      <c r="F18" s="140">
        <f>H17</f>
        <v>6.4499999999999993</v>
      </c>
      <c r="G18" s="3"/>
      <c r="H18" s="3"/>
      <c r="I18" s="3"/>
      <c r="J18" s="12"/>
    </row>
    <row r="19" spans="1:10">
      <c r="A19" s="39"/>
      <c r="B19" s="180" t="str">
        <f>ROUND(B18/D19,1) &amp; " Tons"</f>
        <v>1.9 Tons</v>
      </c>
      <c r="C19" s="147"/>
      <c r="D19" s="181">
        <v>12000</v>
      </c>
      <c r="E19" s="147" t="s">
        <v>111</v>
      </c>
      <c r="F19" s="147"/>
      <c r="G19" s="13"/>
      <c r="H19" s="192" t="s">
        <v>119</v>
      </c>
      <c r="I19" s="13"/>
      <c r="J19" s="15"/>
    </row>
    <row r="20" spans="1:10">
      <c r="A20" s="39"/>
      <c r="B20" s="182" t="s">
        <v>146</v>
      </c>
    </row>
    <row r="21" spans="1:10">
      <c r="A21" s="39"/>
    </row>
    <row r="22" spans="1:10">
      <c r="A22" s="40"/>
      <c r="B22" s="196" t="s">
        <v>144</v>
      </c>
      <c r="C22" s="6"/>
      <c r="D22" s="6"/>
      <c r="E22" s="6"/>
      <c r="F22" s="6"/>
      <c r="G22" s="6"/>
      <c r="H22" s="6"/>
      <c r="I22" s="6"/>
      <c r="J22" s="7"/>
    </row>
    <row r="23" spans="1:10">
      <c r="A23" s="39"/>
      <c r="B23" s="16"/>
      <c r="C23" s="3"/>
      <c r="D23" s="3"/>
      <c r="E23" s="3"/>
      <c r="F23" s="3"/>
      <c r="G23" s="3"/>
      <c r="H23" s="197">
        <f>14.696*( 1-6.8754 * 10^-6 * D24)^5.2559</f>
        <v>14.419326252818152</v>
      </c>
      <c r="I23" s="3" t="s">
        <v>145</v>
      </c>
      <c r="J23" s="12"/>
    </row>
    <row r="24" spans="1:10">
      <c r="A24" s="39"/>
      <c r="B24" s="16"/>
      <c r="C24" s="75" t="s">
        <v>139</v>
      </c>
      <c r="D24" s="149">
        <v>525</v>
      </c>
      <c r="E24" s="3" t="s">
        <v>143</v>
      </c>
      <c r="F24" s="75" t="s">
        <v>142</v>
      </c>
      <c r="G24" s="3"/>
      <c r="H24" s="3"/>
      <c r="I24" s="3"/>
      <c r="J24" s="12"/>
    </row>
    <row r="25" spans="1:10">
      <c r="A25" s="41"/>
      <c r="B25" s="16"/>
      <c r="C25" s="75" t="s">
        <v>140</v>
      </c>
      <c r="D25" s="145">
        <v>59</v>
      </c>
      <c r="E25" s="147"/>
      <c r="F25" s="145">
        <v>80</v>
      </c>
      <c r="G25" s="75"/>
      <c r="H25" s="144">
        <f>0.24*D25+(0.6219)*(0.01*(0.000000007401234*D25^4-0.000000493526794*D25^3+0.000071281097208*D25^2-0.000489806163078*D25+0.039762055806989)*F25)/(H23-(0.01*(0.000000007401234*D25^4-0.000000493526794*D25^3+0.000071281097208*D25^2-0.000489806163078*D25+0.039762055806989)*F25))*(1061.2+0.444*D25)</f>
        <v>23.56820049302922</v>
      </c>
      <c r="I25" s="15" t="s">
        <v>115</v>
      </c>
      <c r="J25" s="15"/>
    </row>
    <row r="26" spans="1:10" ht="15.75" thickBot="1">
      <c r="A26" s="42"/>
      <c r="B26" s="16"/>
      <c r="C26" s="75" t="s">
        <v>141</v>
      </c>
      <c r="D26" s="146">
        <v>77</v>
      </c>
      <c r="E26" s="6"/>
      <c r="F26" s="146">
        <v>50</v>
      </c>
      <c r="G26" s="75" t="s">
        <v>118</v>
      </c>
      <c r="H26" s="148">
        <f>0.24*D26+(0.6219)*(0.01*(0.000000007401234*D26^4-0.000000493526794*D26^3+0.000071281097208*D26^2-0.000489806163078*D26+0.039762055806989)*F26)/(H23-(0.01*(0.000000007401234*D26^4-0.000000493526794*D26^3+0.000071281097208*D26^2-0.000489806163078*D26+0.039762055806989)*F26))*(1061.2+0.444*D26)</f>
        <v>29.510885509735594</v>
      </c>
      <c r="I26" s="119" t="s">
        <v>115</v>
      </c>
      <c r="J26" s="119"/>
    </row>
    <row r="27" spans="1:10" ht="21.75" customHeight="1" thickTop="1" thickBot="1">
      <c r="A27" s="43"/>
      <c r="B27" s="8" t="s">
        <v>110</v>
      </c>
      <c r="C27" s="9" t="s">
        <v>2</v>
      </c>
      <c r="D27" s="11" t="s">
        <v>0</v>
      </c>
      <c r="E27" s="11" t="s">
        <v>17</v>
      </c>
      <c r="F27" s="10" t="s">
        <v>112</v>
      </c>
      <c r="G27" s="75"/>
      <c r="H27" s="138">
        <f>H26-H25</f>
        <v>5.9426850167063741</v>
      </c>
      <c r="I27" s="139" t="s">
        <v>112</v>
      </c>
      <c r="J27" s="12"/>
    </row>
    <row r="28" spans="1:10">
      <c r="A28" s="39"/>
      <c r="B28" s="112">
        <f>D28*F28*4.5</f>
        <v>21393.666060142947</v>
      </c>
      <c r="C28" s="13"/>
      <c r="D28" s="1">
        <v>800</v>
      </c>
      <c r="E28" s="14"/>
      <c r="F28" s="150">
        <f>H27</f>
        <v>5.9426850167063741</v>
      </c>
      <c r="G28" s="3"/>
      <c r="H28" s="3"/>
      <c r="I28" s="3"/>
      <c r="J28" s="12"/>
    </row>
    <row r="29" spans="1:10">
      <c r="A29" s="39"/>
      <c r="B29" s="113" t="str">
        <f>ROUND(B28/D29,1) &amp; " Tons"</f>
        <v>1.8 Tons</v>
      </c>
      <c r="C29" s="6"/>
      <c r="D29" s="114">
        <v>12000</v>
      </c>
      <c r="E29" s="6" t="s">
        <v>111</v>
      </c>
      <c r="F29" s="6"/>
      <c r="G29" s="3"/>
      <c r="H29" s="224" t="s">
        <v>119</v>
      </c>
      <c r="I29" s="3"/>
      <c r="J29" s="12"/>
    </row>
    <row r="30" spans="1:10" ht="15" customHeight="1">
      <c r="A30" s="39"/>
      <c r="B30" s="215"/>
      <c r="C30" s="3"/>
      <c r="D30" s="3"/>
      <c r="E30" s="3"/>
      <c r="F30" s="3"/>
      <c r="G30" s="3"/>
      <c r="H30" s="3"/>
      <c r="I30" s="3"/>
      <c r="J30" s="12"/>
    </row>
    <row r="31" spans="1:10">
      <c r="A31" s="44"/>
      <c r="B31" s="216" t="s">
        <v>219</v>
      </c>
      <c r="C31" s="3"/>
      <c r="D31" s="3"/>
      <c r="E31" s="3"/>
      <c r="F31" s="3"/>
      <c r="G31" s="3"/>
      <c r="H31" s="3"/>
      <c r="I31" s="3"/>
      <c r="J31" s="12"/>
    </row>
    <row r="32" spans="1:10">
      <c r="A32" s="38"/>
      <c r="B32" s="217" t="s">
        <v>0</v>
      </c>
      <c r="C32" s="13"/>
      <c r="D32" s="218" t="s">
        <v>112</v>
      </c>
      <c r="E32" s="218"/>
      <c r="F32" s="218" t="s">
        <v>216</v>
      </c>
      <c r="G32" s="13"/>
      <c r="H32" s="219"/>
      <c r="I32" s="13"/>
      <c r="J32" s="15"/>
    </row>
    <row r="33" spans="2:10">
      <c r="B33" s="222">
        <f>F33/(D33*4.5)</f>
        <v>1346.1928366571674</v>
      </c>
      <c r="C33" s="13"/>
      <c r="D33" s="220">
        <f>H27</f>
        <v>5.9426850167063741</v>
      </c>
      <c r="E33" s="13"/>
      <c r="F33" s="221">
        <v>36000</v>
      </c>
      <c r="G33" s="13"/>
      <c r="H33" s="223" t="s">
        <v>217</v>
      </c>
      <c r="I33" s="13"/>
      <c r="J33" s="15"/>
    </row>
    <row r="35" spans="2:10">
      <c r="B35" s="5" t="s">
        <v>205</v>
      </c>
      <c r="C35" s="6"/>
      <c r="D35" s="6"/>
      <c r="E35" s="6"/>
      <c r="F35" s="6"/>
      <c r="G35" s="6"/>
      <c r="H35" s="6"/>
      <c r="I35" s="6"/>
      <c r="J35" s="7"/>
    </row>
    <row r="36" spans="2:10">
      <c r="B36" s="16"/>
      <c r="C36" s="3"/>
      <c r="D36" s="18" t="s">
        <v>202</v>
      </c>
      <c r="E36" s="18"/>
      <c r="F36" s="18" t="s">
        <v>202</v>
      </c>
      <c r="G36" s="3"/>
      <c r="H36" s="3"/>
      <c r="I36" s="3"/>
      <c r="J36" s="12"/>
    </row>
    <row r="37" spans="2:10" ht="15.75" thickBot="1">
      <c r="B37" s="203" t="s">
        <v>4</v>
      </c>
      <c r="C37" s="9"/>
      <c r="D37" s="11" t="s">
        <v>203</v>
      </c>
      <c r="E37" s="11"/>
      <c r="F37" s="11" t="s">
        <v>90</v>
      </c>
      <c r="G37" s="75"/>
      <c r="H37" s="3"/>
      <c r="I37" s="3"/>
      <c r="J37" s="12"/>
    </row>
    <row r="38" spans="2:10">
      <c r="B38" s="27">
        <f>D38-((3*F38) +( 2*D38)-112)/4</f>
        <v>18.199999999999989</v>
      </c>
      <c r="C38" s="13" t="s">
        <v>106</v>
      </c>
      <c r="D38" s="1">
        <v>77</v>
      </c>
      <c r="E38" s="14" t="s">
        <v>106</v>
      </c>
      <c r="F38" s="1">
        <v>64.400000000000006</v>
      </c>
      <c r="G38" s="14" t="s">
        <v>106</v>
      </c>
      <c r="H38" s="13"/>
      <c r="I38" s="13"/>
      <c r="J38" s="15"/>
    </row>
    <row r="39" spans="2:10">
      <c r="B39" s="229" t="s">
        <v>204</v>
      </c>
    </row>
    <row r="41" spans="2:10">
      <c r="B41" s="5" t="s">
        <v>164</v>
      </c>
      <c r="C41" s="6"/>
      <c r="D41" s="6"/>
      <c r="E41" s="6"/>
      <c r="F41" s="6"/>
      <c r="G41" s="6"/>
      <c r="H41" s="6"/>
      <c r="I41" s="6"/>
      <c r="J41" s="7"/>
    </row>
    <row r="42" spans="2:10" ht="15.75" thickBot="1">
      <c r="B42" s="109"/>
      <c r="C42" s="75"/>
      <c r="D42" s="75"/>
      <c r="E42" s="75" t="s">
        <v>174</v>
      </c>
      <c r="F42" s="2">
        <v>16.600000000000001</v>
      </c>
      <c r="G42" s="3"/>
      <c r="H42" s="198" t="s">
        <v>162</v>
      </c>
      <c r="I42" s="9"/>
      <c r="J42" s="199"/>
    </row>
    <row r="43" spans="2:10">
      <c r="B43" s="109"/>
      <c r="C43" s="75"/>
      <c r="D43" s="75"/>
      <c r="E43" s="75" t="s">
        <v>173</v>
      </c>
      <c r="F43" s="2">
        <v>46</v>
      </c>
      <c r="G43" s="3"/>
      <c r="H43" s="129"/>
      <c r="I43" s="157" t="s">
        <v>156</v>
      </c>
      <c r="J43" s="158">
        <v>67.5</v>
      </c>
    </row>
    <row r="44" spans="2:10">
      <c r="B44" s="109"/>
      <c r="C44" s="75"/>
      <c r="D44" s="75"/>
      <c r="E44" s="75" t="s">
        <v>172</v>
      </c>
      <c r="F44" s="75" t="str">
        <f>130 &amp; "°F"</f>
        <v>130°F</v>
      </c>
      <c r="G44" s="3"/>
      <c r="H44" s="129"/>
      <c r="I44" s="157" t="s">
        <v>155</v>
      </c>
      <c r="J44" s="158">
        <v>66.3</v>
      </c>
    </row>
    <row r="45" spans="2:10">
      <c r="B45" s="16"/>
      <c r="C45" s="3"/>
      <c r="D45" s="75"/>
      <c r="E45" s="75" t="s">
        <v>171</v>
      </c>
      <c r="F45" s="163" t="s">
        <v>157</v>
      </c>
      <c r="G45" s="3"/>
      <c r="H45" s="129"/>
      <c r="I45" s="157" t="s">
        <v>157</v>
      </c>
      <c r="J45" s="158">
        <v>54.7</v>
      </c>
    </row>
    <row r="46" spans="2:10">
      <c r="B46" s="109"/>
      <c r="C46" s="75"/>
      <c r="D46" s="75"/>
      <c r="E46" s="75" t="s">
        <v>170</v>
      </c>
      <c r="F46" s="159">
        <f>VLOOKUP(F45,I43:J49,2,FALSE)</f>
        <v>54.7</v>
      </c>
      <c r="G46" s="3"/>
      <c r="H46" s="129"/>
      <c r="I46" s="157" t="s">
        <v>158</v>
      </c>
      <c r="J46" s="158">
        <v>53.18</v>
      </c>
    </row>
    <row r="47" spans="2:10">
      <c r="B47" s="109"/>
      <c r="C47" s="75"/>
      <c r="D47" s="75"/>
      <c r="E47" s="75" t="s">
        <v>169</v>
      </c>
      <c r="F47" s="164">
        <f>(F43/62.5)*F46*0.8 +F42</f>
        <v>48.807360000000003</v>
      </c>
      <c r="G47" s="165" t="s">
        <v>176</v>
      </c>
      <c r="H47" s="129"/>
      <c r="I47" s="157" t="s">
        <v>159</v>
      </c>
      <c r="J47" s="158">
        <v>62.28</v>
      </c>
    </row>
    <row r="48" spans="2:10">
      <c r="B48" s="109"/>
      <c r="C48" s="75"/>
      <c r="D48" s="75"/>
      <c r="E48" s="75" t="s">
        <v>168</v>
      </c>
      <c r="F48" s="164">
        <f>F47-F42</f>
        <v>32.207360000000001</v>
      </c>
      <c r="G48" s="165" t="s">
        <v>176</v>
      </c>
      <c r="H48" s="129"/>
      <c r="I48" s="157" t="s">
        <v>160</v>
      </c>
      <c r="J48" s="158">
        <v>27.710999999999999</v>
      </c>
    </row>
    <row r="49" spans="2:10">
      <c r="B49" s="16"/>
      <c r="C49" s="3"/>
      <c r="D49" s="3"/>
      <c r="E49" s="166" t="s">
        <v>163</v>
      </c>
      <c r="F49" s="3"/>
      <c r="G49" s="3"/>
      <c r="H49" s="3"/>
      <c r="I49" s="157" t="s">
        <v>161</v>
      </c>
      <c r="J49" s="158">
        <v>74.599999999999994</v>
      </c>
    </row>
    <row r="50" spans="2:10">
      <c r="B50" s="16"/>
      <c r="C50" s="3"/>
      <c r="D50" s="3"/>
      <c r="E50" s="75" t="s">
        <v>166</v>
      </c>
      <c r="F50" s="2">
        <v>22</v>
      </c>
      <c r="G50" s="168" t="s">
        <v>175</v>
      </c>
      <c r="H50" s="3"/>
      <c r="I50" s="157"/>
      <c r="J50" s="158"/>
    </row>
    <row r="51" spans="2:10">
      <c r="B51" s="16"/>
      <c r="C51" s="3"/>
      <c r="D51" s="3"/>
      <c r="E51" s="167" t="s">
        <v>165</v>
      </c>
      <c r="F51" s="138">
        <f>IF(F50&lt;F42,"Error!",F47-F50)</f>
        <v>26.807360000000003</v>
      </c>
      <c r="G51" s="165" t="str">
        <f>IF(F50&lt;F42,"", "lbs.")</f>
        <v>lbs.</v>
      </c>
      <c r="H51" s="3"/>
      <c r="I51" s="157"/>
      <c r="J51" s="158"/>
    </row>
    <row r="52" spans="2:10">
      <c r="B52" s="160"/>
      <c r="C52" s="13"/>
      <c r="D52" s="13"/>
      <c r="E52" s="88" t="s">
        <v>167</v>
      </c>
      <c r="F52" s="150" t="str">
        <f>IF(F50&lt;F42,"Total Tank Weight must be &gt; Tank Tare Weight","")</f>
        <v/>
      </c>
      <c r="G52" s="140"/>
      <c r="H52" s="13"/>
      <c r="I52" s="161"/>
      <c r="J52" s="162"/>
    </row>
    <row r="54" spans="2:10">
      <c r="B54" s="5" t="s">
        <v>189</v>
      </c>
      <c r="C54" s="6"/>
      <c r="D54" s="6"/>
      <c r="E54" s="6"/>
      <c r="F54" s="6"/>
      <c r="G54" s="6"/>
      <c r="H54" s="6"/>
      <c r="I54" s="6"/>
      <c r="J54" s="7"/>
    </row>
    <row r="55" spans="2:10" ht="17.25" customHeight="1">
      <c r="B55" s="16"/>
      <c r="C55" s="3"/>
      <c r="D55" s="3"/>
      <c r="E55" s="3"/>
      <c r="F55" s="3"/>
      <c r="G55" s="3"/>
      <c r="H55" s="3"/>
      <c r="I55" s="3"/>
      <c r="J55" s="12"/>
    </row>
    <row r="56" spans="2:10" ht="17.25" customHeight="1" thickBot="1">
      <c r="B56" s="8" t="s">
        <v>138</v>
      </c>
      <c r="C56" s="9"/>
      <c r="D56" s="10" t="s">
        <v>152</v>
      </c>
      <c r="E56" s="11"/>
      <c r="F56" s="152" t="s">
        <v>153</v>
      </c>
      <c r="G56" s="75"/>
      <c r="H56" s="3"/>
      <c r="I56" s="3"/>
      <c r="J56" s="12"/>
    </row>
    <row r="57" spans="2:10" ht="15.75" customHeight="1">
      <c r="B57" s="188">
        <f>((3*F57)-80-D57)/2</f>
        <v>11.600000000000009</v>
      </c>
      <c r="C57" s="190" t="s">
        <v>106</v>
      </c>
      <c r="D57" s="193">
        <v>90</v>
      </c>
      <c r="E57" s="194" t="s">
        <v>106</v>
      </c>
      <c r="F57" s="193">
        <v>64.400000000000006</v>
      </c>
      <c r="G57" s="3" t="s">
        <v>106</v>
      </c>
      <c r="H57" s="108"/>
      <c r="I57" s="3"/>
      <c r="J57" s="12"/>
    </row>
    <row r="58" spans="2:10">
      <c r="B58" s="185"/>
      <c r="C58" s="3"/>
      <c r="D58" s="3"/>
      <c r="E58" s="18"/>
      <c r="F58" s="3"/>
      <c r="G58" s="3"/>
      <c r="H58" s="3"/>
      <c r="I58" s="3"/>
      <c r="J58" s="12"/>
    </row>
    <row r="59" spans="2:10" ht="15.75" thickBot="1">
      <c r="B59" s="186" t="s">
        <v>184</v>
      </c>
      <c r="C59" s="9"/>
      <c r="D59" s="152" t="s">
        <v>182</v>
      </c>
      <c r="E59" s="11"/>
      <c r="F59" s="202" t="s">
        <v>183</v>
      </c>
      <c r="G59" s="3"/>
      <c r="H59" s="3"/>
      <c r="I59" s="3"/>
      <c r="J59" s="12"/>
    </row>
    <row r="60" spans="2:10" ht="15" customHeight="1">
      <c r="B60" s="187">
        <f>F60-D60</f>
        <v>10</v>
      </c>
      <c r="C60" s="3" t="s">
        <v>106</v>
      </c>
      <c r="D60" s="2">
        <v>40</v>
      </c>
      <c r="E60" s="18" t="s">
        <v>106</v>
      </c>
      <c r="F60" s="2">
        <v>50</v>
      </c>
      <c r="G60" s="3" t="s">
        <v>106</v>
      </c>
      <c r="H60" s="191">
        <f>B57-B60</f>
        <v>1.6000000000000085</v>
      </c>
      <c r="I60" s="3"/>
      <c r="J60" s="12"/>
    </row>
    <row r="61" spans="2:10">
      <c r="B61" s="364" t="str">
        <f>"Difference of   " &amp; ROUND(B57-B60,1)</f>
        <v>Difference of   1.6</v>
      </c>
      <c r="C61" s="3" t="s">
        <v>106</v>
      </c>
      <c r="D61" s="3" t="str">
        <f>IF(H60=0, "Charge Correct",IF(B57-B60 &lt;-2, "Recover Refrigerant",IF(B57-B60&gt;2,"Add Refrigerant", "Charge OK")))</f>
        <v>Charge OK</v>
      </c>
      <c r="E61" s="18"/>
      <c r="F61" s="3"/>
      <c r="G61" s="3"/>
      <c r="H61" s="3"/>
      <c r="I61" s="3"/>
      <c r="J61" s="12"/>
    </row>
    <row r="62" spans="2:10">
      <c r="B62" s="27"/>
      <c r="C62" s="13"/>
      <c r="D62" s="192" t="s">
        <v>191</v>
      </c>
      <c r="E62" s="14"/>
      <c r="F62" s="13"/>
      <c r="G62" s="13"/>
      <c r="H62" s="13"/>
      <c r="I62" s="13"/>
      <c r="J62" s="15"/>
    </row>
    <row r="64" spans="2:10">
      <c r="B64" s="5" t="s">
        <v>185</v>
      </c>
      <c r="C64" s="6"/>
      <c r="D64" s="6"/>
      <c r="E64" s="6"/>
      <c r="F64" s="6"/>
      <c r="G64" s="6"/>
      <c r="H64" s="6"/>
      <c r="I64" s="6"/>
      <c r="J64" s="7"/>
    </row>
    <row r="65" spans="2:10">
      <c r="B65" s="16"/>
      <c r="C65" s="3"/>
      <c r="D65" s="3"/>
      <c r="E65" s="3"/>
      <c r="F65" s="3"/>
      <c r="G65" s="3"/>
      <c r="H65" s="3"/>
      <c r="I65" s="3"/>
      <c r="J65" s="12"/>
    </row>
    <row r="66" spans="2:10" ht="15.75" thickBot="1">
      <c r="B66" s="8" t="s">
        <v>186</v>
      </c>
      <c r="C66" s="9"/>
      <c r="D66" s="10" t="s">
        <v>187</v>
      </c>
      <c r="E66" s="11"/>
      <c r="F66" s="152" t="s">
        <v>245</v>
      </c>
      <c r="G66" s="10"/>
      <c r="H66" s="10" t="s">
        <v>188</v>
      </c>
      <c r="I66" s="3"/>
      <c r="J66" s="12"/>
    </row>
    <row r="67" spans="2:10">
      <c r="B67" s="188">
        <f>F67-H67</f>
        <v>12</v>
      </c>
      <c r="C67" s="190" t="s">
        <v>106</v>
      </c>
      <c r="D67" s="193">
        <v>16</v>
      </c>
      <c r="E67" s="194" t="s">
        <v>106</v>
      </c>
      <c r="F67" s="193">
        <v>98</v>
      </c>
      <c r="G67" s="190" t="s">
        <v>106</v>
      </c>
      <c r="H67" s="193">
        <v>86</v>
      </c>
      <c r="I67" s="3" t="s">
        <v>106</v>
      </c>
      <c r="J67" s="12"/>
    </row>
    <row r="68" spans="2:10">
      <c r="B68" s="185"/>
      <c r="C68" s="3"/>
      <c r="D68" s="3"/>
      <c r="E68" s="18"/>
      <c r="F68" s="3"/>
      <c r="G68" s="3"/>
      <c r="H68" s="3"/>
      <c r="I68" s="3"/>
      <c r="J68" s="12"/>
    </row>
    <row r="69" spans="2:10">
      <c r="B69" s="189" t="str">
        <f>"Difference of " &amp; B67-D67</f>
        <v>Difference of -4</v>
      </c>
      <c r="C69" s="165" t="s">
        <v>106</v>
      </c>
      <c r="D69" s="165" t="str">
        <f>IF(H69=0, "Charge Correct",IF(H69 &lt;-3, "Recover Refrigerant",IF(H69&gt;3,"Add Refrigerant", "Charge OK")))</f>
        <v>Recover Refrigerant</v>
      </c>
      <c r="E69" s="18"/>
      <c r="F69" s="3"/>
      <c r="G69" s="3"/>
      <c r="H69" s="191">
        <f>B67-D67</f>
        <v>-4</v>
      </c>
      <c r="I69" s="3"/>
      <c r="J69" s="12"/>
    </row>
    <row r="70" spans="2:10">
      <c r="B70" s="27"/>
      <c r="C70" s="13"/>
      <c r="D70" s="192" t="s">
        <v>190</v>
      </c>
      <c r="E70" s="14"/>
      <c r="F70" s="13"/>
      <c r="G70" s="13"/>
      <c r="H70" s="13"/>
      <c r="I70" s="13"/>
      <c r="J70" s="15"/>
    </row>
    <row r="72" spans="2:10">
      <c r="B72" s="5" t="s">
        <v>194</v>
      </c>
      <c r="C72" s="6"/>
      <c r="D72" s="6"/>
      <c r="E72" s="6"/>
      <c r="F72" s="6"/>
      <c r="G72" s="6"/>
      <c r="H72" s="6"/>
      <c r="I72" s="6"/>
      <c r="J72" s="7"/>
    </row>
    <row r="73" spans="2:10">
      <c r="B73" s="16"/>
      <c r="C73" s="3"/>
      <c r="D73" s="3"/>
      <c r="E73" s="3"/>
      <c r="F73" s="3"/>
      <c r="G73" s="3"/>
      <c r="H73" s="3"/>
      <c r="I73" s="3"/>
      <c r="J73" s="12"/>
    </row>
    <row r="74" spans="2:10" ht="15.75" thickBot="1">
      <c r="B74" s="8" t="s">
        <v>192</v>
      </c>
      <c r="C74" s="9"/>
      <c r="D74" s="10" t="s">
        <v>193</v>
      </c>
      <c r="E74" s="11"/>
      <c r="F74" s="11" t="s">
        <v>196</v>
      </c>
      <c r="G74" s="10"/>
      <c r="H74" s="10" t="s">
        <v>195</v>
      </c>
      <c r="I74" s="3"/>
      <c r="J74" s="12"/>
    </row>
    <row r="75" spans="2:10">
      <c r="B75" s="195">
        <v>18</v>
      </c>
      <c r="C75" s="190" t="s">
        <v>106</v>
      </c>
      <c r="D75" s="193">
        <v>21</v>
      </c>
      <c r="E75" s="194" t="s">
        <v>106</v>
      </c>
      <c r="F75" s="193">
        <v>77</v>
      </c>
      <c r="G75" s="190" t="s">
        <v>106</v>
      </c>
      <c r="H75" s="193">
        <v>59</v>
      </c>
      <c r="I75" s="3" t="s">
        <v>106</v>
      </c>
      <c r="J75" s="12"/>
    </row>
    <row r="76" spans="2:10">
      <c r="B76" s="185"/>
      <c r="C76" s="3"/>
      <c r="D76" s="3"/>
      <c r="E76" s="18"/>
      <c r="F76" s="3"/>
      <c r="G76" s="3"/>
      <c r="H76" s="3"/>
      <c r="I76" s="3"/>
      <c r="J76" s="12"/>
    </row>
    <row r="77" spans="2:10">
      <c r="B77" s="189" t="str">
        <f>"ΔT " &amp; F75-H75</f>
        <v>ΔT 18</v>
      </c>
      <c r="C77" s="165" t="s">
        <v>106</v>
      </c>
      <c r="D77" s="165" t="str">
        <f>IF(H77&lt;B75, "ΔT low or bad refrigerant",IF(H77 &gt;D75, "ΔT low airflow","ΔT correct refrigerant level"))</f>
        <v>ΔT correct refrigerant level</v>
      </c>
      <c r="E77" s="18"/>
      <c r="F77" s="3"/>
      <c r="G77" s="3"/>
      <c r="H77" s="191">
        <f>F75-H75</f>
        <v>18</v>
      </c>
      <c r="I77" s="3"/>
      <c r="J77" s="12"/>
    </row>
    <row r="78" spans="2:10">
      <c r="B78" s="27"/>
      <c r="C78" s="13"/>
      <c r="D78" s="192" t="str">
        <f>"Range " &amp; B75 &amp;" °-" &amp; D75 &amp; "° ΔT"</f>
        <v>Range 18 °-21° ΔT</v>
      </c>
      <c r="E78" s="14"/>
      <c r="F78" s="13"/>
      <c r="G78" s="13"/>
      <c r="H78" s="13"/>
      <c r="I78" s="13"/>
      <c r="J78" s="15"/>
    </row>
    <row r="80" spans="2:10">
      <c r="B80" s="5" t="s">
        <v>177</v>
      </c>
      <c r="C80" s="6"/>
      <c r="D80" s="6"/>
      <c r="E80" s="6"/>
      <c r="F80" s="6"/>
      <c r="G80" s="6"/>
      <c r="H80" s="6"/>
      <c r="I80" s="6"/>
      <c r="J80" s="7"/>
    </row>
    <row r="81" spans="2:10">
      <c r="B81" s="16"/>
      <c r="C81" s="3"/>
      <c r="D81" s="18" t="s">
        <v>199</v>
      </c>
      <c r="E81" s="18"/>
      <c r="F81" s="18" t="s">
        <v>200</v>
      </c>
      <c r="G81" s="3"/>
      <c r="H81" s="3"/>
      <c r="I81" s="3"/>
      <c r="J81" s="12"/>
    </row>
    <row r="82" spans="2:10" ht="15.75" thickBot="1">
      <c r="B82" s="8" t="s">
        <v>177</v>
      </c>
      <c r="C82" s="9"/>
      <c r="D82" s="152" t="s">
        <v>201</v>
      </c>
      <c r="E82" s="11"/>
      <c r="F82" s="152" t="s">
        <v>201</v>
      </c>
      <c r="G82" s="10"/>
      <c r="H82" s="10" t="s">
        <v>179</v>
      </c>
      <c r="I82" s="9"/>
      <c r="J82" s="171" t="s">
        <v>127</v>
      </c>
    </row>
    <row r="83" spans="2:10">
      <c r="B83" s="174" t="s">
        <v>180</v>
      </c>
      <c r="C83" s="173"/>
      <c r="D83" s="1">
        <v>285</v>
      </c>
      <c r="E83" s="14"/>
      <c r="F83" s="1">
        <v>155</v>
      </c>
      <c r="G83" s="13"/>
      <c r="H83" s="178">
        <v>1000</v>
      </c>
      <c r="I83" s="13"/>
      <c r="J83" s="172">
        <f>14.696*( 1-6.8754 * 10^-6 * H83)^5.2559</f>
        <v>14.172651183508815</v>
      </c>
    </row>
    <row r="84" spans="2:10">
      <c r="B84" s="169" t="str">
        <f>ROUND((D83+14.7)/(F83+14.7),2) &amp; " : 1"</f>
        <v>1.77 : 1</v>
      </c>
      <c r="C84" s="15"/>
      <c r="D84" s="176" t="str">
        <f>ROUND(D83+J83,1) &amp; " psia"</f>
        <v>299.2 psia</v>
      </c>
      <c r="E84" s="175" t="s">
        <v>3</v>
      </c>
      <c r="F84" s="177" t="str">
        <f>ROUND(F83+J83, 1 ) &amp; " psia"</f>
        <v>169.2 psia</v>
      </c>
      <c r="G84" s="13"/>
      <c r="H84" s="170" t="s">
        <v>178</v>
      </c>
      <c r="I84" s="13"/>
      <c r="J84" s="15"/>
    </row>
    <row r="86" spans="2:10">
      <c r="B86" s="5" t="s">
        <v>381</v>
      </c>
      <c r="C86" s="6"/>
      <c r="D86" s="6"/>
      <c r="E86" s="6"/>
      <c r="F86" s="7"/>
    </row>
    <row r="87" spans="2:10">
      <c r="B87" s="16"/>
      <c r="C87" s="3"/>
      <c r="D87" s="3"/>
      <c r="E87" s="3"/>
      <c r="F87" s="12"/>
    </row>
    <row r="88" spans="2:10">
      <c r="B88" s="16"/>
      <c r="C88" s="75" t="s">
        <v>375</v>
      </c>
      <c r="D88" s="473">
        <v>60</v>
      </c>
      <c r="E88" s="3"/>
      <c r="F88" s="12"/>
    </row>
    <row r="89" spans="2:10">
      <c r="B89" s="16"/>
      <c r="C89" s="75" t="s">
        <v>257</v>
      </c>
      <c r="D89" s="467">
        <f>14.696*( 1-6.8754 * 10^-6 * D88)^5.2559</f>
        <v>14.664164313190893</v>
      </c>
      <c r="E89" s="3"/>
      <c r="F89" s="12"/>
    </row>
    <row r="90" spans="2:10">
      <c r="B90" s="16"/>
      <c r="C90" s="75" t="s">
        <v>376</v>
      </c>
      <c r="D90" s="269">
        <v>80</v>
      </c>
      <c r="E90" s="3"/>
      <c r="F90" s="12"/>
    </row>
    <row r="91" spans="2:10">
      <c r="B91" s="16"/>
      <c r="C91" s="75" t="s">
        <v>377</v>
      </c>
      <c r="D91" s="269">
        <v>246</v>
      </c>
      <c r="E91" s="3"/>
      <c r="F91" s="12"/>
    </row>
    <row r="92" spans="2:10">
      <c r="B92" s="16"/>
      <c r="C92" s="75" t="s">
        <v>378</v>
      </c>
      <c r="D92" s="269">
        <v>80.400000000000006</v>
      </c>
      <c r="E92" s="3"/>
      <c r="F92" s="12"/>
    </row>
    <row r="93" spans="2:10">
      <c r="B93" s="16"/>
      <c r="C93" s="75" t="s">
        <v>379</v>
      </c>
      <c r="D93" s="138">
        <f>((D92+459.76) * (D91+D89)/(D90+459.76))-D89</f>
        <v>246.19317041967776</v>
      </c>
      <c r="E93" s="3"/>
      <c r="F93" s="12"/>
    </row>
    <row r="94" spans="2:10">
      <c r="B94" s="16"/>
      <c r="C94" s="468" t="str">
        <f>"(Range " &amp; ROUND( D93*0.99,2) &amp; "-" &amp;  ROUND(D93*1.01,2) &amp; " psig)"</f>
        <v>(Range 243.73-248.66 psig)</v>
      </c>
      <c r="D94" s="469"/>
      <c r="E94" s="3"/>
      <c r="F94" s="12"/>
    </row>
    <row r="95" spans="2:10">
      <c r="B95" s="16"/>
      <c r="C95" s="75" t="s">
        <v>380</v>
      </c>
      <c r="D95" s="269">
        <v>247</v>
      </c>
      <c r="E95" s="3"/>
      <c r="F95" s="12"/>
    </row>
    <row r="96" spans="2:10" ht="26.25">
      <c r="B96" s="470"/>
      <c r="C96" s="13"/>
      <c r="D96" s="474" t="str">
        <f>IF(ROUND( D93*0.99,2)&gt;D95,"Leak","Pass")</f>
        <v>Pass</v>
      </c>
      <c r="E96" s="471"/>
      <c r="F96" s="472"/>
    </row>
  </sheetData>
  <sheetProtection sheet="1" objects="1" scenarios="1"/>
  <conditionalFormatting sqref="D96">
    <cfRule type="containsText" dxfId="2" priority="2" stopIfTrue="1" operator="containsText" text="Pass">
      <formula>NOT(ISERROR(SEARCH("Pass",D96)))</formula>
    </cfRule>
    <cfRule type="containsText" dxfId="1" priority="1" operator="containsText" text="Leak">
      <formula>NOT(ISERROR(SEARCH("Leak",D96)))</formula>
    </cfRule>
  </conditionalFormatting>
  <dataValidations count="2">
    <dataValidation type="list" allowBlank="1" showInputMessage="1" showErrorMessage="1" sqref="F45">
      <formula1>$I$43:$I$49</formula1>
    </dataValidation>
    <dataValidation type="list" allowBlank="1" showInputMessage="1" showErrorMessage="1" sqref="D25:D26 F25:F26 F15:F16">
      <formula1>'Enthalpy Chart'!A4:A513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46"/>
  <sheetViews>
    <sheetView showGridLines="0" workbookViewId="0">
      <selection activeCell="E19" sqref="E19"/>
    </sheetView>
  </sheetViews>
  <sheetFormatPr defaultRowHeight="15"/>
  <cols>
    <col min="1" max="1" width="4.7109375" style="4" customWidth="1"/>
    <col min="2" max="2" width="3.7109375" style="4" customWidth="1"/>
    <col min="3" max="3" width="22.140625" style="4" customWidth="1"/>
    <col min="4" max="4" width="10.5703125" style="4" customWidth="1"/>
    <col min="5" max="5" width="10.28515625" style="4" customWidth="1"/>
    <col min="6" max="6" width="8.140625" style="4" customWidth="1"/>
    <col min="7" max="7" width="9.28515625" style="4" customWidth="1"/>
    <col min="8" max="8" width="22.42578125" style="4" customWidth="1"/>
    <col min="9" max="9" width="10.5703125" style="4" customWidth="1"/>
    <col min="10" max="10" width="3.7109375" style="4" customWidth="1"/>
    <col min="11" max="11" width="2.7109375" style="4" customWidth="1"/>
    <col min="12" max="16384" width="9.140625" style="4"/>
  </cols>
  <sheetData>
    <row r="1" spans="2:10" ht="18.75">
      <c r="B1" s="201" t="s">
        <v>268</v>
      </c>
    </row>
    <row r="2" spans="2:10">
      <c r="B2" s="344" t="s">
        <v>253</v>
      </c>
      <c r="C2" s="303"/>
      <c r="D2" s="303"/>
      <c r="E2" s="303"/>
      <c r="F2" s="303"/>
      <c r="G2" s="303"/>
      <c r="H2" s="303"/>
      <c r="I2" s="303"/>
      <c r="J2" s="304"/>
    </row>
    <row r="3" spans="2:10">
      <c r="B3" s="345" t="s">
        <v>254</v>
      </c>
      <c r="C3" s="306"/>
      <c r="D3" s="306"/>
      <c r="E3" s="306"/>
      <c r="F3" s="306"/>
      <c r="G3" s="306"/>
      <c r="H3" s="306"/>
      <c r="I3" s="306"/>
      <c r="J3" s="307"/>
    </row>
    <row r="4" spans="2:10">
      <c r="B4" s="305"/>
      <c r="C4" s="306"/>
      <c r="D4" s="308" t="s">
        <v>202</v>
      </c>
      <c r="E4" s="306"/>
      <c r="F4" s="306"/>
      <c r="G4" s="306"/>
      <c r="H4" s="306"/>
      <c r="I4" s="308" t="s">
        <v>255</v>
      </c>
      <c r="J4" s="307"/>
    </row>
    <row r="5" spans="2:10">
      <c r="B5" s="305"/>
      <c r="C5" s="309"/>
      <c r="D5" s="310" t="s">
        <v>106</v>
      </c>
      <c r="E5" s="328" t="s">
        <v>256</v>
      </c>
      <c r="F5" s="310" t="s">
        <v>257</v>
      </c>
      <c r="G5" s="311"/>
      <c r="H5" s="309"/>
      <c r="I5" s="310" t="s">
        <v>106</v>
      </c>
      <c r="J5" s="328" t="s">
        <v>256</v>
      </c>
    </row>
    <row r="6" spans="2:10">
      <c r="B6" s="305"/>
      <c r="C6" s="309" t="s">
        <v>258</v>
      </c>
      <c r="D6" s="335">
        <v>72.400000000000006</v>
      </c>
      <c r="E6" s="329">
        <f>((D6-32)*5)/9</f>
        <v>22.444444444444446</v>
      </c>
      <c r="F6" s="312">
        <f>14.696*( 1-6.8754 * 10^-6 * D8)^5.2559</f>
        <v>14.563719512318704</v>
      </c>
      <c r="G6" s="313"/>
      <c r="H6" s="309" t="s">
        <v>258</v>
      </c>
      <c r="I6" s="335">
        <v>52.1</v>
      </c>
      <c r="J6" s="329">
        <f>((I6-32)*5)/9</f>
        <v>11.166666666666666</v>
      </c>
    </row>
    <row r="7" spans="2:10">
      <c r="B7" s="305"/>
      <c r="C7" s="314" t="s">
        <v>259</v>
      </c>
      <c r="D7" s="336">
        <v>66.2</v>
      </c>
      <c r="E7" s="330"/>
      <c r="F7" s="306"/>
      <c r="G7" s="306"/>
      <c r="H7" s="314" t="s">
        <v>259</v>
      </c>
      <c r="I7" s="337">
        <v>93.4</v>
      </c>
      <c r="J7" s="338"/>
    </row>
    <row r="8" spans="2:10">
      <c r="B8" s="305"/>
      <c r="C8" s="309" t="s">
        <v>139</v>
      </c>
      <c r="D8" s="336">
        <v>250</v>
      </c>
      <c r="E8" s="330"/>
      <c r="F8" s="306"/>
      <c r="G8" s="306"/>
      <c r="H8" s="309" t="s">
        <v>139</v>
      </c>
      <c r="I8" s="315">
        <f>D8</f>
        <v>250</v>
      </c>
      <c r="J8" s="338"/>
    </row>
    <row r="9" spans="2:10">
      <c r="B9" s="305"/>
      <c r="C9" s="316" t="s">
        <v>260</v>
      </c>
      <c r="D9" s="317">
        <f>(((D6-32)*(5/9)*ATAN(0.151977*((D7+8.313659)^(1/2))))+(ATAN((D6-32)*(5/9)+D7))-(ATAN(D7-1.676331))+(0.00391838*((D7)^(3/2))*ATAN(0.023101*D7))-4.686035)*(9/5)+32</f>
        <v>64.487653299019001</v>
      </c>
      <c r="E9" s="330"/>
      <c r="F9" s="306"/>
      <c r="G9" s="306"/>
      <c r="H9" s="316" t="s">
        <v>260</v>
      </c>
      <c r="I9" s="317">
        <f>(((I6-32)*(5/9)*ATAN(0.151977*((I7+8.313659)^(1/2))))+(ATAN((I6-32)*(5/9)+I7))-(ATAN(I7-1.676331))+(0.00391838*((I7)^(3/2))*ATAN(0.023101*I7))-4.686035)*(9/5)+32</f>
        <v>50.758537234349419</v>
      </c>
      <c r="J9" s="338"/>
    </row>
    <row r="10" spans="2:10">
      <c r="B10" s="305"/>
      <c r="C10" s="309" t="s">
        <v>261</v>
      </c>
      <c r="D10" s="318">
        <f>E10*9/5+32</f>
        <v>60.481188448040569</v>
      </c>
      <c r="E10" s="331">
        <f>(243.12*(LN(D7/100)+((17.62*E6)/(243.12+E6))))/(17.62-(LN(D7/100)+((17.62*E6)/(243.12+E6))))</f>
        <v>15.822882471133651</v>
      </c>
      <c r="F10" s="306"/>
      <c r="G10" s="306"/>
      <c r="H10" s="309" t="s">
        <v>261</v>
      </c>
      <c r="I10" s="318">
        <f>J10*9/5+32</f>
        <v>50.252337833098373</v>
      </c>
      <c r="J10" s="329">
        <f>(243.12*(LN(I7/100)+((17.62*J6)/(243.12+J6))))/(17.62-(LN(I7/100)+((17.62*J6)/(243.12+J6))))</f>
        <v>10.140187685054652</v>
      </c>
    </row>
    <row r="11" spans="2:10">
      <c r="B11" s="305"/>
      <c r="C11" s="309" t="s">
        <v>262</v>
      </c>
      <c r="D11" s="318">
        <f>0.24*D6+(0.6219)*(0.01*(0.000000007401234*D6^4-0.000000493526794*D6^3+0.000071281097208*D6^2-0.000489806163078*D6+0.039762055806989)*D7)/(F6-(0.01*(0.000000007401234*D6^4-0.000000493526794*D6^3+0.000071281097208*D6^2-0.000489806163078*D6+0.039762055806989)*D7))*(1061.2+0.444*D6)</f>
        <v>29.77562171728453</v>
      </c>
      <c r="E11" s="330"/>
      <c r="F11" s="306"/>
      <c r="G11" s="306"/>
      <c r="H11" s="309" t="s">
        <v>262</v>
      </c>
      <c r="I11" s="318">
        <f>0.24*I6+(0.6219)*(0.01*(0.000000007401234*I6^4-0.000000493526794*I6^3+0.000071281097208*I6^2-0.000489806163078*I6+0.039762055806989)*I7)/(F6-(0.01*(0.000000007401234*I6^4-0.000000493526794*I6^3+0.000071281097208*I6^2-0.000489806163078*I6+0.039762055806989)*I7))*(1061.2+0.444*I6)</f>
        <v>20.931666694536645</v>
      </c>
      <c r="J11" s="339"/>
    </row>
    <row r="12" spans="2:10">
      <c r="B12" s="305"/>
      <c r="C12" s="319" t="s">
        <v>128</v>
      </c>
      <c r="D12" s="343">
        <f>0.621945*(((D7/100)*IF((D6 + 459.67) &gt; 491.67, EXP(-10440.397/(D6 + 459.67) + -11.29465 + -0.027022355*(D6 + 459.67) + 0.00001289036*(D6 + 459.67)*(D6 + 459.67) + -0.0000000024780681*(D6 + 459.67)*(D6 + 459.67)*(D6 + 459.67) + 6.5459673*LN((D6 + 459.67))), EXP(-10214.165/(D6 + 459.67) + -4.8932428 + -0.005376579*(D6 + 459.67) + 0.00000019202377*(D6 + 459.67)*(D6 + 459.67) + 0.00000000035575832*(D6 + 459.67)*(D6 + 459.67)*(D6 + 459.67) + -9.0344688E-14*(D6 + 459.67)*(D6 + 459.67)*(D6 + 459.67)*(D6 + 459.67) + 4.1635019*LN((D6 + 459.67))))))/((F6)-(((D7/100)*IF((D6 + 459.67) &gt; 491.67, EXP(-10440.397/(D6 + 459.67) + -11.29465 + -0.027022355*(D6 + 459.67) + 0.00001289036*(D6 + 459.67)*(D6 + 459.67) + -0.0000000024780681*(D6 + 459.67)*(D6 + 459.67)*(D6 + 459.67) + 6.5459673*LN((D6 + 459.67))), EXP(-10214.165/(D6 + 459.67) + -4.8932428 + -0.005376579*(D6 + 459.67) + 0.00000019202377*(D6 + 459.67)*(D6 + 459.67) + 0.00000000035575832*(D6 + 459.67)*(D6 + 459.67)*(D6 + 459.67) + -9.0344688E-14*(D6 + 459.67)*(D6 + 459.67)*(D6 + 459.67)*(D6 + 459.67) + 4.1635019*LN((D6 + 459.67)))))))</f>
        <v>1.134509135105383E-2</v>
      </c>
      <c r="E12" s="332">
        <f>D7/100</f>
        <v>0.66200000000000003</v>
      </c>
      <c r="F12" s="306"/>
      <c r="G12" s="306"/>
      <c r="H12" s="319" t="s">
        <v>128</v>
      </c>
      <c r="I12" s="343">
        <f>0.621945*(((I7/100)*IF((I6 + 459.67) &gt; 491.67, EXP(-10440.397/(I6 + 459.67) + -11.29465 + -0.027022355*(I6 + 459.67) + 0.00001289036*(I6 + 459.67)*(I6 + 459.67) + -0.0000000024780681*(I6 + 459.67)*(I6 + 459.67)*(I6 + 459.67) + 6.5459673*LN((I6 + 459.67))), EXP(-10214.165/(I6 + 459.67) + -4.8932428 + -0.005376579*(I6 + 459.67) + 0.00000019202377*(I6 + 459.67)*(I6 + 459.67) + 0.00000000035575832*(I6 + 459.67)*(I6 + 459.67)*(I6 + 459.67) + -9.0344688E-14*(I6 + 459.67)*(I6 + 459.67)*(I6 + 459.67)*(I6 + 459.67) + 4.1635019*LN((I6 + 459.67))))))/((F6)-(((I7/100)*IF((I6 + 459.67) &gt; 491.67, EXP(-10440.397/(I6 + 459.67) + -11.29465 + -0.027022355*(I6 + 459.67) + 0.00001289036*(I6 + 459.67)*(I6 + 459.67) + -0.0000000024780681*(I6 + 459.67)*(I6 + 459.67)*(I6 + 459.67) + 6.5459673*LN((I6 + 459.67))), EXP(-10214.165/(I6 + 459.67) + -4.8932428 + -0.005376579*(I6 + 459.67) + 0.00000019202377*(I6 + 459.67)*(I6 + 459.67) + 0.00000000035575832*(I6 + 459.67)*(I6 + 459.67)*(I6 + 459.67) + -9.0344688E-14*(I6 + 459.67)*(I6 + 459.67)*(I6 + 459.67)*(I6 + 459.67) + 4.1635019*LN((I6 + 459.67)))))))</f>
        <v>7.7747999494654088E-3</v>
      </c>
      <c r="J12" s="339"/>
    </row>
    <row r="13" spans="2:10">
      <c r="B13" s="305"/>
      <c r="C13" s="319" t="s">
        <v>263</v>
      </c>
      <c r="D13" s="320">
        <f>7000*D12</f>
        <v>79.415639457376813</v>
      </c>
      <c r="E13" s="333"/>
      <c r="F13" s="306"/>
      <c r="G13" s="306"/>
      <c r="H13" s="319" t="s">
        <v>263</v>
      </c>
      <c r="I13" s="320">
        <f>7000*I12</f>
        <v>54.423599646257863</v>
      </c>
      <c r="J13" s="339"/>
    </row>
    <row r="14" spans="2:10">
      <c r="B14" s="305"/>
      <c r="C14" s="319" t="s">
        <v>264</v>
      </c>
      <c r="D14" s="320">
        <f>IF((D6 + 459.67) &gt; 491.67, EXP(-10440.397/(D6 + 459.67) + -11.29465 + -0.027022355*(D6 + 459.67) + 0.00001289036*(D6 + 459.67)*(D6 + 459.67) + -0.0000000024780681*(D6 + 459.67)*(D6 + 459.67)*(D6 + 459.67) + 6.5459673*LN((D6 + 459.67))), EXP(-10214.165/(D6 + 459.67) + -4.8932428 + -0.005376579*(D6 + 459.67) + 0.00000019202377*(D6 + 459.67)*(D6 + 459.67) + 0.00000000035575832*(D6 + 459.67)*(D6 + 459.67)*(D6 + 459.67) + -9.0344688E-14*(D6 + 459.67)*(D6 + 459.67)*(D6 + 459.67)*(D6 + 459.67) + 4.1635019*LN((D6 + 459.67))))</f>
        <v>0.39411196582117181</v>
      </c>
      <c r="E14" s="333"/>
      <c r="F14" s="306"/>
      <c r="G14" s="306"/>
      <c r="H14" s="319" t="s">
        <v>264</v>
      </c>
      <c r="I14" s="320">
        <f>IF((I6 + 459.67) &gt; 491.67, EXP(-10440.397/(I6 + 459.67) + -11.29465 + -0.027022355*(I6 + 459.67) + 0.00001289036*(I6 + 459.67)*(I6 + 459.67) + -0.0000000024780681*(I6 + 459.67)*(I6 + 459.67)*(I6 + 459.67) + 6.5459673*LN((I6 + 459.67))), EXP(-10214.165/(I6 + 459.67) + -4.8932428 + -0.005376579*(I6 + 459.67) + 0.00000019202377*(I6 + 459.67)*(I6 + 459.67) + 0.00000000035575832*(I6 + 459.67)*(I6 + 459.67)*(I6 + 459.67) + -9.0344688E-14*(I6 + 459.67)*(I6 + 459.67)*(I6 + 459.67)*(I6 + 459.67) + 4.1635019*LN((I6 + 459.67))))</f>
        <v>0.19251621042600386</v>
      </c>
      <c r="J14" s="339"/>
    </row>
    <row r="15" spans="2:10">
      <c r="B15" s="305"/>
      <c r="C15" s="319" t="s">
        <v>270</v>
      </c>
      <c r="D15" s="320">
        <f>0.370486*((D6) + 459.67) * (1 + 1.607858*(0.621945*(IF((E15 + 459.67) &gt; 491.67, EXP(-10440.397/(E15 + 459.67) + -11.29465 + -0.027022355*(E15 + 459.67) + 0.00001289036*(E15 + 459.67)*(E15 + 459.67) + -0.0000000024780681*(E15 + 459.67)*(E15 + 459.67)*(E15 + 459.67) + 6.5459673*LN((E15 + 459.67))), EXP(-10214.165/(E15 + 459.67) + -4.8932428 + -0.005376579*(E15 + 459.67) + 0.00000019202377*(E15 + 459.67)*(E15 + 459.67) + 0.00000000035575832*(E15 + 459.67)*(E15 + 459.67)*(E15 + 459.67) + -9.0344688E-14*(E15 + 459.67)*(E15 + 459.67)*(E15 + 459.67)*(E15 + 459.67) + 4.1635019*LN((E15 + 459.67)))))/((F6)-(IF((E15 + 459.67) &gt; 491.67, EXP(-10440.397/(E15 + 459.67) + -11.29465 + -0.027022355*(E15 + 459.67) + 0.00001289036*(E15 + 459.67)*(E15 + 459.67) + -0.0000000024780681*(E15 + 459.67)*(E15 + 459.67)*(E15 + 459.67) + 6.5459673*LN((E15 + 459.67))), EXP(-10214.165/(E15 + 459.67) + -4.8932428 + -0.005376579*(E15 + 459.67) + 0.00000019202377*(E15 + 459.67)*(E15 + 459.67) + 0.00000000035575832*(E15 + 459.67)*(E15 + 459.67)*(E15 + 459.67) + -9.0344688E-14*(E15 + 459.67)*(E15 + 459.67)*(E15 + 459.67)*(E15 + 459.67) + 4.1635019*LN((E15 + 459.67))))))))/(F6)</f>
        <v>13.553136990474133</v>
      </c>
      <c r="E15" s="334">
        <f>D7/100</f>
        <v>0.66200000000000003</v>
      </c>
      <c r="F15" s="306"/>
      <c r="G15" s="306"/>
      <c r="H15" s="321" t="s">
        <v>270</v>
      </c>
      <c r="I15" s="320">
        <f>0.370486*((I6) + 459.67) * (1 + 1.607858*(0.621945*(IF((J15 + 459.67) &gt; 491.67, EXP(-10440.397/(J15 + 459.67) + -11.29465 + -0.027022355*(J15 + 459.67) + 0.00001289036*(J15 + 459.67)*(J15 + 459.67) + -0.0000000024780681*(J15 + 459.67)*(J15 + 459.67)*(J15 + 459.67) + 6.5459673*LN((J15 + 459.67))), EXP(-10214.165/(J15 + 459.67) + -4.8932428 + -0.005376579*(J15 + 459.67) + 0.00000019202377*(J15 + 459.67)*(J15 + 459.67) + 0.00000000035575832*(J15 + 459.67)*(J15 + 459.67)*(J15 + 459.67) + -9.0344688E-14*(J15 + 459.67)*(J15 + 459.67)*(J15 + 459.67)*(J15 + 459.67) + 4.1635019*LN((J15 + 459.67)))))/((F6)-(IF((J15 + 459.67) &gt; 491.67, EXP(-10440.397/(J15 + 459.67) + -11.29465 + -0.027022355*(J15 + 459.67) + 0.00001289036*(J15 + 459.67)*(J15 + 459.67) + -0.0000000024780681*(J15 + 459.67)*(J15 + 459.67)*(J15 + 459.67) + 6.5459673*LN((J15 + 459.67))), EXP(-10214.165/(J15 + 459.67) + -4.8932428 + -0.005376579*(J15 + 459.67) + 0.00000019202377*(J15 + 459.67)*(J15 + 459.67) + 0.00000000035575832*(J15 + 459.67)*(J15 + 459.67)*(J15 + 459.67) + -9.0344688E-14*(J15 + 459.67)*(J15 + 459.67)*(J15 + 459.67)*(J15 + 459.67) + 4.1635019*LN((J15 + 459.67))))))))/(F6)</f>
        <v>13.03629137913104</v>
      </c>
      <c r="J15" s="340">
        <f>I7/100</f>
        <v>0.93400000000000005</v>
      </c>
    </row>
    <row r="16" spans="2:10">
      <c r="B16" s="305"/>
      <c r="C16" s="319" t="s">
        <v>271</v>
      </c>
      <c r="D16" s="320">
        <f>IF((D7 + 459.67) &gt; 491.67, EXP(-10440.397/(D7 + 459.67) + -11.29465 + -0.027022355*(D7 + 459.67) + 0.00001289036*(D7 + 459.67)*(D7 + 459.67) + -0.0000000024780681*(D7 + 459.67)*(D7 + 459.67)*(D7 + 459.67) + 6.5459673*LN((D7 + 459.67))), EXP(-10214.165/(D7 + 459.67) + -4.8932428 + -0.005376579*(D7 + 459.67) + 0.00000019202377*(D7 + 459.67)*(D7 + 459.67) + 0.00000000035575832*(D7 + 459.67)*(D7 + 459.67)*(D7 + 459.67) + -9.0344688E-14*(D7 + 459.67)*(D7 + 459.67)*(D7 + 459.67)*(D7 + 459.67) + 4.1635019*LN((D7 + 459.67))))</f>
        <v>0.31876328237561663</v>
      </c>
      <c r="E16" s="305"/>
      <c r="F16" s="306"/>
      <c r="G16" s="306"/>
      <c r="H16" s="319" t="s">
        <v>271</v>
      </c>
      <c r="I16" s="320">
        <f t="shared" ref="I16" si="0">IF((I7 + 459.67) &gt; 491.67, EXP(-10440.397/(I7 + 459.67) + -11.29465 + -0.027022355*(I7 + 459.67) + 0.00001289036*(I7 + 459.67)*(I7 + 459.67) + -0.0000000024780681*(I7 + 459.67)*(I7 + 459.67)*(I7 + 459.67) + 6.5459673*LN((I7 + 459.67))), EXP(-10214.165/(I7 + 459.67) + -4.8932428 + -0.005376579*(I7 + 459.67) + 0.00000019202377*(I7 + 459.67)*(I7 + 459.67) + 0.00000000035575832*(I7 + 459.67)*(I7 + 459.67)*(I7 + 459.67) + -9.0344688E-14*(I7 + 459.67)*(I7 + 459.67)*(I7 + 459.67)*(I7 + 459.67) + 4.1635019*LN((I7 + 459.67))))</f>
        <v>0.7769615317689299</v>
      </c>
      <c r="J16" s="341"/>
    </row>
    <row r="17" spans="2:10">
      <c r="B17" s="305"/>
      <c r="C17" s="314" t="s">
        <v>276</v>
      </c>
      <c r="D17" s="320">
        <f>1/D15</f>
        <v>7.3783656189917751E-2</v>
      </c>
      <c r="E17" s="306"/>
      <c r="F17" s="306"/>
      <c r="G17" s="306"/>
      <c r="H17" s="314" t="s">
        <v>276</v>
      </c>
      <c r="I17" s="320">
        <f>1/I15</f>
        <v>7.6708932848864958E-2</v>
      </c>
      <c r="J17" s="307"/>
    </row>
    <row r="18" spans="2:10" ht="6.75" customHeight="1">
      <c r="B18" s="305"/>
      <c r="C18" s="306"/>
      <c r="D18" s="306"/>
      <c r="E18" s="306"/>
      <c r="F18" s="306"/>
      <c r="G18" s="306"/>
      <c r="H18" s="306"/>
      <c r="I18" s="306"/>
      <c r="J18" s="307"/>
    </row>
    <row r="19" spans="2:10">
      <c r="B19" s="305"/>
      <c r="C19" s="306"/>
      <c r="D19" s="346" t="s">
        <v>272</v>
      </c>
      <c r="E19" s="349">
        <v>1600</v>
      </c>
      <c r="F19" s="306"/>
      <c r="G19" s="351">
        <f>(60*AVERAGE((1/D15),(1/I15)))*E19*(ABS(D11-I11))</f>
        <v>63885.585058362027</v>
      </c>
      <c r="H19" s="348" t="s">
        <v>294</v>
      </c>
      <c r="I19" s="306"/>
      <c r="J19" s="307"/>
    </row>
    <row r="20" spans="2:10">
      <c r="B20" s="305"/>
      <c r="C20" s="306"/>
      <c r="D20" s="346" t="s">
        <v>273</v>
      </c>
      <c r="E20" s="350">
        <f>ROUND(E19*(F6/14.696)*(519/(460+D6)),1)</f>
        <v>1545.7</v>
      </c>
      <c r="F20" s="306"/>
      <c r="G20" s="356">
        <f>G19/12000</f>
        <v>5.3237987548635024</v>
      </c>
      <c r="H20" s="348" t="s">
        <v>295</v>
      </c>
      <c r="I20" s="306"/>
      <c r="J20" s="307"/>
    </row>
    <row r="21" spans="2:10" ht="3.75" customHeight="1">
      <c r="B21" s="305"/>
      <c r="C21" s="306"/>
      <c r="D21" s="306"/>
      <c r="E21" s="308"/>
      <c r="F21" s="306"/>
      <c r="G21" s="306"/>
      <c r="H21" s="306"/>
      <c r="I21" s="306"/>
      <c r="J21" s="307"/>
    </row>
    <row r="22" spans="2:10" ht="3.75" customHeight="1">
      <c r="B22" s="357"/>
      <c r="C22" s="303"/>
      <c r="D22" s="303"/>
      <c r="E22" s="358"/>
      <c r="F22" s="303"/>
      <c r="G22" s="303"/>
      <c r="H22" s="303"/>
      <c r="I22" s="303"/>
      <c r="J22" s="304"/>
    </row>
    <row r="23" spans="2:10">
      <c r="B23" s="305"/>
      <c r="C23" s="360" t="s">
        <v>282</v>
      </c>
      <c r="D23" s="306"/>
      <c r="E23" s="308"/>
      <c r="F23" s="306"/>
      <c r="G23" s="306"/>
      <c r="H23" s="306"/>
      <c r="I23" s="306"/>
      <c r="J23" s="342"/>
    </row>
    <row r="24" spans="2:10">
      <c r="B24" s="305"/>
      <c r="C24" s="308"/>
      <c r="D24" s="347" t="s">
        <v>280</v>
      </c>
      <c r="E24" s="351">
        <f>4.5*E19*ABS((D11-I11))</f>
        <v>63676.47616378477</v>
      </c>
      <c r="F24" s="323" t="s">
        <v>267</v>
      </c>
      <c r="G24" s="306"/>
      <c r="H24" s="306"/>
      <c r="I24" s="306"/>
      <c r="J24" s="342"/>
    </row>
    <row r="25" spans="2:10">
      <c r="B25" s="305"/>
      <c r="C25" s="308"/>
      <c r="D25" s="346" t="s">
        <v>279</v>
      </c>
      <c r="E25" s="351">
        <f>1.08*E19*ABS((D6-I6))</f>
        <v>35078.400000000009</v>
      </c>
      <c r="F25" s="348" t="s">
        <v>266</v>
      </c>
      <c r="G25" s="306"/>
      <c r="H25" s="306"/>
      <c r="I25" s="306"/>
      <c r="J25" s="342"/>
    </row>
    <row r="26" spans="2:10">
      <c r="B26" s="305"/>
      <c r="C26" s="306"/>
      <c r="D26" s="346" t="s">
        <v>278</v>
      </c>
      <c r="E26" s="351">
        <f>E24-E25</f>
        <v>28598.076163784761</v>
      </c>
      <c r="F26" s="323" t="s">
        <v>281</v>
      </c>
      <c r="G26" s="306"/>
      <c r="H26" s="306"/>
      <c r="I26" s="306"/>
      <c r="J26" s="307"/>
    </row>
    <row r="27" spans="2:10">
      <c r="B27" s="324"/>
      <c r="C27" s="325"/>
      <c r="D27" s="327" t="s">
        <v>293</v>
      </c>
      <c r="E27" s="361">
        <f>E25/E24*100</f>
        <v>55.088475545935481</v>
      </c>
      <c r="F27" s="362"/>
      <c r="G27" s="325"/>
      <c r="H27" s="325"/>
      <c r="I27" s="325"/>
      <c r="J27" s="326"/>
    </row>
    <row r="28" spans="2:10" ht="4.5" customHeight="1">
      <c r="B28" s="305"/>
      <c r="C28" s="306"/>
      <c r="D28" s="346"/>
      <c r="E28" s="351"/>
      <c r="F28" s="323"/>
      <c r="G28" s="306"/>
      <c r="H28" s="306"/>
      <c r="I28" s="306"/>
      <c r="J28" s="307"/>
    </row>
    <row r="29" spans="2:10">
      <c r="B29" s="305"/>
      <c r="C29" s="360" t="s">
        <v>298</v>
      </c>
      <c r="D29" s="346"/>
      <c r="E29" s="351"/>
      <c r="F29" s="323"/>
      <c r="G29" s="306"/>
      <c r="H29" s="306"/>
      <c r="I29" s="306"/>
      <c r="J29" s="307"/>
    </row>
    <row r="30" spans="2:10">
      <c r="B30" s="305"/>
      <c r="C30" s="308"/>
      <c r="D30" s="346" t="s">
        <v>283</v>
      </c>
      <c r="E30" s="351">
        <f>4.5*E20*ABS((D11-I11))</f>
        <v>61515.455753976326</v>
      </c>
      <c r="F30" s="323" t="s">
        <v>275</v>
      </c>
      <c r="G30" s="306"/>
      <c r="H30" s="306"/>
      <c r="I30" s="306"/>
      <c r="J30" s="307"/>
    </row>
    <row r="31" spans="2:10">
      <c r="B31" s="305"/>
      <c r="C31" s="306"/>
      <c r="D31" s="346" t="s">
        <v>284</v>
      </c>
      <c r="E31" s="351">
        <f>1.08*E19*ABS((D6-I6))</f>
        <v>35078.400000000009</v>
      </c>
      <c r="F31" s="323" t="s">
        <v>266</v>
      </c>
      <c r="G31" s="306"/>
      <c r="H31" s="306"/>
      <c r="I31" s="306"/>
      <c r="J31" s="307"/>
    </row>
    <row r="32" spans="2:10">
      <c r="B32" s="305"/>
      <c r="C32" s="306"/>
      <c r="D32" s="322" t="s">
        <v>265</v>
      </c>
      <c r="E32" s="351">
        <f>E30-E31</f>
        <v>26437.055753976318</v>
      </c>
      <c r="F32" s="323" t="s">
        <v>299</v>
      </c>
      <c r="G32" s="306"/>
      <c r="H32" s="306"/>
      <c r="I32" s="306"/>
      <c r="J32" s="307"/>
    </row>
    <row r="33" spans="2:12">
      <c r="B33" s="324"/>
      <c r="C33" s="325"/>
      <c r="D33" s="327" t="s">
        <v>293</v>
      </c>
      <c r="E33" s="363">
        <f>E31/E30*100</f>
        <v>57.023717974701924</v>
      </c>
      <c r="F33" s="362"/>
      <c r="G33" s="325"/>
      <c r="H33" s="325"/>
      <c r="I33" s="325"/>
      <c r="J33" s="326"/>
    </row>
    <row r="34" spans="2:12" ht="4.5" customHeight="1">
      <c r="B34" s="305"/>
      <c r="C34" s="306"/>
      <c r="D34" s="346"/>
      <c r="E34" s="352"/>
      <c r="F34" s="323"/>
      <c r="G34" s="306"/>
      <c r="H34" s="306"/>
      <c r="I34" s="306"/>
      <c r="J34" s="307"/>
    </row>
    <row r="35" spans="2:12">
      <c r="B35" s="305"/>
      <c r="C35" s="360" t="s">
        <v>296</v>
      </c>
      <c r="D35" s="346"/>
      <c r="E35" s="352"/>
      <c r="F35" s="323"/>
      <c r="G35" s="306"/>
      <c r="H35" s="306"/>
      <c r="I35" s="306"/>
      <c r="J35" s="307"/>
    </row>
    <row r="36" spans="2:12">
      <c r="B36" s="305"/>
      <c r="C36" s="306"/>
      <c r="D36" s="346" t="s">
        <v>285</v>
      </c>
      <c r="E36" s="353">
        <f>E38+E37</f>
        <v>62384.934216750989</v>
      </c>
      <c r="F36" s="323" t="s">
        <v>297</v>
      </c>
      <c r="G36" s="306"/>
      <c r="H36" s="306"/>
      <c r="I36" s="306"/>
      <c r="J36" s="307"/>
      <c r="L36" s="359"/>
    </row>
    <row r="37" spans="2:12">
      <c r="B37" s="305"/>
      <c r="C37" s="306"/>
      <c r="D37" s="346" t="s">
        <v>286</v>
      </c>
      <c r="E37" s="353">
        <f>60*0.24*AVERAGE(D17,I17)*E19*(D6-I6)</f>
        <v>35193.594902253571</v>
      </c>
      <c r="F37" s="323" t="s">
        <v>277</v>
      </c>
      <c r="G37" s="306"/>
      <c r="H37" s="306"/>
      <c r="I37" s="306"/>
      <c r="J37" s="307"/>
    </row>
    <row r="38" spans="2:12">
      <c r="B38" s="305"/>
      <c r="C38" s="306"/>
      <c r="D38" s="346" t="s">
        <v>287</v>
      </c>
      <c r="E38" s="353">
        <f>0.68*E19*ABS((I13-D13))</f>
        <v>27191.339314497418</v>
      </c>
      <c r="F38" s="323" t="s">
        <v>274</v>
      </c>
      <c r="G38" s="306"/>
      <c r="H38" s="306"/>
      <c r="I38" s="306"/>
      <c r="J38" s="307"/>
    </row>
    <row r="39" spans="2:12">
      <c r="B39" s="324"/>
      <c r="C39" s="325"/>
      <c r="D39" s="327" t="s">
        <v>293</v>
      </c>
      <c r="E39" s="363">
        <f>E37/E36*100</f>
        <v>56.413612267308821</v>
      </c>
      <c r="F39" s="362"/>
      <c r="G39" s="325"/>
      <c r="H39" s="325"/>
      <c r="I39" s="325"/>
      <c r="J39" s="326"/>
    </row>
    <row r="40" spans="2:12" ht="5.25" customHeight="1">
      <c r="B40" s="305"/>
      <c r="C40" s="306"/>
      <c r="D40" s="322"/>
      <c r="E40" s="352"/>
      <c r="F40" s="323"/>
      <c r="G40" s="306"/>
      <c r="H40" s="306"/>
      <c r="I40" s="306"/>
      <c r="J40" s="307"/>
    </row>
    <row r="41" spans="2:12">
      <c r="B41" s="305"/>
      <c r="C41" s="360" t="s">
        <v>292</v>
      </c>
      <c r="D41" s="322"/>
      <c r="E41" s="352"/>
      <c r="F41" s="323"/>
      <c r="G41" s="306"/>
      <c r="H41" s="306"/>
      <c r="I41" s="306"/>
      <c r="J41" s="307"/>
    </row>
    <row r="42" spans="2:12">
      <c r="B42" s="305"/>
      <c r="C42" s="306"/>
      <c r="D42" s="346" t="s">
        <v>288</v>
      </c>
      <c r="E42" s="353">
        <f>(60*AVERAGE((1/D15),(1/I15)))*E19*(ABS(D11-I11))</f>
        <v>63885.585058362027</v>
      </c>
      <c r="F42" s="323" t="s">
        <v>291</v>
      </c>
      <c r="G42" s="306"/>
      <c r="H42" s="306"/>
      <c r="I42" s="306"/>
      <c r="J42" s="307"/>
    </row>
    <row r="43" spans="2:12">
      <c r="B43" s="305"/>
      <c r="C43" s="306"/>
      <c r="D43" s="346" t="s">
        <v>289</v>
      </c>
      <c r="E43" s="353">
        <f>60*0.24*AVERAGE(D17,I17)*E19*(D6-I6)</f>
        <v>35193.594902253571</v>
      </c>
      <c r="F43" s="323" t="s">
        <v>277</v>
      </c>
      <c r="G43" s="306"/>
      <c r="H43" s="306"/>
      <c r="I43" s="306"/>
      <c r="J43" s="307"/>
    </row>
    <row r="44" spans="2:12">
      <c r="B44" s="305"/>
      <c r="C44" s="306"/>
      <c r="D44" s="346" t="s">
        <v>290</v>
      </c>
      <c r="E44" s="354">
        <f>0.68*E19*ABS((I13-D13))</f>
        <v>27191.339314497418</v>
      </c>
      <c r="F44" s="323" t="s">
        <v>274</v>
      </c>
      <c r="G44" s="306"/>
      <c r="H44" s="306"/>
      <c r="I44" s="306"/>
      <c r="J44" s="307"/>
    </row>
    <row r="45" spans="2:12">
      <c r="B45" s="305"/>
      <c r="C45" s="306"/>
      <c r="D45" s="346" t="s">
        <v>293</v>
      </c>
      <c r="E45" s="355">
        <f>E43/E42*100</f>
        <v>55.088475545935481</v>
      </c>
      <c r="F45" s="323"/>
      <c r="G45" s="306"/>
      <c r="H45" s="306"/>
      <c r="I45" s="306"/>
      <c r="J45" s="307"/>
    </row>
    <row r="46" spans="2:12" ht="4.5" customHeight="1">
      <c r="B46" s="324"/>
      <c r="C46" s="325"/>
      <c r="D46" s="327"/>
      <c r="E46" s="363"/>
      <c r="F46" s="362"/>
      <c r="G46" s="325"/>
      <c r="H46" s="325"/>
      <c r="I46" s="325"/>
      <c r="J46" s="326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A57"/>
  <sheetViews>
    <sheetView showGridLines="0" topLeftCell="A19" workbookViewId="0">
      <selection activeCell="G9" sqref="G9"/>
    </sheetView>
  </sheetViews>
  <sheetFormatPr defaultRowHeight="15"/>
  <cols>
    <col min="1" max="1" width="3.42578125" customWidth="1"/>
    <col min="2" max="2" width="4.28515625" customWidth="1"/>
    <col min="3" max="3" width="11.5703125" customWidth="1"/>
    <col min="5" max="5" width="10.85546875" customWidth="1"/>
    <col min="6" max="6" width="2.7109375" customWidth="1"/>
    <col min="8" max="8" width="2.42578125" customWidth="1"/>
    <col min="9" max="9" width="3.5703125" customWidth="1"/>
    <col min="10" max="10" width="4.28515625" customWidth="1"/>
    <col min="11" max="11" width="11.5703125" customWidth="1"/>
    <col min="12" max="12" width="9.140625" customWidth="1"/>
    <col min="13" max="13" width="10.85546875" customWidth="1"/>
    <col min="14" max="14" width="2.7109375" customWidth="1"/>
    <col min="16" max="16" width="2.42578125" customWidth="1"/>
    <col min="17" max="17" width="3.5703125" customWidth="1"/>
    <col min="18" max="18" width="8.42578125" customWidth="1"/>
    <col min="19" max="19" width="8" customWidth="1"/>
    <col min="20" max="20" width="6.85546875" customWidth="1"/>
    <col min="22" max="22" width="4.140625" customWidth="1"/>
    <col min="23" max="23" width="7.5703125" customWidth="1"/>
    <col min="24" max="24" width="3.42578125" customWidth="1"/>
    <col min="26" max="26" width="2.5703125" customWidth="1"/>
    <col min="27" max="27" width="20.140625" customWidth="1"/>
  </cols>
  <sheetData>
    <row r="1" spans="2:27">
      <c r="B1" s="288"/>
      <c r="D1" s="288" t="s">
        <v>300</v>
      </c>
      <c r="J1" s="287"/>
    </row>
    <row r="2" spans="2:27">
      <c r="B2" s="5" t="s">
        <v>244</v>
      </c>
      <c r="C2" s="6"/>
      <c r="D2" s="6"/>
      <c r="E2" s="6"/>
      <c r="F2" s="6"/>
      <c r="G2" s="6"/>
      <c r="H2" s="7"/>
      <c r="J2" s="5" t="s">
        <v>244</v>
      </c>
      <c r="K2" s="272"/>
      <c r="L2" s="6"/>
      <c r="M2" s="272"/>
      <c r="N2" s="6"/>
      <c r="O2" s="6"/>
      <c r="P2" s="7"/>
      <c r="R2" s="5"/>
      <c r="S2" s="6" t="s">
        <v>220</v>
      </c>
      <c r="T2" s="6"/>
      <c r="U2" s="6"/>
      <c r="V2" s="6"/>
      <c r="W2" s="6"/>
      <c r="X2" s="6"/>
      <c r="Y2" s="6"/>
      <c r="Z2" s="6"/>
      <c r="AA2" s="7"/>
    </row>
    <row r="3" spans="2:27">
      <c r="B3" s="283"/>
      <c r="C3" s="267" t="s">
        <v>236</v>
      </c>
      <c r="D3" s="3"/>
      <c r="E3" s="3"/>
      <c r="F3" s="3"/>
      <c r="G3" s="3"/>
      <c r="H3" s="12"/>
      <c r="J3" s="283"/>
      <c r="K3" s="267" t="s">
        <v>241</v>
      </c>
      <c r="L3" s="3"/>
      <c r="M3" s="267"/>
      <c r="N3" s="3"/>
      <c r="O3" s="3"/>
      <c r="P3" s="12"/>
      <c r="R3" s="109"/>
      <c r="S3" s="298" t="s">
        <v>247</v>
      </c>
      <c r="T3" s="259"/>
      <c r="U3" s="234"/>
      <c r="V3" s="294"/>
      <c r="W3" s="259" t="s">
        <v>221</v>
      </c>
      <c r="X3" s="234"/>
      <c r="Y3" s="33"/>
      <c r="Z3" s="3"/>
      <c r="AA3" s="291"/>
    </row>
    <row r="4" spans="2:27">
      <c r="B4" s="283"/>
      <c r="C4" s="267" t="s">
        <v>237</v>
      </c>
      <c r="D4" s="267"/>
      <c r="E4" s="267" t="s">
        <v>238</v>
      </c>
      <c r="F4" s="3"/>
      <c r="G4" s="3"/>
      <c r="H4" s="12"/>
      <c r="J4" s="283"/>
      <c r="K4" s="267" t="s">
        <v>242</v>
      </c>
      <c r="L4" s="3"/>
      <c r="M4" s="3"/>
      <c r="N4" s="3"/>
      <c r="O4" s="3"/>
      <c r="P4" s="12"/>
      <c r="R4" s="109"/>
      <c r="S4" s="75" t="s">
        <v>238</v>
      </c>
      <c r="T4" s="266">
        <v>12</v>
      </c>
      <c r="U4" s="300" t="str">
        <f>IF(S4&lt;30,'Traverse Points'!$A$3 &amp; 'Traverse Points'!$E$3,IF(S4&lt;63,'Traverse Points'!$A$4 &amp; 'Traverse Points'!$E$4,'Traverse Points'!$A$5 &amp; 'Traverse Points'!$E$5))</f>
        <v>16, 62, 112, 152, 193, 244, 289 mm (7)</v>
      </c>
      <c r="V4" s="262"/>
      <c r="W4" s="75"/>
      <c r="X4" s="75"/>
      <c r="Y4" s="105"/>
      <c r="Z4" s="282"/>
      <c r="AA4" s="291"/>
    </row>
    <row r="5" spans="2:27">
      <c r="B5" s="283"/>
      <c r="C5" s="269">
        <v>12</v>
      </c>
      <c r="D5" s="18"/>
      <c r="E5" s="269">
        <v>10</v>
      </c>
      <c r="F5" s="75"/>
      <c r="G5" s="271"/>
      <c r="H5" s="63"/>
      <c r="J5" s="283"/>
      <c r="K5" s="268">
        <v>10</v>
      </c>
      <c r="L5" s="3"/>
      <c r="M5" s="270"/>
      <c r="N5" s="3"/>
      <c r="O5" s="3"/>
      <c r="P5" s="12"/>
      <c r="R5" s="109"/>
      <c r="S5" s="75" t="s">
        <v>237</v>
      </c>
      <c r="T5" s="263">
        <v>10</v>
      </c>
      <c r="U5" s="300" t="str">
        <f>IF(S5&lt;30,'Traverse Points'!$G$3 &amp; 'Traverse Points'!$K$3,IF(S5&lt;63,'Traverse Points'!$G$4 &amp; 'Traverse Points'!$K$4,'Traverse Points'!$G$5 &amp; 'Traverse Points'!$K$5))</f>
        <v>13, 52, 93, 127, 161, 203, 241 mm (7)</v>
      </c>
      <c r="V5" s="262"/>
      <c r="W5" s="3"/>
      <c r="X5" s="3"/>
      <c r="Y5" s="230"/>
      <c r="Z5" s="282"/>
      <c r="AA5" s="291"/>
    </row>
    <row r="6" spans="2:27">
      <c r="B6" s="283"/>
      <c r="C6" s="273" t="s">
        <v>0</v>
      </c>
      <c r="D6" s="274"/>
      <c r="E6" s="275" t="s">
        <v>240</v>
      </c>
      <c r="F6" s="276"/>
      <c r="G6" s="270"/>
      <c r="H6" s="12"/>
      <c r="J6" s="283"/>
      <c r="K6" s="273" t="s">
        <v>0</v>
      </c>
      <c r="L6" s="274"/>
      <c r="M6" s="275" t="s">
        <v>240</v>
      </c>
      <c r="N6" s="276"/>
      <c r="O6" s="3"/>
      <c r="P6" s="12"/>
      <c r="R6" s="256"/>
      <c r="S6" s="31"/>
      <c r="T6" s="232"/>
      <c r="U6" s="31"/>
      <c r="V6" s="233"/>
      <c r="W6" s="233"/>
      <c r="X6" s="233"/>
      <c r="Y6" s="31"/>
      <c r="Z6" s="230"/>
      <c r="AA6" s="291"/>
    </row>
    <row r="7" spans="2:27" ht="15.75">
      <c r="B7" s="283"/>
      <c r="C7" s="281">
        <f>E7*(($C$5*$E$5)/144)</f>
        <v>808.56345583175982</v>
      </c>
      <c r="D7" s="278"/>
      <c r="E7" s="279">
        <f>AVERAGEIF(G9:G57,"&lt;&gt;0")</f>
        <v>970.27614699811181</v>
      </c>
      <c r="F7" s="280"/>
      <c r="G7" s="3"/>
      <c r="H7" s="12"/>
      <c r="J7" s="283"/>
      <c r="K7" s="277">
        <f>M7*( PI()*($K$5/2/12)^2)</f>
        <v>503.13410557391325</v>
      </c>
      <c r="L7" s="278"/>
      <c r="M7" s="279">
        <f>AVERAGEIF(O9:O38,"&lt;&gt;0")</f>
        <v>922.4787449111941</v>
      </c>
      <c r="N7" s="280"/>
      <c r="O7" s="3"/>
      <c r="P7" s="12"/>
      <c r="R7" s="30"/>
      <c r="S7" s="234"/>
      <c r="T7" s="259" t="s">
        <v>246</v>
      </c>
      <c r="U7" s="18"/>
      <c r="V7" s="293"/>
      <c r="W7" s="292" t="s">
        <v>227</v>
      </c>
      <c r="X7" s="236"/>
      <c r="Y7" s="3"/>
      <c r="Z7" s="230"/>
      <c r="AA7" s="291"/>
    </row>
    <row r="8" spans="2:27" ht="15.75" thickBot="1">
      <c r="B8" s="283"/>
      <c r="C8" s="10" t="s">
        <v>10</v>
      </c>
      <c r="D8" s="9"/>
      <c r="E8" s="11" t="s">
        <v>243</v>
      </c>
      <c r="F8" s="11"/>
      <c r="G8" s="10" t="s">
        <v>239</v>
      </c>
      <c r="H8" s="206"/>
      <c r="J8" s="283"/>
      <c r="K8" s="10" t="s">
        <v>10</v>
      </c>
      <c r="L8" s="9"/>
      <c r="M8" s="11" t="s">
        <v>243</v>
      </c>
      <c r="N8" s="11"/>
      <c r="O8" s="10" t="s">
        <v>239</v>
      </c>
      <c r="P8" s="206"/>
      <c r="R8" s="30"/>
      <c r="S8" s="233" t="s">
        <v>233</v>
      </c>
      <c r="T8" s="264">
        <v>10</v>
      </c>
      <c r="U8" s="296"/>
      <c r="V8" s="254" t="str">
        <f>INT(Z8) &amp; " " &amp;TEXT(MOD(MROUND(Z8,1/16),1),"#-#/##")&amp;"""" &amp; " or " &amp; ROUND(Z8*25.4,0) &amp; " mm"</f>
        <v>31 7/16" or 798 mm</v>
      </c>
      <c r="W8" s="131"/>
      <c r="X8" s="131"/>
      <c r="Y8" s="3"/>
      <c r="Z8" s="238">
        <f>2*PI()*(T8/2)</f>
        <v>31.415926535897931</v>
      </c>
      <c r="AA8" s="291"/>
    </row>
    <row r="9" spans="2:27">
      <c r="B9" s="285">
        <v>1</v>
      </c>
      <c r="C9" s="35">
        <f>IF(E9,G9*(($C$5*$E$5)/144),"")</f>
        <v>782.71312992053481</v>
      </c>
      <c r="D9" s="13"/>
      <c r="E9" s="1">
        <v>5.5E-2</v>
      </c>
      <c r="F9" s="14"/>
      <c r="G9" s="51">
        <f t="shared" ref="G9:G15" si="0">IF(E9,(SQRT(E9)*4005),"")</f>
        <v>939.25575590464177</v>
      </c>
      <c r="H9" s="173"/>
      <c r="J9" s="285">
        <v>1</v>
      </c>
      <c r="K9" s="35">
        <f t="shared" ref="K9:K38" si="1">IF(M9,O9*( PI()*($K$5/2/12)^2),"")</f>
        <v>436.87772838983062</v>
      </c>
      <c r="L9" s="13"/>
      <c r="M9" s="1">
        <v>0.04</v>
      </c>
      <c r="N9" s="14"/>
      <c r="O9" s="51">
        <f t="shared" ref="O9:O18" si="2">IF(M9,(SQRT(M9)*4005),"")</f>
        <v>801</v>
      </c>
      <c r="P9" s="173"/>
      <c r="R9" s="30"/>
      <c r="S9" s="231"/>
      <c r="T9" s="255"/>
      <c r="U9" s="255"/>
      <c r="V9" s="255" t="s">
        <v>229</v>
      </c>
      <c r="W9" s="237" t="str">
        <f>ROUND(T8*25.4/6,0) &amp; " mm"</f>
        <v>42 mm</v>
      </c>
      <c r="X9" s="238"/>
      <c r="Y9" s="18" t="s">
        <v>269</v>
      </c>
      <c r="Z9" s="230"/>
      <c r="AA9" s="291"/>
    </row>
    <row r="10" spans="2:27">
      <c r="B10" s="284">
        <v>2</v>
      </c>
      <c r="C10" s="35">
        <f t="shared" ref="C10:C40" si="3">IF(E10,G10*(($C$5*$E$5)/144),"")</f>
        <v>775.56491507803514</v>
      </c>
      <c r="D10" s="13"/>
      <c r="E10" s="1">
        <v>5.3999999999999999E-2</v>
      </c>
      <c r="F10" s="14"/>
      <c r="G10" s="51">
        <f t="shared" si="0"/>
        <v>930.67789809364217</v>
      </c>
      <c r="H10" s="15"/>
      <c r="J10" s="284">
        <v>2</v>
      </c>
      <c r="K10" s="35">
        <f t="shared" si="1"/>
        <v>507.60604991482234</v>
      </c>
      <c r="L10" s="13"/>
      <c r="M10" s="1">
        <v>5.3999999999999999E-2</v>
      </c>
      <c r="N10" s="14"/>
      <c r="O10" s="51">
        <f t="shared" si="2"/>
        <v>930.67789809364217</v>
      </c>
      <c r="P10" s="15"/>
      <c r="R10" s="17"/>
      <c r="S10" s="231"/>
      <c r="T10" s="255"/>
      <c r="U10" s="255"/>
      <c r="V10" s="255" t="s">
        <v>230</v>
      </c>
      <c r="W10" s="237" t="str">
        <f>ROUND(T8*25.4/3,0) &amp; " mm"</f>
        <v>85 mm</v>
      </c>
      <c r="X10" s="238"/>
      <c r="Y10" s="302" t="s">
        <v>269</v>
      </c>
      <c r="Z10" s="230"/>
      <c r="AA10" s="291"/>
    </row>
    <row r="11" spans="2:27">
      <c r="B11" s="284">
        <v>3</v>
      </c>
      <c r="C11" s="35">
        <f t="shared" si="3"/>
        <v>789.79665104379876</v>
      </c>
      <c r="D11" s="13"/>
      <c r="E11" s="1">
        <v>5.6000000000000001E-2</v>
      </c>
      <c r="F11" s="14"/>
      <c r="G11" s="51">
        <f t="shared" si="0"/>
        <v>947.75598125255851</v>
      </c>
      <c r="H11" s="15"/>
      <c r="J11" s="284">
        <v>3</v>
      </c>
      <c r="K11" s="35">
        <f t="shared" si="1"/>
        <v>516.92069932271249</v>
      </c>
      <c r="L11" s="13"/>
      <c r="M11" s="1">
        <v>5.6000000000000001E-2</v>
      </c>
      <c r="N11" s="14"/>
      <c r="O11" s="51">
        <f t="shared" si="2"/>
        <v>947.75598125255851</v>
      </c>
      <c r="P11" s="15"/>
      <c r="R11" s="16"/>
      <c r="S11" s="265"/>
      <c r="T11" s="297" t="s">
        <v>246</v>
      </c>
      <c r="U11" s="265"/>
      <c r="V11" s="265"/>
      <c r="W11" s="259" t="str">
        <f>LEN(TRIM(U12))-LEN(SUBSTITUTE(TRIM(U12),",",""))+1 &amp; " Traverse points (mm) "</f>
        <v xml:space="preserve">6 Traverse points (mm) </v>
      </c>
      <c r="X11" s="265"/>
      <c r="Y11" s="232"/>
      <c r="Z11" s="230"/>
      <c r="AA11" s="291"/>
    </row>
    <row r="12" spans="2:27">
      <c r="B12" s="284">
        <v>4</v>
      </c>
      <c r="C12" s="35">
        <f t="shared" si="3"/>
        <v>796.81720378641432</v>
      </c>
      <c r="D12" s="13"/>
      <c r="E12" s="1">
        <v>5.7000000000000002E-2</v>
      </c>
      <c r="F12" s="14"/>
      <c r="G12" s="51">
        <f t="shared" si="0"/>
        <v>956.1806445436971</v>
      </c>
      <c r="H12" s="15"/>
      <c r="J12" s="284">
        <v>4</v>
      </c>
      <c r="K12" s="35">
        <f t="shared" si="1"/>
        <v>521.51564034778335</v>
      </c>
      <c r="L12" s="13"/>
      <c r="M12" s="1">
        <v>5.7000000000000002E-2</v>
      </c>
      <c r="N12" s="14"/>
      <c r="O12" s="51">
        <f t="shared" si="2"/>
        <v>956.1806445436971</v>
      </c>
      <c r="P12" s="15"/>
      <c r="R12" s="17"/>
      <c r="S12" s="233" t="s">
        <v>234</v>
      </c>
      <c r="T12" s="264">
        <v>6</v>
      </c>
      <c r="U12" s="299" t="str">
        <f>IF(T12&lt;10,'Traverse Points'!$A$18,'Traverse Points'!$A$19)</f>
        <v>5, 21, 49, 103, 132, 148  mm</v>
      </c>
      <c r="V12" s="290"/>
      <c r="W12" s="259"/>
      <c r="X12" s="254"/>
      <c r="Y12" s="31"/>
      <c r="Z12" s="230"/>
      <c r="AA12" s="291"/>
    </row>
    <row r="13" spans="2:27">
      <c r="B13" s="284">
        <v>5</v>
      </c>
      <c r="C13" s="35">
        <f t="shared" si="3"/>
        <v>817.51720165388565</v>
      </c>
      <c r="D13" s="13"/>
      <c r="E13" s="1">
        <v>0.06</v>
      </c>
      <c r="F13" s="14"/>
      <c r="G13" s="51">
        <f t="shared" si="0"/>
        <v>981.0206419846628</v>
      </c>
      <c r="H13" s="15"/>
      <c r="J13" s="284">
        <v>5</v>
      </c>
      <c r="K13" s="35">
        <f t="shared" si="1"/>
        <v>535.06375727065267</v>
      </c>
      <c r="L13" s="13"/>
      <c r="M13" s="1">
        <v>0.06</v>
      </c>
      <c r="N13" s="14"/>
      <c r="O13" s="51">
        <f t="shared" si="2"/>
        <v>981.0206419846628</v>
      </c>
      <c r="P13" s="15"/>
      <c r="R13" s="20"/>
      <c r="S13" s="65"/>
      <c r="T13" s="65"/>
      <c r="U13" s="65"/>
      <c r="V13" s="65"/>
      <c r="W13" s="65"/>
      <c r="X13" s="65"/>
      <c r="Y13" s="257"/>
      <c r="Z13" s="65"/>
      <c r="AA13" s="258"/>
    </row>
    <row r="14" spans="2:27">
      <c r="B14" s="284">
        <v>6</v>
      </c>
      <c r="C14" s="35">
        <f t="shared" si="3"/>
        <v>775.56491507803514</v>
      </c>
      <c r="D14" s="13"/>
      <c r="E14" s="1">
        <v>5.3999999999999999E-2</v>
      </c>
      <c r="F14" s="14"/>
      <c r="G14" s="51">
        <f t="shared" si="0"/>
        <v>930.67789809364217</v>
      </c>
      <c r="H14" s="15"/>
      <c r="J14" s="284">
        <v>6</v>
      </c>
      <c r="K14" s="35">
        <f t="shared" si="1"/>
        <v>507.60604991482234</v>
      </c>
      <c r="L14" s="13"/>
      <c r="M14" s="1">
        <v>5.3999999999999999E-2</v>
      </c>
      <c r="N14" s="14"/>
      <c r="O14" s="51">
        <f t="shared" si="2"/>
        <v>930.67789809364217</v>
      </c>
      <c r="P14" s="15"/>
    </row>
    <row r="15" spans="2:27">
      <c r="B15" s="284">
        <v>7</v>
      </c>
      <c r="C15" s="35">
        <f t="shared" si="3"/>
        <v>782.71312992053481</v>
      </c>
      <c r="D15" s="13"/>
      <c r="E15" s="1">
        <v>5.5E-2</v>
      </c>
      <c r="F15" s="14"/>
      <c r="G15" s="51">
        <f t="shared" si="0"/>
        <v>939.25575590464177</v>
      </c>
      <c r="H15" s="15"/>
      <c r="J15" s="284">
        <v>7</v>
      </c>
      <c r="K15" s="35">
        <f t="shared" si="1"/>
        <v>512.28454558888041</v>
      </c>
      <c r="L15" s="13"/>
      <c r="M15" s="1">
        <v>5.5E-2</v>
      </c>
      <c r="N15" s="14"/>
      <c r="O15" s="51">
        <f t="shared" si="2"/>
        <v>939.25575590464177</v>
      </c>
      <c r="P15" s="15"/>
      <c r="R15" s="286"/>
      <c r="S15" s="289" t="s">
        <v>56</v>
      </c>
      <c r="T15" s="23"/>
      <c r="U15" s="23"/>
      <c r="V15" s="23"/>
      <c r="W15" s="23"/>
      <c r="X15" s="23"/>
      <c r="Y15" s="23"/>
      <c r="Z15" s="6"/>
      <c r="AA15" s="7"/>
    </row>
    <row r="16" spans="2:27" ht="15.75" thickBot="1">
      <c r="B16" s="284">
        <v>8</v>
      </c>
      <c r="C16" s="35">
        <f t="shared" si="3"/>
        <v>789.79665104379876</v>
      </c>
      <c r="D16" s="13"/>
      <c r="E16" s="1">
        <v>5.6000000000000001E-2</v>
      </c>
      <c r="F16" s="14"/>
      <c r="G16" s="51">
        <f t="shared" ref="G16:G48" si="4">IF(E16,(SQRT(E16)*4005),"")</f>
        <v>947.75598125255851</v>
      </c>
      <c r="H16" s="15"/>
      <c r="J16" s="284">
        <v>8</v>
      </c>
      <c r="K16" s="35">
        <f t="shared" si="1"/>
        <v>521.51564034778335</v>
      </c>
      <c r="L16" s="13"/>
      <c r="M16" s="1">
        <v>5.7000000000000002E-2</v>
      </c>
      <c r="N16" s="14"/>
      <c r="O16" s="51">
        <f t="shared" si="2"/>
        <v>956.1806445436971</v>
      </c>
      <c r="P16" s="15"/>
      <c r="R16" s="24"/>
      <c r="S16" s="32" t="s">
        <v>40</v>
      </c>
      <c r="T16" s="32"/>
      <c r="U16" s="34" t="s">
        <v>43</v>
      </c>
      <c r="V16" s="32"/>
      <c r="W16" s="295" t="s">
        <v>42</v>
      </c>
      <c r="X16" s="32"/>
      <c r="Y16" s="34" t="s">
        <v>120</v>
      </c>
      <c r="Z16" s="32"/>
      <c r="AA16" s="47" t="s">
        <v>41</v>
      </c>
    </row>
    <row r="17" spans="2:27">
      <c r="B17" s="284">
        <v>9</v>
      </c>
      <c r="C17" s="35">
        <f t="shared" si="3"/>
        <v>796.81720378641432</v>
      </c>
      <c r="D17" s="13"/>
      <c r="E17" s="1">
        <v>5.7000000000000002E-2</v>
      </c>
      <c r="F17" s="14"/>
      <c r="G17" s="51">
        <f t="shared" si="4"/>
        <v>956.1806445436971</v>
      </c>
      <c r="H17" s="15"/>
      <c r="J17" s="284">
        <v>9</v>
      </c>
      <c r="K17" s="35">
        <f t="shared" si="1"/>
        <v>507.60604991482234</v>
      </c>
      <c r="L17" s="13"/>
      <c r="M17" s="1">
        <v>5.3999999999999999E-2</v>
      </c>
      <c r="N17" s="14"/>
      <c r="O17" s="51">
        <f t="shared" si="2"/>
        <v>930.67789809364217</v>
      </c>
      <c r="P17" s="15"/>
      <c r="R17" s="20"/>
      <c r="S17" s="65">
        <f>U17/W17</f>
        <v>511.50124056465097</v>
      </c>
      <c r="T17" s="36"/>
      <c r="U17" s="94">
        <v>503.1</v>
      </c>
      <c r="V17" s="36"/>
      <c r="W17" s="37">
        <f>(70+460)/(Y17+460) *(POWER(1-(6.8754*0.000001*AA17),5.2561))</f>
        <v>0.98357532709915474</v>
      </c>
      <c r="X17" s="35"/>
      <c r="Y17" s="85">
        <v>74</v>
      </c>
      <c r="Z17" s="35"/>
      <c r="AA17" s="49">
        <v>250</v>
      </c>
    </row>
    <row r="18" spans="2:27">
      <c r="B18" s="284">
        <v>10</v>
      </c>
      <c r="C18" s="35">
        <f t="shared" si="3"/>
        <v>782.71312992053481</v>
      </c>
      <c r="D18" s="13"/>
      <c r="E18" s="1">
        <v>5.5E-2</v>
      </c>
      <c r="F18" s="14"/>
      <c r="G18" s="51">
        <f t="shared" si="4"/>
        <v>939.25575590464177</v>
      </c>
      <c r="H18" s="15"/>
      <c r="J18" s="284">
        <v>10</v>
      </c>
      <c r="K18" s="35">
        <f t="shared" si="1"/>
        <v>516.92069932271249</v>
      </c>
      <c r="L18" s="13"/>
      <c r="M18" s="1">
        <v>5.6000000000000001E-2</v>
      </c>
      <c r="N18" s="14"/>
      <c r="O18" s="51">
        <f t="shared" si="2"/>
        <v>947.75598125255851</v>
      </c>
      <c r="P18" s="15"/>
    </row>
    <row r="19" spans="2:27">
      <c r="B19" s="284">
        <v>11</v>
      </c>
      <c r="C19" s="35">
        <f t="shared" si="3"/>
        <v>761.06709625367455</v>
      </c>
      <c r="D19" s="13"/>
      <c r="E19" s="1">
        <v>5.1999999999999998E-2</v>
      </c>
      <c r="F19" s="14"/>
      <c r="G19" s="51">
        <f t="shared" si="4"/>
        <v>913.28051550440944</v>
      </c>
      <c r="H19" s="15"/>
      <c r="I19" s="301"/>
      <c r="J19" s="284">
        <v>11</v>
      </c>
      <c r="K19" s="35">
        <f t="shared" si="1"/>
        <v>483.53503824929464</v>
      </c>
      <c r="L19" s="13"/>
      <c r="M19" s="1">
        <v>4.9000000000000002E-2</v>
      </c>
      <c r="N19" s="14"/>
      <c r="O19" s="51">
        <f t="shared" ref="O19:O38" si="5">IF(M19,(SQRT(M19)*4005),"")</f>
        <v>886.54454202820511</v>
      </c>
      <c r="P19" s="15"/>
    </row>
    <row r="20" spans="2:27">
      <c r="B20" s="284">
        <v>12</v>
      </c>
      <c r="C20" s="35">
        <f t="shared" si="3"/>
        <v>824.3016931015004</v>
      </c>
      <c r="D20" s="13"/>
      <c r="E20" s="1">
        <v>6.0999999999999999E-2</v>
      </c>
      <c r="F20" s="14"/>
      <c r="G20" s="51">
        <f t="shared" si="4"/>
        <v>989.16203172180042</v>
      </c>
      <c r="H20" s="15"/>
      <c r="I20" s="53"/>
      <c r="J20" s="284">
        <v>12</v>
      </c>
      <c r="K20" s="35">
        <f t="shared" si="1"/>
        <v>483.53503824929464</v>
      </c>
      <c r="L20" s="13"/>
      <c r="M20" s="1">
        <v>4.9000000000000002E-2</v>
      </c>
      <c r="N20" s="14"/>
      <c r="O20" s="51">
        <f t="shared" si="5"/>
        <v>886.54454202820511</v>
      </c>
      <c r="P20" s="15"/>
    </row>
    <row r="21" spans="2:27">
      <c r="B21" s="284">
        <v>13</v>
      </c>
      <c r="C21" s="35">
        <f t="shared" si="3"/>
        <v>907.89815645809085</v>
      </c>
      <c r="D21" s="13"/>
      <c r="E21" s="1">
        <v>7.3999999999999996E-2</v>
      </c>
      <c r="F21" s="14"/>
      <c r="G21" s="51">
        <f t="shared" si="4"/>
        <v>1089.477787749709</v>
      </c>
      <c r="H21" s="15"/>
      <c r="I21" s="39"/>
      <c r="J21" s="284">
        <v>13</v>
      </c>
      <c r="K21" s="35">
        <f t="shared" si="1"/>
        <v>478.57557342145071</v>
      </c>
      <c r="L21" s="13"/>
      <c r="M21" s="1">
        <v>4.8000000000000001E-2</v>
      </c>
      <c r="N21" s="14"/>
      <c r="O21" s="51">
        <f t="shared" si="5"/>
        <v>877.45153712327613</v>
      </c>
      <c r="P21" s="15"/>
    </row>
    <row r="22" spans="2:27">
      <c r="B22" s="284">
        <v>14</v>
      </c>
      <c r="C22" s="35">
        <f t="shared" si="3"/>
        <v>870.31352109455372</v>
      </c>
      <c r="D22" s="13"/>
      <c r="E22" s="1">
        <v>6.8000000000000005E-2</v>
      </c>
      <c r="F22" s="14"/>
      <c r="G22" s="51">
        <f t="shared" si="4"/>
        <v>1044.3762253134644</v>
      </c>
      <c r="H22" s="15"/>
      <c r="I22" s="39"/>
      <c r="J22" s="284">
        <v>14</v>
      </c>
      <c r="K22" s="35">
        <f t="shared" si="1"/>
        <v>488.44414926767553</v>
      </c>
      <c r="L22" s="13"/>
      <c r="M22" s="1">
        <v>0.05</v>
      </c>
      <c r="N22" s="14"/>
      <c r="O22" s="51">
        <f t="shared" si="5"/>
        <v>895.54522498866572</v>
      </c>
      <c r="P22" s="15"/>
    </row>
    <row r="23" spans="2:27">
      <c r="B23" s="284">
        <v>15</v>
      </c>
      <c r="C23" s="35">
        <f t="shared" si="3"/>
        <v>738.7871183568376</v>
      </c>
      <c r="D23" s="13"/>
      <c r="E23" s="1">
        <v>4.9000000000000002E-2</v>
      </c>
      <c r="F23" s="14"/>
      <c r="G23" s="51">
        <f t="shared" si="4"/>
        <v>886.54454202820511</v>
      </c>
      <c r="H23" s="15"/>
      <c r="I23" s="39"/>
      <c r="J23" s="284">
        <v>15</v>
      </c>
      <c r="K23" s="35">
        <f t="shared" si="1"/>
        <v>493.3044097642952</v>
      </c>
      <c r="L23" s="13"/>
      <c r="M23" s="1">
        <v>5.0999999999999997E-2</v>
      </c>
      <c r="N23" s="14"/>
      <c r="O23" s="51">
        <f t="shared" si="5"/>
        <v>904.45634222996068</v>
      </c>
      <c r="P23" s="15"/>
    </row>
    <row r="24" spans="2:27">
      <c r="B24" s="284">
        <v>16</v>
      </c>
      <c r="C24" s="35">
        <f t="shared" si="3"/>
        <v>738.7871183568376</v>
      </c>
      <c r="D24" s="13"/>
      <c r="E24" s="1">
        <v>4.9000000000000002E-2</v>
      </c>
      <c r="F24" s="14"/>
      <c r="G24" s="51">
        <f t="shared" si="4"/>
        <v>886.54454202820511</v>
      </c>
      <c r="H24" s="15"/>
      <c r="I24" s="39"/>
      <c r="J24" s="284">
        <v>16</v>
      </c>
      <c r="K24" s="35">
        <f t="shared" si="1"/>
        <v>498.11724968322085</v>
      </c>
      <c r="L24" s="13"/>
      <c r="M24" s="1">
        <v>5.1999999999999998E-2</v>
      </c>
      <c r="N24" s="14"/>
      <c r="O24" s="51">
        <f t="shared" si="5"/>
        <v>913.28051550440944</v>
      </c>
      <c r="P24" s="15"/>
    </row>
    <row r="25" spans="2:27">
      <c r="B25" s="284">
        <v>17</v>
      </c>
      <c r="C25" s="35">
        <f t="shared" si="3"/>
        <v>731.20961426939675</v>
      </c>
      <c r="D25" s="13"/>
      <c r="E25" s="1">
        <v>4.8000000000000001E-2</v>
      </c>
      <c r="F25" s="14"/>
      <c r="G25" s="51">
        <f t="shared" si="4"/>
        <v>877.45153712327613</v>
      </c>
      <c r="H25" s="15"/>
      <c r="I25" s="39"/>
      <c r="J25" s="284">
        <v>17</v>
      </c>
      <c r="K25" s="35">
        <f t="shared" si="1"/>
        <v>493.3044097642952</v>
      </c>
      <c r="L25" s="13"/>
      <c r="M25" s="1">
        <v>5.0999999999999997E-2</v>
      </c>
      <c r="N25" s="14"/>
      <c r="O25" s="51">
        <f t="shared" si="5"/>
        <v>904.45634222996068</v>
      </c>
      <c r="P25" s="15"/>
    </row>
    <row r="26" spans="2:27">
      <c r="B26" s="284">
        <v>18</v>
      </c>
      <c r="C26" s="35">
        <f t="shared" si="3"/>
        <v>746.28768749055484</v>
      </c>
      <c r="D26" s="13"/>
      <c r="E26" s="1">
        <v>0.05</v>
      </c>
      <c r="F26" s="14"/>
      <c r="G26" s="51">
        <f t="shared" si="4"/>
        <v>895.54522498866572</v>
      </c>
      <c r="H26" s="15"/>
      <c r="I26" s="39"/>
      <c r="J26" s="284">
        <v>18</v>
      </c>
      <c r="K26" s="35">
        <f t="shared" si="1"/>
        <v>502.88403053890335</v>
      </c>
      <c r="L26" s="13"/>
      <c r="M26" s="1">
        <v>5.2999999999999999E-2</v>
      </c>
      <c r="N26" s="14"/>
      <c r="O26" s="51">
        <f t="shared" si="5"/>
        <v>922.02024110102911</v>
      </c>
      <c r="P26" s="15"/>
    </row>
    <row r="27" spans="2:27">
      <c r="B27" s="284">
        <v>19</v>
      </c>
      <c r="C27" s="35">
        <f t="shared" si="3"/>
        <v>753.71361852496727</v>
      </c>
      <c r="D27" s="13"/>
      <c r="E27" s="1">
        <v>5.0999999999999997E-2</v>
      </c>
      <c r="F27" s="14"/>
      <c r="G27" s="51">
        <f t="shared" si="4"/>
        <v>904.45634222996068</v>
      </c>
      <c r="H27" s="15"/>
      <c r="I27" s="39"/>
      <c r="J27" s="284">
        <v>19</v>
      </c>
      <c r="K27" s="35">
        <f t="shared" si="1"/>
        <v>507.60604991482234</v>
      </c>
      <c r="L27" s="13"/>
      <c r="M27" s="1">
        <v>5.3999999999999999E-2</v>
      </c>
      <c r="N27" s="14"/>
      <c r="O27" s="51">
        <f t="shared" si="5"/>
        <v>930.67789809364217</v>
      </c>
      <c r="P27" s="15"/>
    </row>
    <row r="28" spans="2:27">
      <c r="B28" s="284">
        <v>20</v>
      </c>
      <c r="C28" s="35">
        <f t="shared" si="3"/>
        <v>761.06709625367455</v>
      </c>
      <c r="D28" s="13"/>
      <c r="E28" s="1">
        <v>5.1999999999999998E-2</v>
      </c>
      <c r="F28" s="14"/>
      <c r="G28" s="51">
        <f t="shared" si="4"/>
        <v>913.28051550440944</v>
      </c>
      <c r="H28" s="15"/>
      <c r="I28" s="39"/>
      <c r="J28" s="284">
        <v>20</v>
      </c>
      <c r="K28" s="35">
        <f t="shared" si="1"/>
        <v>498.11724968322085</v>
      </c>
      <c r="L28" s="13"/>
      <c r="M28" s="1">
        <v>5.1999999999999998E-2</v>
      </c>
      <c r="N28" s="14"/>
      <c r="O28" s="51">
        <f t="shared" si="5"/>
        <v>913.28051550440944</v>
      </c>
      <c r="P28" s="15"/>
    </row>
    <row r="29" spans="2:27">
      <c r="B29" s="284">
        <v>21</v>
      </c>
      <c r="C29" s="35">
        <f t="shared" si="3"/>
        <v>753.71361852496727</v>
      </c>
      <c r="D29" s="13"/>
      <c r="E29" s="1">
        <v>5.0999999999999997E-2</v>
      </c>
      <c r="F29" s="14"/>
      <c r="G29" s="51">
        <f t="shared" si="4"/>
        <v>904.45634222996068</v>
      </c>
      <c r="H29" s="15"/>
      <c r="I29" s="39"/>
      <c r="J29" s="284">
        <v>21</v>
      </c>
      <c r="K29" s="35">
        <f t="shared" si="1"/>
        <v>493.3044097642952</v>
      </c>
      <c r="L29" s="13"/>
      <c r="M29" s="1">
        <v>5.0999999999999997E-2</v>
      </c>
      <c r="N29" s="14"/>
      <c r="O29" s="51">
        <f t="shared" si="5"/>
        <v>904.45634222996068</v>
      </c>
      <c r="P29" s="15"/>
    </row>
    <row r="30" spans="2:27">
      <c r="B30" s="284">
        <v>22</v>
      </c>
      <c r="C30" s="35">
        <f t="shared" si="3"/>
        <v>746.28768749055484</v>
      </c>
      <c r="D30" s="13"/>
      <c r="E30" s="1">
        <v>0.05</v>
      </c>
      <c r="F30" s="14"/>
      <c r="G30" s="51">
        <f t="shared" si="4"/>
        <v>895.54522498866572</v>
      </c>
      <c r="H30" s="15"/>
      <c r="I30" s="39"/>
      <c r="J30" s="284">
        <v>22</v>
      </c>
      <c r="K30" s="35">
        <f t="shared" si="1"/>
        <v>483.53503824929464</v>
      </c>
      <c r="L30" s="13"/>
      <c r="M30" s="1">
        <v>4.9000000000000002E-2</v>
      </c>
      <c r="N30" s="14"/>
      <c r="O30" s="51">
        <f t="shared" si="5"/>
        <v>886.54454202820511</v>
      </c>
      <c r="P30" s="15"/>
    </row>
    <row r="31" spans="2:27">
      <c r="B31" s="284">
        <v>23</v>
      </c>
      <c r="C31" s="35">
        <f t="shared" si="3"/>
        <v>738.7871183568376</v>
      </c>
      <c r="D31" s="13"/>
      <c r="E31" s="1">
        <v>4.9000000000000002E-2</v>
      </c>
      <c r="F31" s="14"/>
      <c r="G31" s="51">
        <f t="shared" si="4"/>
        <v>886.54454202820511</v>
      </c>
      <c r="H31" s="15"/>
      <c r="I31" s="39"/>
      <c r="J31" s="284">
        <v>23</v>
      </c>
      <c r="K31" s="35">
        <f t="shared" si="1"/>
        <v>478.57557342145071</v>
      </c>
      <c r="L31" s="13"/>
      <c r="M31" s="1">
        <v>4.8000000000000001E-2</v>
      </c>
      <c r="N31" s="14"/>
      <c r="O31" s="51">
        <f t="shared" si="5"/>
        <v>877.45153712327613</v>
      </c>
      <c r="P31" s="15"/>
    </row>
    <row r="32" spans="2:27">
      <c r="B32" s="284">
        <v>24</v>
      </c>
      <c r="C32" s="35">
        <f t="shared" si="3"/>
        <v>731.20961426939675</v>
      </c>
      <c r="D32" s="13"/>
      <c r="E32" s="1">
        <v>4.8000000000000001E-2</v>
      </c>
      <c r="F32" s="14"/>
      <c r="G32" s="51">
        <f t="shared" si="4"/>
        <v>877.45153712327613</v>
      </c>
      <c r="H32" s="15"/>
      <c r="I32" s="39"/>
      <c r="J32" s="284">
        <v>24</v>
      </c>
      <c r="K32" s="35">
        <f t="shared" si="1"/>
        <v>530.58615757057919</v>
      </c>
      <c r="L32" s="13"/>
      <c r="M32" s="1">
        <v>5.8999999999999997E-2</v>
      </c>
      <c r="N32" s="14"/>
      <c r="O32" s="51">
        <f t="shared" si="5"/>
        <v>972.81111989943861</v>
      </c>
      <c r="P32" s="15"/>
    </row>
    <row r="33" spans="2:16">
      <c r="B33" s="284">
        <v>25</v>
      </c>
      <c r="C33" s="35">
        <f t="shared" si="3"/>
        <v>723.55275809715499</v>
      </c>
      <c r="D33" s="13"/>
      <c r="E33" s="1">
        <v>4.7E-2</v>
      </c>
      <c r="F33" s="14"/>
      <c r="G33" s="51">
        <f t="shared" si="4"/>
        <v>868.26330971658592</v>
      </c>
      <c r="H33" s="15"/>
      <c r="I33" s="39"/>
      <c r="J33" s="284">
        <v>25</v>
      </c>
      <c r="K33" s="35">
        <f t="shared" si="1"/>
        <v>526.07044857740777</v>
      </c>
      <c r="L33" s="13"/>
      <c r="M33" s="1">
        <v>5.8000000000000003E-2</v>
      </c>
      <c r="N33" s="14"/>
      <c r="O33" s="51">
        <f t="shared" si="5"/>
        <v>964.53172576126292</v>
      </c>
      <c r="P33" s="15"/>
    </row>
    <row r="34" spans="2:16">
      <c r="B34" s="284">
        <v>26</v>
      </c>
      <c r="C34" s="35">
        <f t="shared" si="3"/>
        <v>731.20961426939675</v>
      </c>
      <c r="D34" s="13"/>
      <c r="E34" s="1">
        <v>4.8000000000000001E-2</v>
      </c>
      <c r="F34" s="14"/>
      <c r="G34" s="51">
        <f t="shared" si="4"/>
        <v>877.45153712327613</v>
      </c>
      <c r="H34" s="15"/>
      <c r="I34" s="39"/>
      <c r="J34" s="284">
        <v>26</v>
      </c>
      <c r="K34" s="35">
        <f t="shared" si="1"/>
        <v>521.51564034778335</v>
      </c>
      <c r="L34" s="13"/>
      <c r="M34" s="1">
        <v>5.7000000000000002E-2</v>
      </c>
      <c r="N34" s="14"/>
      <c r="O34" s="51">
        <f t="shared" si="5"/>
        <v>956.1806445436971</v>
      </c>
      <c r="P34" s="15"/>
    </row>
    <row r="35" spans="2:16">
      <c r="B35" s="284">
        <v>27</v>
      </c>
      <c r="C35" s="35">
        <f t="shared" si="3"/>
        <v>803.77643813438578</v>
      </c>
      <c r="D35" s="13"/>
      <c r="E35" s="1">
        <v>5.8000000000000003E-2</v>
      </c>
      <c r="F35" s="14"/>
      <c r="G35" s="51">
        <f t="shared" si="4"/>
        <v>964.53172576126292</v>
      </c>
      <c r="H35" s="15"/>
      <c r="I35" s="39"/>
      <c r="J35" s="284">
        <v>27</v>
      </c>
      <c r="K35" s="35">
        <f t="shared" si="1"/>
        <v>516.92069932271249</v>
      </c>
      <c r="L35" s="13"/>
      <c r="M35" s="1">
        <v>5.6000000000000001E-2</v>
      </c>
      <c r="N35" s="14"/>
      <c r="O35" s="51">
        <f t="shared" si="5"/>
        <v>947.75598125255851</v>
      </c>
      <c r="P35" s="15"/>
    </row>
    <row r="36" spans="2:16">
      <c r="B36" s="284">
        <v>28</v>
      </c>
      <c r="C36" s="35">
        <f t="shared" si="3"/>
        <v>796.81720378641432</v>
      </c>
      <c r="D36" s="13"/>
      <c r="E36" s="1">
        <v>5.7000000000000002E-2</v>
      </c>
      <c r="F36" s="14"/>
      <c r="G36" s="51">
        <f t="shared" si="4"/>
        <v>956.1806445436971</v>
      </c>
      <c r="H36" s="15"/>
      <c r="I36" s="39"/>
      <c r="J36" s="284">
        <v>28</v>
      </c>
      <c r="K36" s="35">
        <f t="shared" si="1"/>
        <v>512.28454558888041</v>
      </c>
      <c r="L36" s="13"/>
      <c r="M36" s="1">
        <v>5.5E-2</v>
      </c>
      <c r="N36" s="14"/>
      <c r="O36" s="51">
        <f t="shared" si="5"/>
        <v>939.25575590464177</v>
      </c>
      <c r="P36" s="15"/>
    </row>
    <row r="37" spans="2:16">
      <c r="B37" s="284">
        <v>29</v>
      </c>
      <c r="C37" s="35">
        <f t="shared" si="3"/>
        <v>782.71312992053481</v>
      </c>
      <c r="D37" s="13"/>
      <c r="E37" s="1">
        <v>5.5E-2</v>
      </c>
      <c r="F37" s="14"/>
      <c r="G37" s="51">
        <f t="shared" si="4"/>
        <v>939.25575590464177</v>
      </c>
      <c r="H37" s="15"/>
      <c r="I37" s="39"/>
      <c r="J37" s="284">
        <v>29</v>
      </c>
      <c r="K37" s="35">
        <f t="shared" si="1"/>
        <v>507.60604991482234</v>
      </c>
      <c r="L37" s="13"/>
      <c r="M37" s="1">
        <v>5.3999999999999999E-2</v>
      </c>
      <c r="N37" s="14"/>
      <c r="O37" s="51">
        <f t="shared" si="5"/>
        <v>930.67789809364217</v>
      </c>
      <c r="P37" s="15"/>
    </row>
    <row r="38" spans="2:16">
      <c r="B38" s="284">
        <v>30</v>
      </c>
      <c r="C38" s="35">
        <f t="shared" si="3"/>
        <v>761.06709625367455</v>
      </c>
      <c r="D38" s="13"/>
      <c r="E38" s="1">
        <v>5.1999999999999998E-2</v>
      </c>
      <c r="F38" s="14"/>
      <c r="G38" s="51">
        <f t="shared" si="4"/>
        <v>913.28051550440944</v>
      </c>
      <c r="H38" s="15"/>
      <c r="I38" s="39"/>
      <c r="J38" s="284">
        <v>30</v>
      </c>
      <c r="K38" s="35">
        <f t="shared" si="1"/>
        <v>512.28454558888041</v>
      </c>
      <c r="L38" s="13"/>
      <c r="M38" s="1">
        <v>5.5E-2</v>
      </c>
      <c r="N38" s="14"/>
      <c r="O38" s="51">
        <f t="shared" si="5"/>
        <v>939.25575590464177</v>
      </c>
      <c r="P38" s="15"/>
    </row>
    <row r="39" spans="2:16">
      <c r="B39" s="284">
        <v>31</v>
      </c>
      <c r="C39" s="35">
        <f t="shared" si="3"/>
        <v>738.7871183568376</v>
      </c>
      <c r="D39" s="13"/>
      <c r="E39" s="1">
        <v>4.9000000000000002E-2</v>
      </c>
      <c r="F39" s="14"/>
      <c r="G39" s="51">
        <f t="shared" si="4"/>
        <v>886.54454202820511</v>
      </c>
      <c r="H39" s="15"/>
      <c r="I39" s="39"/>
    </row>
    <row r="40" spans="2:16">
      <c r="B40" s="284">
        <v>32</v>
      </c>
      <c r="C40" s="35">
        <f t="shared" si="3"/>
        <v>789.79665104379876</v>
      </c>
      <c r="D40" s="13"/>
      <c r="E40" s="1">
        <v>5.6000000000000001E-2</v>
      </c>
      <c r="F40" s="14"/>
      <c r="G40" s="51">
        <f t="shared" si="4"/>
        <v>947.75598125255851</v>
      </c>
      <c r="H40" s="15"/>
      <c r="I40" s="39"/>
    </row>
    <row r="41" spans="2:16">
      <c r="B41" s="284">
        <v>33</v>
      </c>
      <c r="C41" s="35">
        <f t="shared" ref="C41:C57" si="6">IF(E41,G41*(($C$5*$E$5)/144),"")</f>
        <v>782.71312992053481</v>
      </c>
      <c r="D41" s="13"/>
      <c r="E41" s="1">
        <v>5.5E-2</v>
      </c>
      <c r="F41" s="14"/>
      <c r="G41" s="51">
        <f t="shared" si="4"/>
        <v>939.25575590464177</v>
      </c>
      <c r="H41" s="15"/>
      <c r="I41" s="39"/>
    </row>
    <row r="42" spans="2:16">
      <c r="B42" s="284">
        <v>34</v>
      </c>
      <c r="C42" s="35">
        <f t="shared" si="6"/>
        <v>775.56491507803514</v>
      </c>
      <c r="D42" s="13"/>
      <c r="E42" s="1">
        <v>5.3999999999999999E-2</v>
      </c>
      <c r="F42" s="14"/>
      <c r="G42" s="51">
        <f t="shared" si="4"/>
        <v>930.67789809364217</v>
      </c>
      <c r="H42" s="15"/>
      <c r="I42" s="39"/>
    </row>
    <row r="43" spans="2:16">
      <c r="B43" s="284">
        <v>35</v>
      </c>
      <c r="C43" s="35">
        <f t="shared" si="6"/>
        <v>789.79665104379876</v>
      </c>
      <c r="D43" s="13"/>
      <c r="E43" s="1">
        <v>5.6000000000000001E-2</v>
      </c>
      <c r="F43" s="14"/>
      <c r="G43" s="51">
        <f t="shared" si="4"/>
        <v>947.75598125255851</v>
      </c>
      <c r="H43" s="15"/>
      <c r="I43" s="39"/>
    </row>
    <row r="44" spans="2:16">
      <c r="B44" s="284">
        <v>36</v>
      </c>
      <c r="C44" s="35">
        <f t="shared" si="6"/>
        <v>810.67593324953225</v>
      </c>
      <c r="D44" s="13"/>
      <c r="E44" s="1">
        <v>5.8999999999999997E-2</v>
      </c>
      <c r="F44" s="14"/>
      <c r="G44" s="51">
        <f t="shared" si="4"/>
        <v>972.81111989943861</v>
      </c>
      <c r="H44" s="15"/>
      <c r="I44" s="39"/>
    </row>
    <row r="45" spans="2:16">
      <c r="B45" s="284">
        <v>37</v>
      </c>
      <c r="C45" s="35">
        <f t="shared" si="6"/>
        <v>761.06709625367455</v>
      </c>
      <c r="D45" s="13"/>
      <c r="E45" s="1">
        <v>5.1999999999999998E-2</v>
      </c>
      <c r="F45" s="14"/>
      <c r="G45" s="51">
        <f t="shared" si="4"/>
        <v>913.28051550440944</v>
      </c>
      <c r="H45" s="15"/>
      <c r="I45" s="39"/>
    </row>
    <row r="46" spans="2:16">
      <c r="B46" s="284">
        <v>38</v>
      </c>
      <c r="C46" s="35">
        <f t="shared" si="6"/>
        <v>753.71361852496727</v>
      </c>
      <c r="D46" s="13"/>
      <c r="E46" s="1">
        <v>5.0999999999999997E-2</v>
      </c>
      <c r="F46" s="14"/>
      <c r="G46" s="51">
        <f t="shared" si="4"/>
        <v>904.45634222996068</v>
      </c>
      <c r="H46" s="15"/>
      <c r="I46" s="39"/>
    </row>
    <row r="47" spans="2:16">
      <c r="B47" s="284">
        <v>39</v>
      </c>
      <c r="C47" s="35">
        <f t="shared" si="6"/>
        <v>782.71312992053481</v>
      </c>
      <c r="D47" s="13"/>
      <c r="E47" s="1">
        <v>5.5E-2</v>
      </c>
      <c r="F47" s="14"/>
      <c r="G47" s="51">
        <f t="shared" si="4"/>
        <v>939.25575590464177</v>
      </c>
      <c r="H47" s="15"/>
      <c r="I47" s="39"/>
    </row>
    <row r="48" spans="2:16">
      <c r="B48" s="284">
        <v>40</v>
      </c>
      <c r="C48" s="35">
        <f t="shared" si="6"/>
        <v>810.67593324953225</v>
      </c>
      <c r="D48" s="13"/>
      <c r="E48" s="1">
        <v>5.8999999999999997E-2</v>
      </c>
      <c r="F48" s="14"/>
      <c r="G48" s="51">
        <f t="shared" si="4"/>
        <v>972.81111989943861</v>
      </c>
      <c r="H48" s="15"/>
      <c r="I48" s="39"/>
    </row>
    <row r="49" spans="2:9">
      <c r="B49" s="284">
        <v>41</v>
      </c>
      <c r="C49" s="35">
        <f t="shared" si="6"/>
        <v>2213.8470475622294</v>
      </c>
      <c r="D49" s="13"/>
      <c r="E49" s="1">
        <v>0.44</v>
      </c>
      <c r="F49" s="14"/>
      <c r="G49" s="51">
        <f t="shared" ref="G49:G57" si="7">IF(E49,(SQRT(E49)*4005),"")</f>
        <v>2656.6164570746751</v>
      </c>
      <c r="H49" s="15"/>
      <c r="I49" s="39"/>
    </row>
    <row r="50" spans="2:9">
      <c r="B50" s="284">
        <v>42</v>
      </c>
      <c r="C50" s="35">
        <f t="shared" si="6"/>
        <v>692.07873016731264</v>
      </c>
      <c r="D50" s="13"/>
      <c r="E50" s="1">
        <v>4.2999999999999997E-2</v>
      </c>
      <c r="F50" s="14"/>
      <c r="G50" s="51">
        <f t="shared" si="7"/>
        <v>830.49447620077513</v>
      </c>
      <c r="H50" s="15"/>
      <c r="I50" s="39"/>
    </row>
    <row r="51" spans="2:9">
      <c r="B51" s="284">
        <v>43</v>
      </c>
      <c r="C51" s="35">
        <f t="shared" si="6"/>
        <v>782.71312992053481</v>
      </c>
      <c r="D51" s="13"/>
      <c r="E51" s="1">
        <v>5.5E-2</v>
      </c>
      <c r="F51" s="14"/>
      <c r="G51" s="51">
        <f t="shared" si="7"/>
        <v>939.25575590464177</v>
      </c>
      <c r="H51" s="15"/>
      <c r="I51" s="39"/>
    </row>
    <row r="52" spans="2:9">
      <c r="B52" s="284">
        <v>44</v>
      </c>
      <c r="C52" s="35">
        <f t="shared" si="6"/>
        <v>789.79665104379876</v>
      </c>
      <c r="D52" s="13"/>
      <c r="E52" s="1">
        <v>5.6000000000000001E-2</v>
      </c>
      <c r="F52" s="14"/>
      <c r="G52" s="51">
        <f t="shared" si="7"/>
        <v>947.75598125255851</v>
      </c>
      <c r="H52" s="15"/>
      <c r="I52" s="39"/>
    </row>
    <row r="53" spans="2:9">
      <c r="B53" s="284">
        <v>45</v>
      </c>
      <c r="C53" s="35">
        <f t="shared" si="6"/>
        <v>796.81720378641432</v>
      </c>
      <c r="D53" s="13"/>
      <c r="E53" s="1">
        <v>5.7000000000000002E-2</v>
      </c>
      <c r="F53" s="14"/>
      <c r="G53" s="51">
        <f t="shared" si="7"/>
        <v>956.1806445436971</v>
      </c>
      <c r="H53" s="15"/>
      <c r="I53" s="39"/>
    </row>
    <row r="54" spans="2:9">
      <c r="B54" s="284">
        <v>46</v>
      </c>
      <c r="C54" s="35">
        <f t="shared" si="6"/>
        <v>803.77643813438578</v>
      </c>
      <c r="D54" s="13"/>
      <c r="E54" s="1">
        <v>5.8000000000000003E-2</v>
      </c>
      <c r="F54" s="14"/>
      <c r="G54" s="51">
        <f t="shared" si="7"/>
        <v>964.53172576126292</v>
      </c>
      <c r="H54" s="15"/>
      <c r="I54" s="39"/>
    </row>
    <row r="55" spans="2:9">
      <c r="B55" s="284">
        <v>47</v>
      </c>
      <c r="C55" s="35">
        <f t="shared" si="6"/>
        <v>810.67593324953225</v>
      </c>
      <c r="D55" s="13"/>
      <c r="E55" s="1">
        <v>5.8999999999999997E-2</v>
      </c>
      <c r="F55" s="14"/>
      <c r="G55" s="51">
        <f t="shared" si="7"/>
        <v>972.81111989943861</v>
      </c>
      <c r="H55" s="15"/>
      <c r="I55" s="39"/>
    </row>
    <row r="56" spans="2:9">
      <c r="B56" s="284">
        <v>48</v>
      </c>
      <c r="C56" s="35">
        <f t="shared" si="6"/>
        <v>817.51720165388565</v>
      </c>
      <c r="D56" s="13"/>
      <c r="E56" s="1">
        <v>0.06</v>
      </c>
      <c r="F56" s="14"/>
      <c r="G56" s="51">
        <f t="shared" si="7"/>
        <v>981.0206419846628</v>
      </c>
      <c r="H56" s="15"/>
    </row>
    <row r="57" spans="2:9">
      <c r="B57" s="284">
        <v>49</v>
      </c>
      <c r="C57" s="35">
        <f t="shared" si="6"/>
        <v>824.3016931015004</v>
      </c>
      <c r="D57" s="13"/>
      <c r="E57" s="1">
        <v>6.0999999999999999E-2</v>
      </c>
      <c r="F57" s="14"/>
      <c r="G57" s="51">
        <f t="shared" si="7"/>
        <v>989.16203172180042</v>
      </c>
      <c r="H57" s="15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J60"/>
  <sheetViews>
    <sheetView showGridLines="0" topLeftCell="A16" workbookViewId="0">
      <selection activeCell="M43" sqref="M43"/>
    </sheetView>
  </sheetViews>
  <sheetFormatPr defaultRowHeight="15"/>
  <cols>
    <col min="1" max="1" width="5.85546875" style="4" customWidth="1"/>
    <col min="2" max="2" width="21.140625" style="4" customWidth="1"/>
    <col min="3" max="3" width="2" style="4" customWidth="1"/>
    <col min="4" max="4" width="10.7109375" style="4" customWidth="1"/>
    <col min="5" max="5" width="1.5703125" style="4" customWidth="1"/>
    <col min="6" max="6" width="9.140625" style="4"/>
    <col min="7" max="7" width="2.42578125" style="4" customWidth="1"/>
    <col min="8" max="8" width="9.140625" style="4"/>
    <col min="9" max="9" width="1" style="4" customWidth="1"/>
    <col min="10" max="10" width="10" style="4" customWidth="1"/>
    <col min="11" max="16384" width="9.140625" style="4"/>
  </cols>
  <sheetData>
    <row r="1" spans="2:10" s="200" customFormat="1" ht="18.75">
      <c r="B1" s="201" t="s">
        <v>198</v>
      </c>
    </row>
    <row r="2" spans="2:10">
      <c r="B2" s="74" t="s">
        <v>93</v>
      </c>
      <c r="C2" s="6"/>
      <c r="D2" s="6"/>
      <c r="E2" s="6"/>
      <c r="F2" s="411"/>
      <c r="G2" s="411"/>
      <c r="H2" s="98" t="s">
        <v>344</v>
      </c>
      <c r="I2" s="6"/>
      <c r="J2" s="7"/>
    </row>
    <row r="3" spans="2:10" ht="15.75" thickBot="1">
      <c r="B3" s="8" t="s">
        <v>97</v>
      </c>
      <c r="C3" s="9" t="s">
        <v>2</v>
      </c>
      <c r="D3" s="10" t="s">
        <v>95</v>
      </c>
      <c r="E3" s="9"/>
      <c r="F3" s="410" t="s">
        <v>345</v>
      </c>
      <c r="G3" s="202"/>
      <c r="H3" s="9"/>
      <c r="I3" s="9"/>
      <c r="J3" s="199"/>
    </row>
    <row r="4" spans="2:10">
      <c r="B4" s="84">
        <f>D4*25.4</f>
        <v>651.99259999999992</v>
      </c>
      <c r="C4" s="13" t="s">
        <v>2</v>
      </c>
      <c r="D4" s="1">
        <v>25.669</v>
      </c>
      <c r="E4" s="168" t="str">
        <f>"(" &amp; INT(MROUND(D4,1/16)) &amp; IF(TEXT(MOD(MROUND(D4,1/16),1),"#-#/##")="0", "","-") &amp; IF(TEXT(MOD(MROUND(D4,1/16),1),"#-#/##")="0", "",TEXT(MOD(MROUND(D4,1/16),1),"#-#/##"))  &amp;  """" &amp; " or " &amp; INT(MROUND(D4,1/16)/12) &amp; "' " &amp; TEXT(MOD(MROUND(D4,1/16),12),"#-#/##") &amp; """" &amp; ")"</f>
        <v>(25-11/16" or 2' 1-11/16")</v>
      </c>
      <c r="F4" s="3"/>
      <c r="G4" s="3"/>
      <c r="H4" s="3"/>
      <c r="I4" s="3"/>
      <c r="J4" s="412"/>
    </row>
    <row r="5" spans="2:10">
      <c r="B5" s="102" t="s">
        <v>97</v>
      </c>
      <c r="C5" s="13" t="s">
        <v>2</v>
      </c>
      <c r="D5" s="88" t="s">
        <v>96</v>
      </c>
      <c r="E5" s="88"/>
      <c r="F5" s="88" t="s">
        <v>95</v>
      </c>
      <c r="G5" s="88"/>
      <c r="H5" s="88" t="s">
        <v>98</v>
      </c>
      <c r="I5" s="3"/>
      <c r="J5" s="12"/>
    </row>
    <row r="6" spans="2:10">
      <c r="B6" s="84">
        <f>(D6*12+F6+H6)*25.4</f>
        <v>3092.45</v>
      </c>
      <c r="C6" s="13" t="s">
        <v>2</v>
      </c>
      <c r="D6" s="91">
        <v>10</v>
      </c>
      <c r="E6" s="104" t="str">
        <f>CHAR(39)</f>
        <v>'</v>
      </c>
      <c r="F6" s="90">
        <v>1</v>
      </c>
      <c r="G6" s="105"/>
      <c r="H6" s="89">
        <v>0.75</v>
      </c>
      <c r="I6" s="168" t="str">
        <f>"(" &amp; (D6*12+F6+H6) &amp; """" &amp; ")"</f>
        <v>(121.75")</v>
      </c>
      <c r="J6" s="12"/>
    </row>
    <row r="7" spans="2:10">
      <c r="B7" s="5"/>
      <c r="C7" s="3"/>
      <c r="D7" s="3"/>
      <c r="E7" s="3"/>
      <c r="F7" s="3"/>
      <c r="G7" s="3"/>
      <c r="H7" s="365"/>
      <c r="I7" s="3"/>
      <c r="J7" s="12"/>
    </row>
    <row r="8" spans="2:10">
      <c r="B8" s="86" t="s">
        <v>94</v>
      </c>
      <c r="C8" s="31"/>
      <c r="D8" s="3"/>
      <c r="E8" s="3"/>
      <c r="F8" s="3"/>
      <c r="G8" s="3"/>
      <c r="H8" s="3"/>
      <c r="I8" s="3"/>
      <c r="J8" s="12"/>
    </row>
    <row r="9" spans="2:10" ht="15.75" thickBot="1">
      <c r="B9" s="8" t="s">
        <v>95</v>
      </c>
      <c r="C9" s="9" t="s">
        <v>2</v>
      </c>
      <c r="D9" s="10" t="s">
        <v>97</v>
      </c>
      <c r="E9" s="3"/>
      <c r="F9" s="3"/>
      <c r="G9" s="3"/>
      <c r="H9" s="3"/>
      <c r="I9" s="3"/>
      <c r="J9" s="12"/>
    </row>
    <row r="10" spans="2:10">
      <c r="B10" s="101">
        <f>D10/25.4</f>
        <v>11.811023622047244</v>
      </c>
      <c r="C10" s="87" t="s">
        <v>2</v>
      </c>
      <c r="D10" s="94">
        <v>300</v>
      </c>
      <c r="E10" s="3"/>
      <c r="F10" s="3"/>
      <c r="G10" s="3"/>
      <c r="H10" s="3"/>
      <c r="I10" s="3"/>
      <c r="J10" s="12"/>
    </row>
    <row r="11" spans="2:10">
      <c r="B11" s="5"/>
      <c r="C11" s="3"/>
      <c r="D11" s="3"/>
      <c r="E11" s="3"/>
      <c r="F11" s="3"/>
      <c r="G11" s="3"/>
      <c r="H11" s="3"/>
      <c r="I11" s="3"/>
      <c r="J11" s="12"/>
    </row>
    <row r="12" spans="2:10">
      <c r="B12" s="76" t="s">
        <v>99</v>
      </c>
      <c r="C12" s="3"/>
      <c r="D12" s="3"/>
      <c r="E12" s="3"/>
      <c r="F12" s="3"/>
      <c r="G12" s="3"/>
      <c r="H12" s="3"/>
      <c r="I12" s="3"/>
      <c r="J12" s="12"/>
    </row>
    <row r="13" spans="2:10" ht="15.75" thickBot="1">
      <c r="B13" s="8" t="s">
        <v>95</v>
      </c>
      <c r="C13" s="9" t="s">
        <v>2</v>
      </c>
      <c r="D13" s="10" t="s">
        <v>97</v>
      </c>
      <c r="E13" s="3"/>
      <c r="F13" s="3"/>
      <c r="G13" s="3"/>
      <c r="H13" s="3"/>
      <c r="I13" s="3"/>
      <c r="J13" s="12"/>
    </row>
    <row r="14" spans="2:10">
      <c r="B14" s="95" t="str">
        <f>INT(MROUND(D14/25.4,1/16)) &amp; IF(TEXT(MOD(MROUND(D14/25.4,1/16),1),"#-#/##")="0", "","-") &amp; IF(TEXT(MOD(MROUND(D14/25.4,1/16),1),"#-#/##")="0", "",TEXT(MOD(MROUND(D14/25.4,1/16),1),"#-#/##")) &amp; """"</f>
        <v>25-11/16"</v>
      </c>
      <c r="C14" s="13" t="s">
        <v>2</v>
      </c>
      <c r="D14" s="1">
        <v>652</v>
      </c>
      <c r="E14" s="3"/>
      <c r="F14" s="92"/>
      <c r="G14" s="3"/>
      <c r="H14" s="93"/>
      <c r="I14" s="3"/>
      <c r="J14" s="12"/>
    </row>
    <row r="15" spans="2:10">
      <c r="B15" s="415" t="str">
        <f>INT(MROUND(D14/25.4,1/16)/12) &amp; "' " &amp; TEXT(MOD(MROUND(D14/25.4,1/16),12),"#-#/##") &amp; """"</f>
        <v>2' 1-11/16"</v>
      </c>
      <c r="C15" s="416" t="s">
        <v>346</v>
      </c>
      <c r="D15" s="19"/>
      <c r="E15" s="19"/>
      <c r="F15" s="19"/>
      <c r="G15" s="19"/>
      <c r="H15" s="19"/>
      <c r="I15" s="3"/>
      <c r="J15" s="12"/>
    </row>
    <row r="16" spans="2:10">
      <c r="B16" s="413" t="str">
        <f>ROUND(D14/25.4,3) &amp; """"</f>
        <v>25.669"</v>
      </c>
      <c r="C16" s="414" t="s">
        <v>346</v>
      </c>
      <c r="D16" s="51"/>
      <c r="E16" s="51"/>
      <c r="F16" s="51"/>
      <c r="G16" s="51"/>
      <c r="H16" s="51"/>
      <c r="I16" s="13"/>
      <c r="J16" s="15"/>
    </row>
    <row r="17" spans="2:10">
      <c r="B17" s="371"/>
      <c r="D17" s="106"/>
    </row>
    <row r="18" spans="2:10">
      <c r="B18" s="196" t="s">
        <v>104</v>
      </c>
      <c r="C18" s="6"/>
      <c r="D18" s="6"/>
      <c r="E18" s="7"/>
    </row>
    <row r="19" spans="2:10" ht="15.75" thickBot="1">
      <c r="B19" s="203" t="s">
        <v>121</v>
      </c>
      <c r="C19" s="369" t="s">
        <v>313</v>
      </c>
      <c r="D19" s="45" t="s">
        <v>122</v>
      </c>
      <c r="E19" s="12"/>
    </row>
    <row r="20" spans="2:10">
      <c r="B20" s="367">
        <f>(D20-32)*(5/9)</f>
        <v>35</v>
      </c>
      <c r="C20" s="190" t="s">
        <v>2</v>
      </c>
      <c r="D20" s="370">
        <v>95</v>
      </c>
      <c r="E20" s="12"/>
    </row>
    <row r="21" spans="2:10">
      <c r="B21" s="368"/>
      <c r="C21" s="3"/>
      <c r="D21" s="167"/>
      <c r="E21" s="366"/>
    </row>
    <row r="22" spans="2:10" ht="15.75" thickBot="1">
      <c r="B22" s="203" t="s">
        <v>122</v>
      </c>
      <c r="C22" s="369" t="s">
        <v>313</v>
      </c>
      <c r="D22" s="45" t="s">
        <v>121</v>
      </c>
      <c r="E22" s="12"/>
    </row>
    <row r="23" spans="2:10">
      <c r="B23" s="367">
        <f>ROUND((D23*(9/5))+32,1)</f>
        <v>77</v>
      </c>
      <c r="C23" s="190" t="s">
        <v>2</v>
      </c>
      <c r="D23" s="370">
        <v>25</v>
      </c>
      <c r="E23" s="12"/>
    </row>
    <row r="24" spans="2:10">
      <c r="B24" s="160"/>
      <c r="C24" s="13"/>
      <c r="D24" s="13"/>
      <c r="E24" s="15"/>
    </row>
    <row r="26" spans="2:10">
      <c r="B26" s="5" t="s">
        <v>382</v>
      </c>
      <c r="C26" s="6"/>
      <c r="D26" s="6"/>
      <c r="E26" s="6"/>
      <c r="F26" s="6"/>
      <c r="G26" s="6"/>
      <c r="H26" s="7"/>
    </row>
    <row r="27" spans="2:10" ht="21.75" customHeight="1">
      <c r="B27" s="16"/>
      <c r="C27" s="3"/>
      <c r="D27" s="18"/>
      <c r="E27" s="3"/>
      <c r="F27" s="18"/>
      <c r="G27" s="18"/>
      <c r="H27" s="475"/>
    </row>
    <row r="28" spans="2:10" ht="15.75" thickBot="1">
      <c r="B28" s="8" t="s">
        <v>383</v>
      </c>
      <c r="C28" s="9" t="s">
        <v>2</v>
      </c>
      <c r="D28" s="11" t="s">
        <v>384</v>
      </c>
      <c r="E28" s="11"/>
      <c r="F28" s="11" t="s">
        <v>385</v>
      </c>
      <c r="G28" s="18"/>
      <c r="H28" s="475"/>
    </row>
    <row r="29" spans="2:10">
      <c r="B29" s="476" t="str">
        <f>IF(H29&gt;0.046875,(INT(MROUND(H29,1/16))&amp;IF(TEXT(MOD(MROUND(H29,1/16),1),"#-#/##")="0","","-")&amp;IF(TEXT(MOD(MROUND(H29,1/16),1),"#-#/##")="0","",TEXT(MOD(MROUND(H29,1/16),1),"#-#/##"))&amp;""""&amp;" or "&amp;INT(MROUND(H29,1/16)/12)&amp;"' "&amp;TEXT(MOD(MROUND(H29,1/16),12),"#-#/##")&amp;""""),INT(MROUND(H29,1/32))&amp;IF(TEXT(MOD(MROUND(H29,1/32),1),"#-#/##")="0","","-")&amp;IF(TEXT(MOD(MROUND(H29,1/32),1),"#-#/##")="0","",TEXT(MOD(MROUND(H29,1/32),1),"#-#/##"))&amp;""""&amp;" or "&amp;INT(MROUND(H29,1/32)/12)&amp;"' "&amp;TEXT(MOD(MROUND(H29,1/32),12),"#-#/##")&amp;"""")</f>
        <v>0-1/32" or 0' 1/32"</v>
      </c>
      <c r="C29" s="3"/>
      <c r="D29" s="2">
        <v>10</v>
      </c>
      <c r="E29" s="18"/>
      <c r="F29" s="2">
        <v>30</v>
      </c>
      <c r="G29" s="18"/>
      <c r="H29" s="477">
        <f>D29*12*0.0000094*F29</f>
        <v>3.3839999999999995E-2</v>
      </c>
    </row>
    <row r="30" spans="2:10" ht="15" customHeight="1">
      <c r="B30" s="95" t="str">
        <f>ROUND(H29 *25.4,1) &amp; " mm"</f>
        <v>0.9 mm</v>
      </c>
      <c r="C30" s="13"/>
      <c r="D30" s="13"/>
      <c r="E30" s="13"/>
      <c r="F30" s="13"/>
      <c r="G30" s="13"/>
      <c r="H30" s="15"/>
    </row>
    <row r="32" spans="2:10">
      <c r="B32" s="74" t="s">
        <v>452</v>
      </c>
      <c r="C32" s="6"/>
      <c r="D32" s="6"/>
      <c r="E32" s="6"/>
      <c r="F32" s="6"/>
      <c r="G32" s="6"/>
      <c r="H32" s="6"/>
      <c r="I32" s="6"/>
      <c r="J32" s="7"/>
    </row>
    <row r="33" spans="1:10">
      <c r="B33" s="109"/>
      <c r="C33" s="75"/>
      <c r="D33" s="75"/>
      <c r="E33" s="75"/>
      <c r="F33" s="75"/>
      <c r="G33" s="75"/>
      <c r="H33" s="75"/>
      <c r="I33" s="75"/>
      <c r="J33" s="63"/>
    </row>
    <row r="34" spans="1:10">
      <c r="B34" s="109"/>
      <c r="C34" s="109" t="s">
        <v>453</v>
      </c>
      <c r="D34" s="384">
        <v>140</v>
      </c>
      <c r="E34" s="105" t="s">
        <v>456</v>
      </c>
      <c r="F34" s="75"/>
      <c r="G34" s="75"/>
      <c r="H34" s="75"/>
      <c r="I34" s="75"/>
      <c r="J34" s="63"/>
    </row>
    <row r="35" spans="1:10">
      <c r="B35" s="109"/>
      <c r="C35" s="109" t="s">
        <v>454</v>
      </c>
      <c r="D35" s="384">
        <v>50</v>
      </c>
      <c r="E35" s="105" t="s">
        <v>457</v>
      </c>
      <c r="F35" s="75"/>
      <c r="G35" s="75"/>
      <c r="H35" s="75"/>
      <c r="I35" s="75"/>
      <c r="J35" s="63"/>
    </row>
    <row r="36" spans="1:10">
      <c r="B36" s="109"/>
      <c r="C36" s="109" t="s">
        <v>455</v>
      </c>
      <c r="D36" s="384">
        <v>5</v>
      </c>
      <c r="E36" s="105" t="s">
        <v>458</v>
      </c>
      <c r="F36" s="75"/>
      <c r="G36" s="75"/>
      <c r="H36" s="75"/>
      <c r="I36" s="75"/>
      <c r="J36" s="63"/>
    </row>
    <row r="37" spans="1:10">
      <c r="B37" s="385"/>
      <c r="C37" s="385" t="s">
        <v>459</v>
      </c>
      <c r="D37" s="549">
        <f>((D34-D35)*(D36*60)*8.25)/0.8</f>
        <v>278437.5</v>
      </c>
      <c r="E37" s="387" t="s">
        <v>460</v>
      </c>
      <c r="F37" s="75"/>
      <c r="G37" s="75"/>
      <c r="H37" s="75"/>
      <c r="I37" s="75"/>
      <c r="J37" s="63"/>
    </row>
    <row r="38" spans="1:10">
      <c r="B38" s="547"/>
      <c r="C38" s="88"/>
      <c r="D38" s="88"/>
      <c r="E38" s="88"/>
      <c r="F38" s="88"/>
      <c r="G38" s="88"/>
      <c r="H38" s="88"/>
      <c r="I38" s="88"/>
      <c r="J38" s="548"/>
    </row>
    <row r="43" spans="1:10">
      <c r="A43" s="80"/>
      <c r="B43" s="80"/>
      <c r="H43" s="82"/>
    </row>
    <row r="44" spans="1:10">
      <c r="A44" s="79"/>
      <c r="B44" s="79"/>
    </row>
    <row r="45" spans="1:10">
      <c r="A45" s="79"/>
      <c r="B45" s="79"/>
    </row>
    <row r="46" spans="1:10">
      <c r="A46" s="79"/>
      <c r="B46" s="79"/>
    </row>
    <row r="55" ht="17.25" customHeight="1"/>
    <row r="56" ht="17.25" customHeight="1"/>
    <row r="57" ht="15.75" customHeight="1"/>
    <row r="60" ht="15" customHeight="1"/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E20" sqref="E20"/>
    </sheetView>
  </sheetViews>
  <sheetFormatPr defaultRowHeight="15"/>
  <cols>
    <col min="1" max="1" width="4.42578125" customWidth="1"/>
    <col min="2" max="2" width="12.7109375" customWidth="1"/>
    <col min="4" max="4" width="4.85546875" customWidth="1"/>
    <col min="10" max="10" width="6.85546875" customWidth="1"/>
  </cols>
  <sheetData>
    <row r="1" spans="1:10">
      <c r="A1" s="417"/>
      <c r="B1" s="418" t="s">
        <v>347</v>
      </c>
      <c r="C1" s="417" t="s">
        <v>348</v>
      </c>
      <c r="D1" s="417"/>
      <c r="E1" s="417"/>
      <c r="F1" s="417"/>
      <c r="G1" s="417"/>
      <c r="H1" s="417"/>
      <c r="I1" s="417"/>
      <c r="J1" s="417"/>
    </row>
    <row r="2" spans="1:10">
      <c r="A2" s="417"/>
      <c r="B2" s="419"/>
      <c r="C2" s="417" t="s">
        <v>349</v>
      </c>
      <c r="D2" s="417"/>
      <c r="E2" s="417"/>
      <c r="F2" s="417"/>
      <c r="G2" s="417"/>
      <c r="H2" s="417"/>
      <c r="I2" s="417"/>
      <c r="J2" s="417"/>
    </row>
    <row r="3" spans="1:10">
      <c r="A3" s="417"/>
      <c r="B3" s="417"/>
      <c r="C3" s="417"/>
      <c r="D3" s="417"/>
      <c r="E3" s="417"/>
      <c r="F3" s="417"/>
      <c r="G3" s="417"/>
      <c r="H3" s="417"/>
      <c r="I3" s="417"/>
      <c r="J3" s="417"/>
    </row>
    <row r="4" spans="1:10">
      <c r="A4" s="417"/>
      <c r="B4" s="420" t="s">
        <v>350</v>
      </c>
      <c r="C4" s="398">
        <v>127</v>
      </c>
      <c r="D4" s="417" t="s">
        <v>232</v>
      </c>
      <c r="E4" s="417" t="str">
        <f xml:space="preserve"> "(" &amp; ROUND(C4/25.4,3) &amp;" inches or " &amp; INT(MROUND(J4,1/16)) &amp; IF(TEXT(MOD(MROUND(J4,1/16),1),"#-#/##")="0", "","-") &amp; IF(TEXT(MOD(MROUND(J4,1/16),1),"#-#/##")="0", "",TEXT(MOD(MROUND(J4,1/16),1),"#-#/##"))  &amp;  """" &amp; ")"</f>
        <v>(5 inches or 5")</v>
      </c>
      <c r="F4" s="417"/>
      <c r="G4" s="417"/>
      <c r="H4" s="417"/>
      <c r="I4" s="417"/>
      <c r="J4" s="425">
        <f>C4/25.4</f>
        <v>5</v>
      </c>
    </row>
    <row r="5" spans="1:10">
      <c r="A5" s="417"/>
      <c r="B5" s="424" t="str">
        <f>"If using " &amp; C4 &amp; "mm, enter " &amp; ROUND(J4,3) &amp; " in inches below."</f>
        <v>If using 127mm, enter 5 in inches below.</v>
      </c>
      <c r="C5" s="420"/>
      <c r="D5" s="417"/>
      <c r="E5" s="417"/>
      <c r="F5" s="417"/>
      <c r="G5" s="417"/>
      <c r="H5" s="417"/>
      <c r="I5" s="417"/>
      <c r="J5" s="417"/>
    </row>
    <row r="6" spans="1:10">
      <c r="A6" s="417"/>
      <c r="B6" s="420" t="s">
        <v>350</v>
      </c>
      <c r="C6" s="398">
        <v>5</v>
      </c>
      <c r="D6" s="417" t="s">
        <v>364</v>
      </c>
      <c r="E6" s="417" t="str">
        <f>"(" &amp; INT(MROUND(C6,1/16)) &amp; IF(TEXT(MOD(MROUND(C6,1/16),1),"#-#/##")="0", "","-") &amp; IF(TEXT(MOD(MROUND(C6,1/16),1),"#-#/##")="0", "",TEXT(MOD(MROUND(C6,1/16),1),"#-#/##"))  &amp;  """" &amp; " or " &amp; INT(MROUND(C6,1/16)/12) &amp; "' " &amp; TEXT(MOD(MROUND(C6,1/16),12),"#-#/##") &amp; """" &amp; ")"</f>
        <v>(5" or 0' 5")</v>
      </c>
      <c r="F6" s="417"/>
      <c r="G6" s="417"/>
      <c r="H6" s="417"/>
      <c r="I6" s="417"/>
      <c r="J6" s="417"/>
    </row>
    <row r="7" spans="1:10">
      <c r="A7" s="417"/>
      <c r="B7" s="420" t="s">
        <v>351</v>
      </c>
      <c r="C7" s="398">
        <v>90</v>
      </c>
      <c r="D7" s="417" t="s">
        <v>352</v>
      </c>
      <c r="E7" s="417"/>
      <c r="F7" s="417"/>
      <c r="G7" s="417"/>
      <c r="H7" s="417"/>
      <c r="I7" s="417"/>
      <c r="J7" s="417"/>
    </row>
    <row r="8" spans="1:10">
      <c r="A8" s="417"/>
      <c r="B8" s="420" t="s">
        <v>353</v>
      </c>
      <c r="C8" s="426">
        <f>0.01745*C6*C7</f>
        <v>7.8524999999999991</v>
      </c>
      <c r="D8" s="417" t="s">
        <v>364</v>
      </c>
      <c r="E8" s="417" t="str">
        <f t="shared" ref="E8:E9" si="0">"(" &amp; INT(MROUND(C8,1/16)) &amp; IF(TEXT(MOD(MROUND(C8,1/16),1),"#-#/##")="0", "","-") &amp; IF(TEXT(MOD(MROUND(C8,1/16),1),"#-#/##")="0", "",TEXT(MOD(MROUND(C8,1/16),1),"#-#/##"))  &amp;  """" &amp; " or " &amp; INT(MROUND(C8,1/16)/12) &amp; "' " &amp; TEXT(MOD(MROUND(C8,1/16),12),"#-#/##") &amp; """" &amp; ")"</f>
        <v>(7-7/8" or 0' 7-7/8")</v>
      </c>
      <c r="F8" s="417"/>
      <c r="G8" s="417"/>
      <c r="H8" s="417"/>
      <c r="I8" s="417"/>
      <c r="J8" s="417"/>
    </row>
    <row r="9" spans="1:10">
      <c r="A9" s="417"/>
      <c r="B9" s="420" t="s">
        <v>354</v>
      </c>
      <c r="C9" s="426">
        <f>TAN(RADIANS((C7/2)))*C6*2</f>
        <v>9.9999999999999982</v>
      </c>
      <c r="D9" s="417" t="s">
        <v>364</v>
      </c>
      <c r="E9" s="417" t="str">
        <f t="shared" si="0"/>
        <v>(10" or 0' 10")</v>
      </c>
      <c r="F9" s="417"/>
      <c r="G9" s="417"/>
      <c r="H9" s="417"/>
      <c r="I9" s="417"/>
      <c r="J9" s="417"/>
    </row>
    <row r="10" spans="1:10">
      <c r="A10" s="417"/>
      <c r="B10" s="420" t="s">
        <v>355</v>
      </c>
      <c r="C10" s="426">
        <f>ABS(C9-C8)</f>
        <v>2.1474999999999991</v>
      </c>
      <c r="D10" s="417" t="s">
        <v>364</v>
      </c>
      <c r="E10" s="417" t="str">
        <f>IF(C10&gt;0.046875,("(" &amp; INT(MROUND(C10,1/16)) &amp; IF(TEXT(MOD(MROUND(C10,1/16),1),"#-#/##")="0", "","-") &amp; IF(TEXT(MOD(MROUND(C10,1/16),1),"#-#/##")="0", "",TEXT(MOD(MROUND(C10,1/16),1),"#-#/##"))  &amp;  """" &amp; " or " &amp; INT(MROUND(C10,1/16)/12) &amp; "' " &amp; TEXT(MOD(MROUND(C10,1/16),12),"#-#/##") &amp; """" &amp; ")"), "(" &amp; INT(MROUND(C10,1/32)) &amp; IF(TEXT(MOD(MROUND(C10,1/32),1),"#-#/##")="0", "","-") &amp; IF(TEXT(MOD(MROUND(C10,1/32),1),"#-#/##")="0", "",TEXT(MOD(MROUND(C10,1/32),1),"#-#/##"))  &amp;  """" &amp; " or " &amp; INT(MROUND(8,1/32)/12) &amp; "' " &amp; TEXT(MOD(MROUND(8,1/32),12),"#-#/##") &amp; """" &amp; ")")</f>
        <v>(2-1/8" or 0' 2-1/8")</v>
      </c>
      <c r="F10" s="417"/>
      <c r="G10" s="417"/>
      <c r="H10" s="417"/>
      <c r="I10" s="417"/>
      <c r="J10" s="417"/>
    </row>
    <row r="11" spans="1:10">
      <c r="A11" s="417"/>
      <c r="B11" s="421" t="s">
        <v>356</v>
      </c>
      <c r="C11" s="427">
        <f>(2*(TAN(RADIANS(C7)/2))-(0.01745)*C7)*C6</f>
        <v>2.1474999999999991</v>
      </c>
      <c r="D11" s="417" t="s">
        <v>364</v>
      </c>
      <c r="E11" s="417" t="str">
        <f>IF(C11&gt;0.046875,("(" &amp; INT(MROUND(C11,1/16)) &amp; IF(TEXT(MOD(MROUND(C11,1/16),1),"#-#/##")="0", "","-") &amp; IF(TEXT(MOD(MROUND(C11,1/16),1),"#-#/##")="0", "",TEXT(MOD(MROUND(C11,1/16),1),"#-#/##"))  &amp;  """" &amp; " or " &amp; INT(MROUND(C11,1/16)/12) &amp; "' " &amp; TEXT(MOD(MROUND(C11,1/16),12),"#-#/##") &amp; """" &amp; ")"), "(" &amp; INT(MROUND(C11,1/32)) &amp; IF(TEXT(MOD(MROUND(C11,1/32),1),"#-#/##")="0", "","-") &amp; IF(TEXT(MOD(MROUND(C11,1/32),1),"#-#/##")="0", "",TEXT(MOD(MROUND(C11,1/32),1),"#-#/##"))  &amp;  """" &amp; " or " &amp; INT(MROUND(8,1/32)/12) &amp; "' " &amp; TEXT(MOD(MROUND(8,1/32),12),"#-#/##") &amp; """" &amp; ")")</f>
        <v>(2-1/8" or 0' 2-1/8")</v>
      </c>
      <c r="F11" s="422"/>
      <c r="G11" s="417"/>
      <c r="H11" s="417"/>
      <c r="I11" s="417"/>
      <c r="J11" s="417"/>
    </row>
    <row r="12" spans="1:10">
      <c r="A12" s="417"/>
      <c r="B12" s="420"/>
      <c r="C12" s="427"/>
      <c r="D12" s="417"/>
      <c r="E12" s="422"/>
      <c r="F12" s="417"/>
      <c r="G12" s="417"/>
      <c r="H12" s="417"/>
      <c r="I12" s="417"/>
      <c r="J12" s="417"/>
    </row>
    <row r="13" spans="1:10">
      <c r="A13" s="417"/>
      <c r="B13" s="423" t="str">
        <f>"Standard Gains by Angle, based on a " &amp; C6 &amp; " inch radius bender."</f>
        <v>Standard Gains by Angle, based on a 5 inch radius bender.</v>
      </c>
      <c r="C13" s="427"/>
      <c r="D13" s="417"/>
      <c r="E13" s="422"/>
      <c r="F13" s="417"/>
      <c r="G13" s="417"/>
      <c r="H13" s="417"/>
      <c r="I13" s="417"/>
      <c r="J13" s="417"/>
    </row>
    <row r="14" spans="1:10">
      <c r="A14" s="417"/>
      <c r="B14" s="420" t="s">
        <v>357</v>
      </c>
      <c r="C14" s="427">
        <f>(2*(TAN(RADIANS(10)/2))-(0.01745)*10)*C6</f>
        <v>2.3866352592401274E-3</v>
      </c>
      <c r="D14" s="417" t="s">
        <v>364</v>
      </c>
      <c r="E14" s="422" t="str">
        <f>"(" &amp; INT(MROUND(C14,1/32)) &amp; IF(TEXT(MOD(MROUND(C14,1/32),1),"#-#/##")="0", "","-") &amp; IF(TEXT(MOD(MROUND(C14,1/32),1),"#-#/##")="0", "",TEXT(MOD(MROUND(C14,1/32),1),"#-#/##"))  &amp;  """" &amp; " or " &amp; INT(MROUND(C14,1/32)/12) &amp; "' " &amp; TEXT(MOD(MROUND(C14,1/32),12),"#-#/##") &amp; """" &amp; ")"</f>
        <v>(0" or 0' 0")</v>
      </c>
      <c r="F14" s="417"/>
      <c r="G14" s="417"/>
      <c r="H14" s="417"/>
      <c r="I14" s="417"/>
      <c r="J14" s="417"/>
    </row>
    <row r="15" spans="1:10">
      <c r="A15" s="417"/>
      <c r="B15" s="420" t="s">
        <v>358</v>
      </c>
      <c r="C15" s="427">
        <f>(2*(TAN(RADIANS(15)/2))-(0.01745)*15)*C6</f>
        <v>7.7749758739584229E-3</v>
      </c>
      <c r="D15" s="417" t="s">
        <v>364</v>
      </c>
      <c r="E15" s="422" t="str">
        <f>IF(C15&gt;0.046875,("(" &amp; INT(MROUND(C15,1/16)) &amp; IF(TEXT(MOD(MROUND(C15,1/16),1),"#-#/##")="0", "","-") &amp; IF(TEXT(MOD(MROUND(C15,1/16),1),"#-#/##")="0", "",TEXT(MOD(MROUND(C15,1/16),1),"#-#/##"))  &amp;  """" &amp; " or " &amp; INT(MROUND(C15,1/16)/12) &amp; "' " &amp; TEXT(MOD(MROUND(C15,1/16),12),"#-#/##") &amp; """" &amp; ")"), "(" &amp; INT(MROUND(C15,1/32)) &amp; IF(TEXT(MOD(MROUND(C15,1/32),1),"#-#/##")="0", "","-") &amp; IF(TEXT(MOD(MROUND(C15,1/32),1),"#-#/##")="0", "",TEXT(MOD(MROUND(C15,1/32),1),"#-#/##"))  &amp;  """" &amp; " or " &amp; INT(MROUND(C15,1/32)/12) &amp; "' " &amp; TEXT(MOD(MROUND(C15,1/32),12),"#-#/##") &amp; """" &amp; ")")</f>
        <v>(0" or 0' 0")</v>
      </c>
      <c r="F15" s="417"/>
      <c r="G15" s="417"/>
      <c r="H15" s="417"/>
      <c r="I15" s="417"/>
      <c r="J15" s="417"/>
    </row>
    <row r="16" spans="1:10">
      <c r="A16" s="417"/>
      <c r="B16" s="420" t="s">
        <v>359</v>
      </c>
      <c r="C16" s="427">
        <f>(2*(TAN(RADIANS(22.5)/2))-(0.01745)*22.5)*C6</f>
        <v>2.5998673796580052E-2</v>
      </c>
      <c r="D16" s="417" t="s">
        <v>364</v>
      </c>
      <c r="E16" s="422" t="str">
        <f>IF(C16&gt;0.046875,("(" &amp; INT(MROUND(C16,1/16)) &amp; IF(TEXT(MOD(MROUND(C16,1/16),1),"#-#/##")="0", "","-") &amp; IF(TEXT(MOD(MROUND(C16,1/16),1),"#-#/##")="0", "",TEXT(MOD(MROUND(C16,1/16),1),"#-#/##"))  &amp;  """" &amp; " or " &amp; INT(MROUND(C16,1/16)/12) &amp; "' " &amp; TEXT(MOD(MROUND(C16,1/16),12),"#-#/##") &amp; """" &amp; ")"), "(" &amp; INT(MROUND(C16,1/32)) &amp; IF(TEXT(MOD(MROUND(C16,1/32),1),"#-#/##")="0", "","-") &amp; IF(TEXT(MOD(MROUND(C16,1/32),1),"#-#/##")="0", "",TEXT(MOD(MROUND(C16,1/32),1),"#-#/##"))  &amp;  """" &amp; " or " &amp; INT(MROUND(C16,1/32)/12) &amp; "' " &amp; TEXT(MOD(MROUND(C16,1/32),12),"#-#/##") &amp; """" &amp; ")")</f>
        <v>(0-1/32" or 0' 1/32")</v>
      </c>
      <c r="F16" s="417"/>
      <c r="G16" s="417"/>
      <c r="H16" s="417"/>
      <c r="I16" s="417"/>
      <c r="J16" s="417"/>
    </row>
    <row r="17" spans="1:10">
      <c r="A17" s="417"/>
      <c r="B17" s="420" t="s">
        <v>360</v>
      </c>
      <c r="C17" s="427">
        <f>(2*(TAN(RADIANS(30)/2))-(0.01745)*30)*C6</f>
        <v>6.1991924311227131E-2</v>
      </c>
      <c r="D17" s="417" t="s">
        <v>364</v>
      </c>
      <c r="E17" s="422" t="str">
        <f>IF(C17&gt;0.046875,("(" &amp; INT(MROUND(C17,1/16)) &amp; IF(TEXT(MOD(MROUND(C17,1/16),1),"#-#/##")="0", "","-") &amp; IF(TEXT(MOD(MROUND(C17,1/16),1),"#-#/##")="0", "",TEXT(MOD(MROUND(C17,1/16),1),"#-#/##"))  &amp;  """" &amp; " or " &amp; INT(MROUND(C17,1/16)/12) &amp; "' " &amp; TEXT(MOD(MROUND(C17,1/16),12),"#-#/##") &amp; """" &amp; ")"), "(" &amp; INT(MROUND(C17,1/32)) &amp; IF(TEXT(MOD(MROUND(C17,1/32),1),"#-#/##")="0", "","-") &amp; IF(TEXT(MOD(MROUND(C17,1/32),1),"#-#/##")="0", "",TEXT(MOD(MROUND(C17,1/32),1),"#-#/##"))  &amp;  """" &amp; " or " &amp; INT(MROUND(C17,1/32)/12) &amp; "' " &amp; TEXT(MOD(MROUND(C17,1/32),12),"#-#/##") &amp; """" &amp; ")")</f>
        <v>(0-1/16" or 0' 1/16")</v>
      </c>
      <c r="F17" s="417"/>
      <c r="G17" s="417"/>
      <c r="H17" s="417"/>
      <c r="I17" s="417"/>
      <c r="J17" s="417"/>
    </row>
    <row r="18" spans="1:10">
      <c r="A18" s="417"/>
      <c r="B18" s="420" t="s">
        <v>361</v>
      </c>
      <c r="C18" s="427">
        <f>(2*(TAN(RADIANS(45)/2))-(0.01745)*45)*C6</f>
        <v>0.21588562373095033</v>
      </c>
      <c r="D18" s="417" t="s">
        <v>364</v>
      </c>
      <c r="E18" s="422" t="str">
        <f t="shared" ref="E18:E20" si="1">IF(C18&gt;0.046875,("(" &amp; INT(MROUND(C18,1/16)) &amp; IF(TEXT(MOD(MROUND(C18,1/16),1),"#-#/##")="0", "","-") &amp; IF(TEXT(MOD(MROUND(C18,1/16),1),"#-#/##")="0", "",TEXT(MOD(MROUND(C18,1/16),1),"#-#/##"))  &amp;  """" &amp; " or " &amp; INT(MROUND(C18,1/16)/12) &amp; "' " &amp; TEXT(MOD(MROUND(C18,1/16),12),"#-#/##") &amp; """" &amp; ")"), "(" &amp; INT(MROUND(C18,1/32)) &amp; IF(TEXT(MOD(MROUND(C18,1/32),1),"#-#/##")="0", "","-") &amp; IF(TEXT(MOD(MROUND(C18,1/32),1),"#-#/##")="0", "",TEXT(MOD(MROUND(C18,1/32),1),"#-#/##"))  &amp;  """" &amp; " or " &amp; INT(MROUND(C18,1/32)/12) &amp; "' " &amp; TEXT(MOD(MROUND(C18,1/32),12),"#-#/##") &amp; """" &amp; ")")</f>
        <v>(0-3/16" or 0' 3/16")</v>
      </c>
      <c r="F18" s="417"/>
      <c r="G18" s="417"/>
      <c r="H18" s="417"/>
      <c r="I18" s="417"/>
      <c r="J18" s="417"/>
    </row>
    <row r="19" spans="1:10">
      <c r="A19" s="417"/>
      <c r="B19" s="420" t="s">
        <v>362</v>
      </c>
      <c r="C19" s="427">
        <f>(2*(TAN(RADIANS(60)/2))-(0.01745)*60)*C6</f>
        <v>0.53850269189625766</v>
      </c>
      <c r="D19" s="417" t="s">
        <v>364</v>
      </c>
      <c r="E19" s="422" t="str">
        <f t="shared" si="1"/>
        <v>(0-9/16" or 0' 9/16")</v>
      </c>
      <c r="F19" s="417"/>
      <c r="G19" s="417"/>
      <c r="H19" s="417"/>
      <c r="I19" s="417"/>
      <c r="J19" s="417"/>
    </row>
    <row r="20" spans="1:10">
      <c r="A20" s="417"/>
      <c r="B20" s="420" t="s">
        <v>363</v>
      </c>
      <c r="C20" s="427">
        <f>(2*(TAN(RADIANS(90)/2))-(0.01745)*90)*C6</f>
        <v>2.1474999999999991</v>
      </c>
      <c r="D20" s="417" t="s">
        <v>364</v>
      </c>
      <c r="E20" s="422" t="str">
        <f t="shared" si="1"/>
        <v>(2-1/8" or 0' 2-1/8")</v>
      </c>
      <c r="F20" s="417"/>
      <c r="G20" s="417"/>
      <c r="H20" s="417"/>
      <c r="I20" s="417"/>
      <c r="J20" s="417"/>
    </row>
    <row r="21" spans="1:10">
      <c r="A21" s="417"/>
      <c r="B21" s="417"/>
      <c r="C21" s="417"/>
      <c r="D21" s="417"/>
      <c r="E21" s="417"/>
      <c r="F21" s="417"/>
      <c r="G21" s="417"/>
      <c r="H21" s="417"/>
      <c r="I21" s="417"/>
      <c r="J21" s="4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showGridLines="0" tabSelected="1" workbookViewId="0">
      <selection activeCell="B30" sqref="B30"/>
    </sheetView>
  </sheetViews>
  <sheetFormatPr defaultRowHeight="15"/>
  <cols>
    <col min="1" max="1" width="9.140625" customWidth="1"/>
    <col min="2" max="2" width="35.85546875" style="83" customWidth="1"/>
    <col min="3" max="3" width="12.5703125" customWidth="1"/>
    <col min="5" max="5" width="17.28515625" customWidth="1"/>
    <col min="7" max="7" width="17.28515625" customWidth="1"/>
  </cols>
  <sheetData>
    <row r="1" spans="1:15">
      <c r="A1" t="s">
        <v>446</v>
      </c>
    </row>
    <row r="2" spans="1:15">
      <c r="E2" s="74" t="s">
        <v>314</v>
      </c>
      <c r="F2" s="6"/>
      <c r="G2" s="6"/>
      <c r="H2" s="6"/>
      <c r="I2" s="6"/>
      <c r="J2" s="6"/>
      <c r="K2" s="6"/>
      <c r="L2" s="6"/>
      <c r="M2" s="382"/>
      <c r="N2" s="6"/>
      <c r="O2" s="382"/>
    </row>
    <row r="3" spans="1:15">
      <c r="A3" s="539"/>
      <c r="B3" s="540" t="s">
        <v>448</v>
      </c>
      <c r="C3" s="543">
        <v>86000</v>
      </c>
      <c r="E3" s="109"/>
      <c r="F3" s="75"/>
      <c r="G3" s="75"/>
      <c r="H3" s="75"/>
      <c r="I3" s="75"/>
      <c r="J3" s="75"/>
      <c r="K3" s="75"/>
      <c r="L3" s="75"/>
      <c r="M3" s="383"/>
      <c r="N3" s="75"/>
      <c r="O3" s="383"/>
    </row>
    <row r="4" spans="1:15">
      <c r="A4" s="283"/>
      <c r="B4" s="534" t="s">
        <v>449</v>
      </c>
      <c r="C4" s="544">
        <v>98000</v>
      </c>
      <c r="E4" s="109"/>
      <c r="F4" s="109" t="s">
        <v>315</v>
      </c>
      <c r="G4" s="384">
        <v>1</v>
      </c>
      <c r="H4" s="105" t="s">
        <v>316</v>
      </c>
      <c r="I4" s="75"/>
      <c r="J4" s="75"/>
      <c r="K4" s="75"/>
      <c r="L4" s="75"/>
      <c r="M4" s="383"/>
      <c r="N4" s="75"/>
      <c r="O4" s="383"/>
    </row>
    <row r="5" spans="1:15">
      <c r="A5" s="541"/>
      <c r="B5" s="542" t="s">
        <v>450</v>
      </c>
      <c r="C5" s="545">
        <f>C3/C4</f>
        <v>0.87755102040816324</v>
      </c>
      <c r="E5" s="109"/>
      <c r="F5" s="109" t="s">
        <v>317</v>
      </c>
      <c r="G5" s="384">
        <v>45</v>
      </c>
      <c r="H5" s="75"/>
      <c r="I5" s="75"/>
      <c r="J5" s="75"/>
      <c r="K5" s="75"/>
      <c r="L5" s="75"/>
      <c r="M5" s="383"/>
      <c r="N5" s="75"/>
      <c r="O5" s="383"/>
    </row>
    <row r="6" spans="1:15">
      <c r="B6" s="83" t="s">
        <v>447</v>
      </c>
      <c r="E6" s="385"/>
      <c r="F6" s="385" t="s">
        <v>318</v>
      </c>
      <c r="G6" s="386">
        <f>G4/G5*3600</f>
        <v>80</v>
      </c>
      <c r="H6" s="387" t="s">
        <v>319</v>
      </c>
      <c r="I6" s="75"/>
      <c r="J6" s="75"/>
      <c r="K6" s="75"/>
      <c r="L6" s="75"/>
      <c r="M6" s="383"/>
      <c r="N6" s="75"/>
      <c r="O6" s="383"/>
    </row>
    <row r="7" spans="1:15">
      <c r="E7" s="109"/>
      <c r="F7" s="75"/>
      <c r="G7" s="75"/>
      <c r="H7" s="75"/>
      <c r="I7" s="75"/>
      <c r="J7" s="75"/>
      <c r="K7" s="75"/>
      <c r="L7" s="75"/>
      <c r="M7" s="383"/>
      <c r="N7" s="75"/>
      <c r="O7" s="383"/>
    </row>
    <row r="8" spans="1:15">
      <c r="E8" s="97"/>
      <c r="F8" s="98"/>
      <c r="G8" s="388" t="s">
        <v>320</v>
      </c>
      <c r="H8" s="98"/>
      <c r="I8" s="98"/>
      <c r="J8" s="98"/>
      <c r="K8" s="98"/>
      <c r="L8" s="98"/>
      <c r="M8" s="389"/>
      <c r="N8" s="98"/>
      <c r="O8" s="389"/>
    </row>
    <row r="9" spans="1:15">
      <c r="E9" s="109"/>
      <c r="F9" s="109" t="s">
        <v>321</v>
      </c>
      <c r="G9" s="384">
        <v>2</v>
      </c>
      <c r="H9" s="75"/>
      <c r="I9" s="75"/>
      <c r="J9" s="75"/>
      <c r="K9" s="75"/>
      <c r="L9" s="75"/>
      <c r="M9" s="383"/>
      <c r="N9" s="75"/>
      <c r="O9" s="383"/>
    </row>
    <row r="10" spans="1:15">
      <c r="E10" s="109"/>
      <c r="F10" s="75" t="s">
        <v>322</v>
      </c>
      <c r="G10" s="384">
        <v>400</v>
      </c>
      <c r="H10" s="105" t="s">
        <v>323</v>
      </c>
      <c r="I10" s="75"/>
      <c r="J10" s="75"/>
      <c r="K10" s="75"/>
      <c r="L10" s="75"/>
      <c r="M10" s="383"/>
      <c r="N10" s="75"/>
      <c r="O10" s="383"/>
    </row>
    <row r="11" spans="1:15">
      <c r="E11" s="109"/>
      <c r="F11" s="75" t="s">
        <v>324</v>
      </c>
      <c r="G11" s="390">
        <f>14.696*( 1-6.8754 * 10^-6 * G10)^5.2559</f>
        <v>14.484815144273695</v>
      </c>
      <c r="H11" s="75"/>
      <c r="I11" s="75"/>
      <c r="J11" s="75"/>
      <c r="K11" s="75"/>
      <c r="L11" s="75"/>
      <c r="M11" s="383"/>
      <c r="N11" s="75"/>
      <c r="O11" s="383"/>
    </row>
    <row r="12" spans="1:15">
      <c r="E12" s="109"/>
      <c r="F12" s="75" t="s">
        <v>325</v>
      </c>
      <c r="G12" s="391">
        <f>(G9+G11)/14.696</f>
        <v>1.1217212264748024</v>
      </c>
      <c r="H12" s="105"/>
      <c r="I12" s="75"/>
      <c r="J12" s="75"/>
      <c r="K12" s="75"/>
      <c r="L12" s="75"/>
      <c r="M12" s="383"/>
      <c r="N12" s="75"/>
      <c r="O12" s="383"/>
    </row>
    <row r="13" spans="1:15">
      <c r="E13" s="392"/>
      <c r="F13" s="393" t="s">
        <v>326</v>
      </c>
      <c r="G13" s="394">
        <f>G6*G12</f>
        <v>89.737698117984195</v>
      </c>
      <c r="H13" s="387" t="s">
        <v>327</v>
      </c>
      <c r="I13" s="75"/>
      <c r="J13" s="75"/>
      <c r="K13" s="75"/>
      <c r="L13" s="75"/>
      <c r="M13" s="383"/>
      <c r="N13" s="75"/>
      <c r="O13" s="383"/>
    </row>
    <row r="14" spans="1:15">
      <c r="E14" s="392"/>
      <c r="F14" s="75"/>
      <c r="G14" s="75"/>
      <c r="H14" s="75"/>
      <c r="I14" s="75"/>
      <c r="J14" s="75"/>
      <c r="K14" s="75"/>
      <c r="L14" s="75"/>
      <c r="M14" s="383"/>
      <c r="N14" s="75"/>
      <c r="O14" s="383"/>
    </row>
    <row r="15" spans="1:15">
      <c r="E15" s="392" t="str">
        <f>"@ " &amp;G9 &amp; " PSIG at the meter, customer burns " &amp; ROUND(G12,3) &amp; " cubic feet/hr at the tip"</f>
        <v>@ 2 PSIG at the meter, customer burns 1.122 cubic feet/hr at the tip</v>
      </c>
      <c r="F15" s="75"/>
      <c r="G15" s="75"/>
      <c r="H15" s="75"/>
      <c r="I15" s="75"/>
      <c r="J15" s="75"/>
      <c r="K15" s="75"/>
      <c r="L15" s="75"/>
      <c r="M15" s="383"/>
      <c r="N15" s="75"/>
      <c r="O15" s="383"/>
    </row>
    <row r="16" spans="1:15">
      <c r="E16" s="395" t="str">
        <f>"and the adjusted flow rate (SCFH) is " &amp; ROUND(G13,2) &amp; " Cubic Feet/Hour."</f>
        <v>and the adjusted flow rate (SCFH) is 89.74 Cubic Feet/Hour.</v>
      </c>
      <c r="F16" s="88"/>
      <c r="G16" s="88"/>
      <c r="H16" s="88"/>
      <c r="I16" s="88"/>
      <c r="J16" s="88"/>
      <c r="K16" s="88"/>
      <c r="L16" s="88"/>
      <c r="M16" s="396"/>
      <c r="N16" s="88"/>
      <c r="O16" s="396"/>
    </row>
    <row r="17" spans="5:15">
      <c r="E17" s="16"/>
      <c r="F17" s="3"/>
      <c r="G17" s="3"/>
      <c r="H17" s="3"/>
      <c r="I17" s="3"/>
      <c r="J17" s="3"/>
      <c r="K17" s="3"/>
      <c r="L17" s="3"/>
      <c r="M17" s="397"/>
      <c r="N17" s="3"/>
      <c r="O17" s="397"/>
    </row>
    <row r="18" spans="5:15">
      <c r="E18" s="76" t="s">
        <v>328</v>
      </c>
      <c r="F18" s="3"/>
      <c r="G18" s="166" t="s">
        <v>329</v>
      </c>
      <c r="H18" s="3"/>
      <c r="I18" s="3"/>
      <c r="J18" s="3"/>
      <c r="K18" s="3"/>
      <c r="L18" s="3"/>
      <c r="M18" s="397"/>
      <c r="N18" s="3"/>
      <c r="O18" s="397"/>
    </row>
    <row r="19" spans="5:15">
      <c r="E19" s="16"/>
      <c r="F19" s="75" t="s">
        <v>330</v>
      </c>
      <c r="G19" s="398">
        <v>1050</v>
      </c>
      <c r="H19" s="3" t="s">
        <v>331</v>
      </c>
      <c r="I19" s="3"/>
      <c r="J19" s="3"/>
      <c r="K19" s="3"/>
      <c r="L19" s="3"/>
      <c r="M19" s="397"/>
      <c r="N19" s="3"/>
      <c r="O19" s="397"/>
    </row>
    <row r="20" spans="5:15">
      <c r="E20" s="16"/>
      <c r="F20" s="75" t="s">
        <v>332</v>
      </c>
      <c r="G20" s="398">
        <v>80</v>
      </c>
      <c r="H20" s="3" t="s">
        <v>105</v>
      </c>
      <c r="I20" s="3"/>
      <c r="J20" s="3"/>
      <c r="K20" s="399"/>
      <c r="L20" s="3"/>
      <c r="M20" s="397"/>
      <c r="N20" s="3"/>
      <c r="O20" s="397"/>
    </row>
    <row r="21" spans="5:15">
      <c r="E21" s="400"/>
      <c r="F21" s="393" t="s">
        <v>333</v>
      </c>
      <c r="G21" s="401">
        <f>G6*G19*(G20/100)</f>
        <v>67200</v>
      </c>
      <c r="H21" s="165" t="s">
        <v>334</v>
      </c>
      <c r="I21" s="3"/>
      <c r="J21" s="3"/>
      <c r="K21" s="3"/>
      <c r="L21" s="3"/>
      <c r="M21" s="397"/>
      <c r="N21" s="3"/>
      <c r="O21" s="397"/>
    </row>
    <row r="22" spans="5:15">
      <c r="E22" s="400"/>
      <c r="F22" s="393" t="s">
        <v>333</v>
      </c>
      <c r="G22" s="401">
        <f>G13*G19*(G20/100)</f>
        <v>75379.666419106725</v>
      </c>
      <c r="H22" s="165" t="s">
        <v>335</v>
      </c>
      <c r="I22" s="3"/>
      <c r="J22" s="3"/>
      <c r="K22" s="3"/>
      <c r="L22" s="3"/>
      <c r="M22" s="397"/>
      <c r="N22" s="3"/>
      <c r="O22" s="397"/>
    </row>
    <row r="23" spans="5:15">
      <c r="E23" s="402"/>
      <c r="F23" s="3"/>
      <c r="G23" s="3"/>
      <c r="H23" s="3"/>
      <c r="I23" s="3"/>
      <c r="J23" s="3"/>
      <c r="K23" s="3"/>
      <c r="L23" s="3"/>
      <c r="M23" s="397"/>
      <c r="N23" s="3"/>
      <c r="O23" s="397"/>
    </row>
    <row r="24" spans="5:15">
      <c r="E24" s="16"/>
      <c r="F24" s="3"/>
      <c r="G24" s="166" t="s">
        <v>336</v>
      </c>
      <c r="H24" s="3"/>
      <c r="I24" s="3"/>
      <c r="J24" s="3"/>
      <c r="K24" s="3"/>
      <c r="L24" s="3"/>
      <c r="M24" s="397"/>
      <c r="N24" s="3"/>
      <c r="O24" s="397"/>
    </row>
    <row r="25" spans="5:15">
      <c r="E25" s="16"/>
      <c r="F25" s="75" t="s">
        <v>337</v>
      </c>
      <c r="G25" s="403">
        <v>140000</v>
      </c>
      <c r="H25" s="3" t="s">
        <v>338</v>
      </c>
      <c r="I25" s="3"/>
      <c r="J25" s="3"/>
      <c r="K25" s="3"/>
      <c r="L25" s="3"/>
      <c r="M25" s="397"/>
      <c r="N25" s="3"/>
      <c r="O25" s="397"/>
    </row>
    <row r="26" spans="5:15">
      <c r="E26" s="16"/>
      <c r="F26" s="75" t="s">
        <v>339</v>
      </c>
      <c r="G26" s="404">
        <v>0.65</v>
      </c>
      <c r="H26" s="3" t="s">
        <v>11</v>
      </c>
      <c r="I26" s="3"/>
      <c r="J26" s="3"/>
      <c r="K26" s="3"/>
      <c r="L26" s="3"/>
      <c r="M26" s="397"/>
      <c r="N26" s="3"/>
      <c r="O26" s="397"/>
    </row>
    <row r="27" spans="5:15">
      <c r="E27" s="16"/>
      <c r="F27" s="75" t="s">
        <v>340</v>
      </c>
      <c r="G27" s="405">
        <v>150</v>
      </c>
      <c r="H27" s="3" t="s">
        <v>341</v>
      </c>
      <c r="I27" s="3"/>
      <c r="J27" s="3"/>
      <c r="K27" s="3"/>
      <c r="L27" s="3"/>
      <c r="M27" s="397"/>
      <c r="N27" s="3"/>
      <c r="O27" s="397"/>
    </row>
    <row r="28" spans="5:15">
      <c r="E28" s="16"/>
      <c r="F28" s="75" t="s">
        <v>342</v>
      </c>
      <c r="G28" s="406">
        <f>ROUND(G26*(G27/100)^0.5,2)</f>
        <v>0.8</v>
      </c>
      <c r="H28" s="3" t="s">
        <v>343</v>
      </c>
      <c r="I28" s="3"/>
      <c r="J28" s="3"/>
      <c r="K28" s="3"/>
      <c r="L28" s="3"/>
      <c r="M28" s="397"/>
      <c r="N28" s="3"/>
      <c r="O28" s="397"/>
    </row>
    <row r="29" spans="5:15">
      <c r="E29" s="16"/>
      <c r="F29" s="75" t="s">
        <v>332</v>
      </c>
      <c r="G29" s="407">
        <v>80</v>
      </c>
      <c r="H29" s="3" t="s">
        <v>105</v>
      </c>
      <c r="I29" s="3"/>
      <c r="J29" s="3"/>
      <c r="K29" s="3"/>
      <c r="L29" s="3"/>
      <c r="M29" s="397"/>
      <c r="N29" s="3"/>
      <c r="O29" s="397"/>
    </row>
    <row r="30" spans="5:15">
      <c r="E30" s="16"/>
      <c r="F30" s="393" t="s">
        <v>333</v>
      </c>
      <c r="G30" s="408">
        <f>G25*G28*(G29/100)</f>
        <v>89600</v>
      </c>
      <c r="H30" s="3"/>
      <c r="I30" s="3"/>
      <c r="J30" s="3"/>
      <c r="K30" s="3"/>
      <c r="L30" s="3"/>
      <c r="M30" s="397"/>
      <c r="N30" s="3"/>
      <c r="O30" s="397"/>
    </row>
    <row r="31" spans="5:15">
      <c r="E31" s="160"/>
      <c r="F31" s="13"/>
      <c r="G31" s="13"/>
      <c r="H31" s="13"/>
      <c r="I31" s="13"/>
      <c r="J31" s="13"/>
      <c r="K31" s="13"/>
      <c r="L31" s="13"/>
      <c r="M31" s="409"/>
      <c r="N31" s="13"/>
      <c r="O31" s="409"/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33"/>
  <sheetViews>
    <sheetView showGridLines="0" topLeftCell="A10" workbookViewId="0">
      <selection activeCell="M49" sqref="M49"/>
    </sheetView>
  </sheetViews>
  <sheetFormatPr defaultRowHeight="15"/>
  <cols>
    <col min="2" max="2" width="24.85546875" customWidth="1"/>
    <col min="15" max="15" width="18" customWidth="1"/>
  </cols>
  <sheetData>
    <row r="1" spans="2:15">
      <c r="B1" t="s">
        <v>439</v>
      </c>
    </row>
    <row r="2" spans="2:15" ht="27.75" customHeight="1"/>
    <row r="3" spans="2:15">
      <c r="B3" s="509" t="s">
        <v>422</v>
      </c>
      <c r="C3" s="510"/>
      <c r="D3" s="511"/>
      <c r="E3" s="511"/>
      <c r="F3" s="512"/>
      <c r="G3" s="511"/>
      <c r="H3" s="511"/>
      <c r="I3" s="511"/>
      <c r="J3" s="511"/>
      <c r="K3" s="511"/>
      <c r="L3" s="511"/>
      <c r="M3" s="511"/>
      <c r="N3" s="511"/>
      <c r="O3" s="513"/>
    </row>
    <row r="4" spans="2:15">
      <c r="B4" s="514" t="s">
        <v>392</v>
      </c>
      <c r="C4" s="515" t="s">
        <v>423</v>
      </c>
      <c r="D4" s="129"/>
      <c r="E4" s="516">
        <f>IF(B4="3/8",0.0086,IF(B4="1/2",0.00218,IF(B4="5/8",0.000785,"")))</f>
        <v>8.6E-3</v>
      </c>
      <c r="F4" s="129"/>
      <c r="G4" s="517"/>
      <c r="H4" s="517"/>
      <c r="I4" s="517"/>
      <c r="J4" s="129"/>
      <c r="K4" s="129"/>
      <c r="L4" s="129"/>
      <c r="M4" s="129"/>
      <c r="N4" s="129"/>
      <c r="O4" s="291"/>
    </row>
    <row r="5" spans="2:15">
      <c r="B5" s="518">
        <v>15</v>
      </c>
      <c r="C5" s="515" t="s">
        <v>424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291"/>
    </row>
    <row r="6" spans="2:15">
      <c r="B6" s="518">
        <v>10</v>
      </c>
      <c r="C6" s="515" t="s">
        <v>425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291"/>
    </row>
    <row r="7" spans="2:15">
      <c r="B7" s="518">
        <v>20</v>
      </c>
      <c r="C7" s="515" t="s">
        <v>426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291"/>
    </row>
    <row r="8" spans="2:15">
      <c r="B8" s="519">
        <f>(B7/10)+E4*B5+(0.75*B6)</f>
        <v>9.6289999999999996</v>
      </c>
      <c r="C8" s="520" t="s">
        <v>427</v>
      </c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522"/>
    </row>
    <row r="9" spans="2:15">
      <c r="B9" s="523"/>
      <c r="C9" s="523"/>
      <c r="D9" s="523"/>
      <c r="E9" s="523"/>
      <c r="F9" s="523"/>
      <c r="G9" s="523"/>
      <c r="H9" s="523"/>
      <c r="I9" s="523"/>
      <c r="J9" s="523"/>
      <c r="K9" s="523"/>
      <c r="L9" s="523"/>
      <c r="M9" s="523"/>
    </row>
    <row r="10" spans="2:15">
      <c r="B10" s="509" t="s">
        <v>428</v>
      </c>
      <c r="C10" s="510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3"/>
    </row>
    <row r="11" spans="2:15">
      <c r="B11" s="518">
        <v>60</v>
      </c>
      <c r="C11" s="515" t="s">
        <v>429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291"/>
    </row>
    <row r="12" spans="2:15">
      <c r="B12" s="524">
        <f>B11*0.036091625769833</f>
        <v>2.1654975461899797</v>
      </c>
      <c r="C12" s="525" t="s">
        <v>430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291"/>
    </row>
    <row r="13" spans="2:15">
      <c r="B13" s="526" t="str">
        <f>IF(B12&lt;3, "Within NFPA guidelines, no OSV needed.", "Exceeds NFPA guidelines (&gt;3 psi) for inlet pressure, install OSV within 3' vertical height of center of fuel unit.")</f>
        <v>Within NFPA guidelines, no OSV needed.</v>
      </c>
      <c r="C13" s="520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2"/>
    </row>
    <row r="15" spans="2:15">
      <c r="B15" s="537" t="s">
        <v>431</v>
      </c>
      <c r="C15" s="510"/>
      <c r="D15" s="511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3"/>
    </row>
    <row r="16" spans="2:15">
      <c r="B16" s="514" t="s">
        <v>393</v>
      </c>
      <c r="C16" s="515" t="s">
        <v>423</v>
      </c>
      <c r="D16" s="129"/>
      <c r="E16" s="516">
        <f>IF(B16="3/8",0.0086,IF(B16="1/2",0.00218,IF(B16="5/8",0.000785,"")))</f>
        <v>2.1800000000000001E-3</v>
      </c>
      <c r="F16" s="129"/>
      <c r="G16" s="517"/>
      <c r="H16" s="517"/>
      <c r="I16" s="517"/>
      <c r="J16" s="129"/>
      <c r="K16" s="129"/>
      <c r="L16" s="129"/>
      <c r="M16" s="129"/>
      <c r="N16" s="129"/>
      <c r="O16" s="291"/>
    </row>
    <row r="17" spans="2:15">
      <c r="B17" s="528" t="s">
        <v>414</v>
      </c>
      <c r="C17" s="515" t="s">
        <v>435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291"/>
    </row>
    <row r="18" spans="2:15">
      <c r="B18" s="16">
        <f>VLOOKUP(B17,Key!C6:D40,2,FALSE)</f>
        <v>15</v>
      </c>
      <c r="C18" s="515" t="s">
        <v>445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291"/>
    </row>
    <row r="19" spans="2:15">
      <c r="B19" s="528" t="s">
        <v>396</v>
      </c>
      <c r="C19" s="529" t="s">
        <v>436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291"/>
    </row>
    <row r="20" spans="2:15">
      <c r="B20" s="518">
        <v>100</v>
      </c>
      <c r="C20" s="515" t="s">
        <v>425</v>
      </c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291"/>
    </row>
    <row r="21" spans="2:15">
      <c r="B21" s="546">
        <f>IF(B19="Above",(6+(0.75*B20))/(E16*B18),IF(B19="Below",(6-(0.75*B20))/(E16*B18),"Data Missing"))</f>
        <v>2477.0642201834862</v>
      </c>
      <c r="C21" s="525" t="s">
        <v>432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291"/>
    </row>
    <row r="22" spans="2:15">
      <c r="B22" s="538">
        <f>B20*12*0.036091625769833</f>
        <v>43.309950923799597</v>
      </c>
      <c r="C22" s="520" t="str">
        <f>IF(B22&lt;3.1,  "psi pump inlet pressure. Within NFPA guidelines, no OSV needed.",  "psi pump inlet pressure. Exceeds NFPA guidelines (&gt;3 psi) for inlet pressure, install OSV within 3' vertical height of center of fuel unit. ")</f>
        <v xml:space="preserve">psi pump inlet pressure. Exceeds NFPA guidelines (&gt;3 psi) for inlet pressure, install OSV within 3' vertical height of center of fuel unit. </v>
      </c>
      <c r="D22" s="521"/>
      <c r="E22" s="521"/>
      <c r="F22" s="521"/>
      <c r="G22" s="521"/>
      <c r="H22" s="521"/>
      <c r="I22" s="521"/>
      <c r="J22" s="521"/>
      <c r="K22" s="521"/>
      <c r="L22" s="521"/>
      <c r="M22" s="521"/>
      <c r="N22" s="521"/>
      <c r="O22" s="522"/>
    </row>
    <row r="24" spans="2:15">
      <c r="B24" s="509" t="s">
        <v>433</v>
      </c>
      <c r="C24" s="510"/>
      <c r="D24" s="511"/>
      <c r="E24" s="511"/>
      <c r="F24" s="511"/>
      <c r="G24" s="511"/>
      <c r="H24" s="511"/>
      <c r="I24" s="511"/>
      <c r="J24" s="510" t="s">
        <v>434</v>
      </c>
      <c r="K24" s="511"/>
      <c r="L24" s="511"/>
      <c r="M24" s="511"/>
      <c r="N24" s="511"/>
      <c r="O24" s="513"/>
    </row>
    <row r="25" spans="2:15">
      <c r="B25" s="514" t="s">
        <v>392</v>
      </c>
      <c r="C25" s="515" t="s">
        <v>423</v>
      </c>
      <c r="D25" s="129"/>
      <c r="E25" s="516">
        <f>IF(B25="3/8",0.0086,IF(B25="1/2",0.00218,IF(B25="5/8",0.000785,"")))</f>
        <v>8.6E-3</v>
      </c>
      <c r="F25" s="129"/>
      <c r="G25" s="517"/>
      <c r="H25" s="517"/>
      <c r="I25" s="517"/>
      <c r="J25" s="129"/>
      <c r="K25" s="129"/>
      <c r="L25" s="129"/>
      <c r="M25" s="129"/>
      <c r="N25" s="129"/>
      <c r="O25" s="291"/>
    </row>
    <row r="26" spans="2:15">
      <c r="B26" s="528" t="s">
        <v>409</v>
      </c>
      <c r="C26" s="515" t="s">
        <v>435</v>
      </c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291"/>
    </row>
    <row r="27" spans="2:15">
      <c r="B27" s="283">
        <f>VLOOKUP(B26,Key!C6:D40,2,FALSE)</f>
        <v>15</v>
      </c>
      <c r="C27" s="515" t="s">
        <v>424</v>
      </c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291"/>
    </row>
    <row r="28" spans="2:15">
      <c r="B28" s="528" t="s">
        <v>397</v>
      </c>
      <c r="C28" s="529" t="s">
        <v>436</v>
      </c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291"/>
    </row>
    <row r="29" spans="2:15">
      <c r="B29" s="530" t="s">
        <v>399</v>
      </c>
      <c r="C29" s="529" t="s">
        <v>437</v>
      </c>
      <c r="D29" s="131"/>
      <c r="E29" s="131"/>
      <c r="F29" s="531">
        <f>IF(B29="Single-Stage",(12-(0.75*B30))/(E25*B27),IF(B29="Two-Stage",(17-(0.75*B30))/(E25*B27),""))</f>
        <v>63.95348837209302</v>
      </c>
      <c r="G29" s="531">
        <f>IF(B29="Single-Stage",(12+(0.75*B30))/((E25*B27)),IF(B29="Two-Stage",(17+(0.75*B30))/(E25*B27),""))</f>
        <v>122.09302325581395</v>
      </c>
      <c r="H29" s="131"/>
      <c r="I29" s="131"/>
      <c r="J29" s="131"/>
      <c r="K29" s="131"/>
      <c r="L29" s="131"/>
      <c r="M29" s="131"/>
      <c r="N29" s="131"/>
      <c r="O29" s="291"/>
    </row>
    <row r="30" spans="2:15">
      <c r="B30" s="518">
        <v>5</v>
      </c>
      <c r="C30" s="515" t="s">
        <v>425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291"/>
    </row>
    <row r="31" spans="2:15">
      <c r="B31" s="524">
        <f>IF(B28="Below",F29,G29)</f>
        <v>63.95348837209302</v>
      </c>
      <c r="C31" s="525" t="s">
        <v>438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291"/>
    </row>
    <row r="32" spans="2:15">
      <c r="B32" s="524">
        <f>IF(B28="Above",B31*E25*B27-(0.75*B30),IF(B28="Below",B31*E25*B27+(0.75*B30),"Data Missing"))</f>
        <v>11.999999999999998</v>
      </c>
      <c r="C32" s="525" t="str">
        <f>IF(AND(B29="Single-Stage",B32&gt;12),"@ " &amp; ROUND( B31,1) &amp; " ft. Vacuum exceedes manufacturer recommendation for vacuum. ",IF(AND(B29="Two-Stage",B32&gt;17),"@ " &amp; ROUND( B31,1) &amp; " ft. Vacuum exceedes manufacturer recommendation for vacuum. ","@ " &amp; ROUND( B31,1) &amp; " ft. Vacuum within manufacturer recommendations. ")) &amp; " Does not include valves, filter, etc. "</f>
        <v xml:space="preserve">@ 64 ft. Vacuum within manufacturer recommendations.  Does not include valves, filter, etc. </v>
      </c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291"/>
    </row>
    <row r="33" spans="2:15">
      <c r="B33" s="527" t="str">
        <f>IF(B28="Above",B30*12*0.036091625769833,"")</f>
        <v/>
      </c>
      <c r="C33" s="520" t="str">
        <f>IF(B33&lt;3.1,  "psi pump inlet pressure. Within NFPA guidelines, no OSV needed.",  "psi pump inlet pressure. Exceeds NFPA guidelines (&gt;3 psi) for inlet pressure, install OSV within 3' vertical height of center of fuel unit. ")</f>
        <v xml:space="preserve">psi pump inlet pressure. Exceeds NFPA guidelines (&gt;3 psi) for inlet pressure, install OSV within 3' vertical height of center of fuel unit. </v>
      </c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2"/>
    </row>
  </sheetData>
  <sheetProtection sheet="1" objects="1" scenarios="1"/>
  <dataValidations count="5">
    <dataValidation type="list" allowBlank="1" showInputMessage="1" showErrorMessage="1" sqref="B17 B26">
      <formula1>PumpList</formula1>
    </dataValidation>
    <dataValidation type="list" showInputMessage="1" showErrorMessage="1" sqref="B25 B16">
      <formula1>Line</formula1>
    </dataValidation>
    <dataValidation type="list" allowBlank="1" showInputMessage="1" showErrorMessage="1" sqref="B28 B19">
      <formula1>Above</formula1>
    </dataValidation>
    <dataValidation type="list" allowBlank="1" showInputMessage="1" showErrorMessage="1" sqref="B29">
      <formula1>Stage</formula1>
    </dataValidation>
    <dataValidation type="list" allowBlank="1" showInputMessage="1" showErrorMessage="1" sqref="B4">
      <formula1>Line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Airflow</vt:lpstr>
      <vt:lpstr>Fan Laws</vt:lpstr>
      <vt:lpstr>Psychrometrics &amp; Charging</vt:lpstr>
      <vt:lpstr>Properties of Air</vt:lpstr>
      <vt:lpstr>Duct Traverse</vt:lpstr>
      <vt:lpstr>Conversions</vt:lpstr>
      <vt:lpstr>Pipe Bending</vt:lpstr>
      <vt:lpstr>Boiler</vt:lpstr>
      <vt:lpstr>Oil Line Calcs</vt:lpstr>
      <vt:lpstr>Pump Pressures</vt:lpstr>
      <vt:lpstr>Delta T Evap Chart</vt:lpstr>
      <vt:lpstr>SH Chart</vt:lpstr>
      <vt:lpstr>Enthalpy Chart</vt:lpstr>
      <vt:lpstr>Enthalpy Calcs</vt:lpstr>
      <vt:lpstr>Traverse Points</vt:lpstr>
      <vt:lpstr>Notes</vt:lpstr>
      <vt:lpstr>Formulae</vt:lpstr>
      <vt:lpstr>Key</vt:lpstr>
      <vt:lpstr>Above</vt:lpstr>
      <vt:lpstr>BTU</vt:lpstr>
      <vt:lpstr>Line</vt:lpstr>
      <vt:lpstr>Airflow!Print_Area</vt:lpstr>
      <vt:lpstr>Conversions!Print_Area</vt:lpstr>
      <vt:lpstr>'Fan Laws'!Print_Area</vt:lpstr>
      <vt:lpstr>'Psychrometrics &amp; Charging'!Print_Area</vt:lpstr>
      <vt:lpstr>PumpList</vt:lpstr>
      <vt:lpstr>Stage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2022-01-04T15:41:28Z</cp:lastPrinted>
  <dcterms:created xsi:type="dcterms:W3CDTF">2021-12-31T14:43:47Z</dcterms:created>
  <dcterms:modified xsi:type="dcterms:W3CDTF">2024-03-06T20:24:11Z</dcterms:modified>
</cp:coreProperties>
</file>