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drawings/drawing10.xml" ContentType="application/vnd.openxmlformats-officedocument.drawingml.chartshapes+xml"/>
  <Override PartName="/xl/charts/chart15.xml" ContentType="application/vnd.openxmlformats-officedocument.drawingml.chart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ml.chartshapes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ml.chartshapes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5.xml" ContentType="application/vnd.openxmlformats-officedocument.drawingml.chartshapes+xml"/>
  <Override PartName="/xl/charts/chart22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2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ruongbui/Downloads/"/>
    </mc:Choice>
  </mc:AlternateContent>
  <xr:revisionPtr revIDLastSave="0" documentId="13_ncr:1_{4335F73D-C11D-4643-9C8E-3D24A242DCC2}" xr6:coauthVersionLast="47" xr6:coauthVersionMax="47" xr10:uidLastSave="{00000000-0000-0000-0000-000000000000}"/>
  <bookViews>
    <workbookView xWindow="0" yWindow="760" windowWidth="15120" windowHeight="18880" firstSheet="3" activeTab="5" xr2:uid="{00000000-000D-0000-FFFF-FFFF00000000}"/>
  </bookViews>
  <sheets>
    <sheet name="Investment Returns" sheetId="3" r:id="rId1"/>
    <sheet name="Mountain of Debt" sheetId="4" r:id="rId2"/>
    <sheet name="Unfunded Liability" sheetId="23" r:id="rId3"/>
    <sheet name="ADC vs Statutory" sheetId="25" r:id="rId4"/>
    <sheet name="Negative Amo" sheetId="24" r:id="rId5"/>
    <sheet name="Interest" sheetId="26" r:id="rId6"/>
    <sheet name="TRS_Gain-Loss" sheetId="5" r:id="rId7"/>
    <sheet name="Allocation" sheetId="9" r:id="rId8"/>
  </sheets>
  <externalReferences>
    <externalReference r:id="rId9"/>
  </externalReferences>
  <definedNames>
    <definedName name="AmortYears">[1]Sheet1!$B$11:$B$17</definedName>
    <definedName name="AssetMetho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6" l="1"/>
  <c r="D3" i="26" s="1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AS38" i="5"/>
  <c r="AO35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P17" i="5"/>
  <c r="AP22" i="5"/>
  <c r="AP23" i="5"/>
  <c r="AM13" i="5"/>
  <c r="AM35" i="5" s="1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L13" i="5"/>
  <c r="AL14" i="5"/>
  <c r="AL15" i="5"/>
  <c r="AL16" i="5"/>
  <c r="AL17" i="5"/>
  <c r="AL18" i="5"/>
  <c r="AL19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K13" i="5"/>
  <c r="AK35" i="5" s="1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F15" i="5"/>
  <c r="AA17" i="5"/>
  <c r="V17" i="5" s="1"/>
  <c r="T17" i="5" s="1"/>
  <c r="AA18" i="5"/>
  <c r="AP18" i="5" s="1"/>
  <c r="AC13" i="5"/>
  <c r="AC14" i="5"/>
  <c r="AC15" i="5"/>
  <c r="AC16" i="5"/>
  <c r="AC17" i="5"/>
  <c r="AD17" i="5"/>
  <c r="AC18" i="5"/>
  <c r="AD18" i="5"/>
  <c r="AC19" i="5"/>
  <c r="AD19" i="5" s="1"/>
  <c r="AA19" i="5"/>
  <c r="V19" i="5" s="1"/>
  <c r="T19" i="5" s="1"/>
  <c r="T22" i="5"/>
  <c r="T23" i="5"/>
  <c r="T25" i="5"/>
  <c r="T26" i="5"/>
  <c r="T27" i="5"/>
  <c r="T28" i="5"/>
  <c r="T29" i="5"/>
  <c r="T30" i="5"/>
  <c r="T31" i="5"/>
  <c r="T32" i="5"/>
  <c r="T33" i="5"/>
  <c r="T34" i="5"/>
  <c r="F20" i="5"/>
  <c r="AL20" i="5" s="1"/>
  <c r="AC20" i="5"/>
  <c r="AD20" i="5" s="1"/>
  <c r="AA20" i="5"/>
  <c r="V20" i="5" s="1"/>
  <c r="B12" i="5"/>
  <c r="AC21" i="5"/>
  <c r="AD21" i="5" s="1"/>
  <c r="AA21" i="5"/>
  <c r="V21" i="5" s="1"/>
  <c r="W21" i="5" s="1"/>
  <c r="AC22" i="5"/>
  <c r="AD22" i="5" s="1"/>
  <c r="AA22" i="5"/>
  <c r="V22" i="5" s="1"/>
  <c r="W22" i="5" s="1"/>
  <c r="V23" i="5"/>
  <c r="W23" i="5"/>
  <c r="Y23" i="5"/>
  <c r="AC23" i="5"/>
  <c r="AB23" i="5"/>
  <c r="AA24" i="5"/>
  <c r="AP24" i="5" s="1"/>
  <c r="AC24" i="5"/>
  <c r="W25" i="5"/>
  <c r="I25" i="5"/>
  <c r="B25" i="5" s="1"/>
  <c r="I26" i="5"/>
  <c r="B26" i="5" s="1"/>
  <c r="I27" i="5"/>
  <c r="B27" i="5" s="1"/>
  <c r="I28" i="5"/>
  <c r="B28" i="5" s="1"/>
  <c r="I29" i="5"/>
  <c r="B29" i="5" s="1"/>
  <c r="B35" i="5" s="1"/>
  <c r="AC25" i="5"/>
  <c r="Y25" i="5"/>
  <c r="AC26" i="5"/>
  <c r="AC27" i="5"/>
  <c r="AC28" i="5"/>
  <c r="AC29" i="5"/>
  <c r="AC30" i="5"/>
  <c r="I30" i="5"/>
  <c r="B30" i="5" s="1"/>
  <c r="AC31" i="5"/>
  <c r="AC34" i="5"/>
  <c r="AQ38" i="5" s="1"/>
  <c r="AQ39" i="5" s="1"/>
  <c r="I31" i="5"/>
  <c r="B31" i="5" s="1"/>
  <c r="AC32" i="5"/>
  <c r="AC33" i="5"/>
  <c r="I32" i="5"/>
  <c r="B32" i="5" s="1"/>
  <c r="I33" i="5"/>
  <c r="B33" i="5" s="1"/>
  <c r="I34" i="5"/>
  <c r="B34" i="5" s="1"/>
  <c r="I36" i="5"/>
  <c r="X34" i="5"/>
  <c r="W34" i="5"/>
  <c r="AA34" i="5" s="1"/>
  <c r="AB34" i="5" s="1"/>
  <c r="Q34" i="5"/>
  <c r="W37" i="5"/>
  <c r="K36" i="5"/>
  <c r="K40" i="5"/>
  <c r="E37" i="5"/>
  <c r="AL35" i="5" l="1"/>
  <c r="W20" i="5"/>
  <c r="T20" i="5"/>
  <c r="AP21" i="5"/>
  <c r="T21" i="5"/>
  <c r="AP20" i="5"/>
  <c r="AD23" i="5"/>
  <c r="AP19" i="5"/>
  <c r="V18" i="5"/>
  <c r="T18" i="5" s="1"/>
  <c r="AP34" i="5"/>
  <c r="G36" i="5"/>
  <c r="AA25" i="5"/>
  <c r="K24" i="5"/>
  <c r="J24" i="5"/>
  <c r="I24" i="5" s="1"/>
  <c r="J23" i="5"/>
  <c r="I23" i="5" s="1"/>
  <c r="J22" i="5"/>
  <c r="I22" i="5" s="1"/>
  <c r="J21" i="5"/>
  <c r="I21" i="5" s="1"/>
  <c r="J20" i="5"/>
  <c r="I20" i="5" s="1"/>
  <c r="O19" i="5"/>
  <c r="K19" i="5"/>
  <c r="J19" i="5"/>
  <c r="J18" i="5"/>
  <c r="I18" i="5" s="1"/>
  <c r="J17" i="5"/>
  <c r="I17" i="5" s="1"/>
  <c r="J16" i="5"/>
  <c r="I16" i="5" s="1"/>
  <c r="J15" i="5"/>
  <c r="I15" i="5" s="1"/>
  <c r="J14" i="5"/>
  <c r="I14" i="5" s="1"/>
  <c r="J13" i="5"/>
  <c r="I13" i="5" s="1"/>
  <c r="J12" i="5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" i="24"/>
  <c r="B23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" i="25"/>
  <c r="B2" i="24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F8" i="25"/>
  <c r="B23" i="24"/>
  <c r="F3" i="24"/>
  <c r="F4" i="24"/>
  <c r="F5" i="24"/>
  <c r="F6" i="24"/>
  <c r="F7" i="24"/>
  <c r="F8" i="24"/>
  <c r="F9" i="24"/>
  <c r="F10" i="24"/>
  <c r="F11" i="24"/>
  <c r="F12" i="24"/>
  <c r="F14" i="24"/>
  <c r="F15" i="24"/>
  <c r="F16" i="24"/>
  <c r="F17" i="24"/>
  <c r="F23" i="24"/>
  <c r="F2" i="24"/>
  <c r="B14" i="5" l="1"/>
  <c r="B13" i="5"/>
  <c r="B21" i="5"/>
  <c r="B22" i="5"/>
  <c r="AE22" i="5" s="1"/>
  <c r="B17" i="5"/>
  <c r="B20" i="5"/>
  <c r="B15" i="5"/>
  <c r="B16" i="5"/>
  <c r="B23" i="5"/>
  <c r="B18" i="5"/>
  <c r="B24" i="5"/>
  <c r="I19" i="5"/>
  <c r="AB25" i="5"/>
  <c r="AD25" i="5" s="1"/>
  <c r="AF25" i="5" s="1"/>
  <c r="AP25" i="5"/>
  <c r="AE23" i="5"/>
  <c r="AF23" i="5"/>
  <c r="AF21" i="5"/>
  <c r="AE21" i="5"/>
  <c r="AE25" i="5"/>
  <c r="AD34" i="5"/>
  <c r="Z34" i="5"/>
  <c r="B19" i="5" l="1"/>
  <c r="AF22" i="5"/>
  <c r="AE18" i="5"/>
  <c r="AF18" i="5"/>
  <c r="AE20" i="5"/>
  <c r="AF20" i="5"/>
  <c r="AN35" i="5"/>
  <c r="AF17" i="5"/>
  <c r="AE17" i="5"/>
  <c r="AE34" i="5"/>
  <c r="AF34" i="5"/>
  <c r="D23" i="24"/>
  <c r="E23" i="24"/>
  <c r="G23" i="24"/>
  <c r="F23" i="25"/>
  <c r="E23" i="25"/>
  <c r="B24" i="3"/>
  <c r="B25" i="3"/>
  <c r="W17" i="5"/>
  <c r="W18" i="5"/>
  <c r="W19" i="5"/>
  <c r="Y27" i="5"/>
  <c r="D22" i="24"/>
  <c r="F22" i="25"/>
  <c r="E22" i="25"/>
  <c r="AE19" i="5" l="1"/>
  <c r="AF19" i="5"/>
  <c r="Y19" i="5"/>
  <c r="Z19" i="5" s="1"/>
  <c r="Y18" i="5"/>
  <c r="Z18" i="5" s="1"/>
  <c r="Z27" i="5"/>
  <c r="AA27" i="5"/>
  <c r="Y21" i="5"/>
  <c r="Z21" i="5" s="1"/>
  <c r="H23" i="24"/>
  <c r="Y20" i="5"/>
  <c r="Z20" i="5" s="1"/>
  <c r="Y26" i="5"/>
  <c r="Y22" i="5"/>
  <c r="Z22" i="5" s="1"/>
  <c r="Y17" i="5"/>
  <c r="Z17" i="5" s="1"/>
  <c r="Z25" i="5"/>
  <c r="Z23" i="5"/>
  <c r="Y28" i="5"/>
  <c r="E21" i="25"/>
  <c r="F21" i="25"/>
  <c r="AB27" i="5" l="1"/>
  <c r="AD27" i="5" s="1"/>
  <c r="AP27" i="5"/>
  <c r="AE27" i="5"/>
  <c r="AF27" i="5"/>
  <c r="Z28" i="5"/>
  <c r="AA28" i="5"/>
  <c r="Z26" i="5"/>
  <c r="AA26" i="5"/>
  <c r="E17" i="24"/>
  <c r="D18" i="24"/>
  <c r="D19" i="24"/>
  <c r="D20" i="24"/>
  <c r="D21" i="24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4" i="3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F4" i="3"/>
  <c r="F6" i="25"/>
  <c r="E8" i="25"/>
  <c r="E9" i="25"/>
  <c r="E11" i="25"/>
  <c r="E15" i="25"/>
  <c r="F16" i="25"/>
  <c r="E19" i="25"/>
  <c r="E20" i="25"/>
  <c r="F4" i="25"/>
  <c r="F7" i="25"/>
  <c r="F20" i="25"/>
  <c r="E4" i="25"/>
  <c r="E7" i="25"/>
  <c r="E16" i="25"/>
  <c r="E18" i="25"/>
  <c r="H5" i="9"/>
  <c r="H4" i="9"/>
  <c r="H3" i="9"/>
  <c r="H2" i="9"/>
  <c r="AB26" i="5" l="1"/>
  <c r="AD26" i="5" s="1"/>
  <c r="AP26" i="5"/>
  <c r="AB28" i="5"/>
  <c r="AD28" i="5" s="1"/>
  <c r="AE28" i="5" s="1"/>
  <c r="AP28" i="5"/>
  <c r="AF26" i="5"/>
  <c r="AE26" i="5"/>
  <c r="AF28" i="5"/>
  <c r="H13" i="3"/>
  <c r="F5" i="3"/>
  <c r="F6" i="3"/>
  <c r="F7" i="3" s="1"/>
  <c r="F8" i="3" s="1"/>
  <c r="F9" i="3" s="1"/>
  <c r="F10" i="3" s="1"/>
  <c r="F11" i="3" s="1"/>
  <c r="F12" i="3" s="1"/>
  <c r="F13" i="3" s="1"/>
  <c r="F14" i="3" s="1"/>
  <c r="G15" i="24"/>
  <c r="G14" i="24"/>
  <c r="E14" i="24"/>
  <c r="E16" i="24"/>
  <c r="G12" i="24"/>
  <c r="D6" i="24"/>
  <c r="E9" i="24"/>
  <c r="G9" i="24"/>
  <c r="D10" i="24"/>
  <c r="D9" i="24"/>
  <c r="D12" i="24"/>
  <c r="D8" i="24"/>
  <c r="G7" i="24"/>
  <c r="D17" i="24"/>
  <c r="E8" i="24"/>
  <c r="D7" i="24"/>
  <c r="D14" i="24"/>
  <c r="D16" i="24"/>
  <c r="G16" i="24"/>
  <c r="F18" i="25"/>
  <c r="E10" i="25"/>
  <c r="F14" i="25"/>
  <c r="E14" i="25"/>
  <c r="F12" i="25"/>
  <c r="F10" i="25"/>
  <c r="H15" i="3"/>
  <c r="D30" i="3"/>
  <c r="F15" i="3"/>
  <c r="F16" i="3" s="1"/>
  <c r="F17" i="3" s="1"/>
  <c r="F18" i="3" s="1"/>
  <c r="F19" i="3" s="1"/>
  <c r="F20" i="3" s="1"/>
  <c r="F21" i="3" s="1"/>
  <c r="F22" i="3" s="1"/>
  <c r="F23" i="3" s="1"/>
  <c r="F3" i="25"/>
  <c r="E12" i="25"/>
  <c r="E6" i="25"/>
  <c r="E3" i="25"/>
  <c r="H22" i="3"/>
  <c r="H18" i="3"/>
  <c r="H17" i="3"/>
  <c r="H19" i="3"/>
  <c r="H21" i="3"/>
  <c r="H14" i="3"/>
  <c r="F13" i="25"/>
  <c r="E13" i="25"/>
  <c r="E2" i="25"/>
  <c r="F2" i="25"/>
  <c r="F17" i="25"/>
  <c r="E17" i="25"/>
  <c r="F5" i="25"/>
  <c r="E5" i="25"/>
  <c r="H16" i="3"/>
  <c r="H20" i="3"/>
  <c r="H23" i="3"/>
  <c r="D28" i="3"/>
  <c r="D27" i="3"/>
  <c r="F19" i="25"/>
  <c r="F15" i="25"/>
  <c r="F11" i="25"/>
  <c r="D29" i="3"/>
  <c r="E11" i="24"/>
  <c r="D11" i="24"/>
  <c r="D15" i="24"/>
  <c r="F9" i="25"/>
  <c r="H14" i="24" l="1"/>
  <c r="E10" i="24"/>
  <c r="H9" i="24"/>
  <c r="E7" i="24"/>
  <c r="H7" i="24" s="1"/>
  <c r="G10" i="24"/>
  <c r="E6" i="24"/>
  <c r="G8" i="24"/>
  <c r="H8" i="24" s="1"/>
  <c r="H16" i="24"/>
  <c r="E12" i="24"/>
  <c r="H12" i="24" s="1"/>
  <c r="G6" i="24"/>
  <c r="G17" i="24"/>
  <c r="H17" i="24" s="1"/>
  <c r="G11" i="24"/>
  <c r="H11" i="24" s="1"/>
  <c r="E15" i="24"/>
  <c r="H15" i="24" s="1"/>
  <c r="H10" i="24" l="1"/>
  <c r="H6" i="24"/>
  <c r="G22" i="24" l="1"/>
  <c r="W33" i="5"/>
  <c r="X33" i="5"/>
  <c r="Z33" i="5"/>
  <c r="E22" i="24" l="1"/>
  <c r="AA33" i="5"/>
  <c r="H22" i="24"/>
  <c r="F22" i="24"/>
  <c r="G21" i="24"/>
  <c r="W32" i="5"/>
  <c r="X32" i="5"/>
  <c r="F21" i="24" s="1"/>
  <c r="Z32" i="5"/>
  <c r="AB33" i="5" l="1"/>
  <c r="AD33" i="5" s="1"/>
  <c r="AP33" i="5"/>
  <c r="AE33" i="5"/>
  <c r="AF33" i="5"/>
  <c r="E21" i="24"/>
  <c r="AA32" i="5"/>
  <c r="H21" i="24"/>
  <c r="G20" i="24"/>
  <c r="Z31" i="5"/>
  <c r="W31" i="5"/>
  <c r="X31" i="5"/>
  <c r="AB32" i="5" l="1"/>
  <c r="AD32" i="5" s="1"/>
  <c r="AP32" i="5"/>
  <c r="AE32" i="5"/>
  <c r="AF32" i="5"/>
  <c r="E20" i="24"/>
  <c r="H20" i="24" s="1"/>
  <c r="AA31" i="5"/>
  <c r="F20" i="24"/>
  <c r="G19" i="24"/>
  <c r="W30" i="5"/>
  <c r="AA30" i="5" s="1"/>
  <c r="X30" i="5"/>
  <c r="Z30" i="5"/>
  <c r="AB31" i="5" l="1"/>
  <c r="AD31" i="5" s="1"/>
  <c r="AP31" i="5"/>
  <c r="AB30" i="5"/>
  <c r="AD30" i="5" s="1"/>
  <c r="AE30" i="5" s="1"/>
  <c r="AP30" i="5"/>
  <c r="AF31" i="5"/>
  <c r="AE31" i="5"/>
  <c r="AF30" i="5"/>
  <c r="E19" i="24"/>
  <c r="H19" i="24" s="1"/>
  <c r="F19" i="24"/>
  <c r="E18" i="24"/>
  <c r="F18" i="24"/>
  <c r="Y29" i="5"/>
  <c r="AA29" i="5" s="1"/>
  <c r="Z29" i="5"/>
  <c r="AB29" i="5" l="1"/>
  <c r="AD29" i="5" s="1"/>
  <c r="AP29" i="5"/>
  <c r="AF29" i="5"/>
  <c r="AE29" i="5"/>
  <c r="G18" i="24"/>
  <c r="H18" i="24"/>
  <c r="F13" i="24" l="1"/>
  <c r="AB24" i="5"/>
  <c r="AD24" i="5"/>
  <c r="AE24" i="5" s="1"/>
  <c r="V24" i="5"/>
  <c r="T24" i="5" s="1"/>
  <c r="D13" i="24" l="1"/>
  <c r="Y24" i="5"/>
  <c r="W24" i="5"/>
  <c r="E13" i="24" s="1"/>
  <c r="AF24" i="5"/>
  <c r="Z24" i="5" l="1"/>
  <c r="G13" i="24"/>
  <c r="H13" i="24" s="1"/>
  <c r="AD16" i="5"/>
  <c r="AF16" i="5" s="1"/>
  <c r="AA16" i="5"/>
  <c r="AP16" i="5" l="1"/>
  <c r="V16" i="5"/>
  <c r="D5" i="24"/>
  <c r="AE16" i="5"/>
  <c r="Y16" i="5" l="1"/>
  <c r="T16" i="5"/>
  <c r="W16" i="5"/>
  <c r="E5" i="24" s="1"/>
  <c r="AA15" i="5"/>
  <c r="V15" i="5"/>
  <c r="AD15" i="5"/>
  <c r="AE15" i="5" s="1"/>
  <c r="AF15" i="5"/>
  <c r="Y15" i="5" l="1"/>
  <c r="T15" i="5"/>
  <c r="AP15" i="5"/>
  <c r="G5" i="24"/>
  <c r="H5" i="24" s="1"/>
  <c r="Z16" i="5"/>
  <c r="Z15" i="5"/>
  <c r="G4" i="24"/>
  <c r="W15" i="5"/>
  <c r="E4" i="24" s="1"/>
  <c r="D4" i="24"/>
  <c r="H4" i="24" l="1"/>
  <c r="AD14" i="5"/>
  <c r="AF14" i="5" s="1"/>
  <c r="AA14" i="5"/>
  <c r="V14" i="5"/>
  <c r="T14" i="5" s="1"/>
  <c r="Y14" i="5"/>
  <c r="Z14" i="5" s="1"/>
  <c r="E4" i="26" l="1"/>
  <c r="D4" i="26" s="1"/>
  <c r="AP14" i="5"/>
  <c r="D3" i="24"/>
  <c r="AE14" i="5"/>
  <c r="W14" i="5"/>
  <c r="E3" i="24" s="1"/>
  <c r="G3" i="24"/>
  <c r="H3" i="24" s="1"/>
  <c r="E5" i="26" l="1"/>
  <c r="E6" i="26" s="1"/>
  <c r="D5" i="26"/>
  <c r="E7" i="26" l="1"/>
  <c r="D6" i="26"/>
  <c r="D7" i="26" l="1"/>
  <c r="E8" i="26"/>
  <c r="D8" i="26" l="1"/>
  <c r="E9" i="26"/>
  <c r="E10" i="26" l="1"/>
  <c r="D9" i="26"/>
  <c r="E11" i="26" l="1"/>
  <c r="D10" i="26"/>
  <c r="E12" i="26" l="1"/>
  <c r="D11" i="26"/>
  <c r="E13" i="26" l="1"/>
  <c r="D12" i="26"/>
  <c r="E14" i="26" l="1"/>
  <c r="D13" i="26"/>
  <c r="D14" i="26" l="1"/>
  <c r="E15" i="26"/>
  <c r="D15" i="26" l="1"/>
  <c r="E16" i="26"/>
  <c r="E17" i="26" l="1"/>
  <c r="D16" i="26"/>
  <c r="D17" i="26" l="1"/>
  <c r="E18" i="26"/>
  <c r="E19" i="26" l="1"/>
  <c r="D18" i="26"/>
  <c r="E20" i="26" l="1"/>
  <c r="D19" i="26"/>
  <c r="D20" i="26" l="1"/>
  <c r="E21" i="26"/>
  <c r="E22" i="26" l="1"/>
  <c r="D21" i="26"/>
  <c r="E23" i="26" l="1"/>
  <c r="D22" i="26"/>
  <c r="E24" i="26" l="1"/>
  <c r="D24" i="26" s="1"/>
  <c r="D23" i="26"/>
  <c r="AD13" i="5"/>
  <c r="AE13" i="5"/>
  <c r="AA13" i="5"/>
  <c r="AP13" i="5" l="1"/>
  <c r="AP35" i="5" s="1"/>
  <c r="AQ35" i="5" s="1"/>
  <c r="AQ36" i="5" s="1"/>
  <c r="AF13" i="5"/>
  <c r="AF35" i="5" s="1"/>
  <c r="AD35" i="5"/>
  <c r="V13" i="5"/>
  <c r="AH35" i="5" l="1"/>
  <c r="AE35" i="5"/>
  <c r="D2" i="24"/>
  <c r="Y13" i="5"/>
  <c r="W13" i="5"/>
  <c r="E2" i="24" s="1"/>
  <c r="T13" i="5"/>
  <c r="G2" i="24" l="1"/>
  <c r="H2" i="24" s="1"/>
  <c r="Z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tc={A3D4DD8D-78CA-4A00-9203-3BD34A88CA89}</author>
    <author>tc={2987660F-E3D1-494F-8847-95D6D4B72FF3}</author>
  </authors>
  <commentList>
    <comment ref="I2" authorId="0" shapeId="0" xr:uid="{A3D4DD8D-78CA-4A00-9203-3BD34A88CA89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of next columns</t>
      </text>
    </comment>
    <comment ref="V24" authorId="1" shapeId="0" xr:uid="{2987660F-E3D1-494F-8847-95D6D4B72FF3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solve an equation to get this</t>
      </text>
    </comment>
  </commentList>
</comments>
</file>

<file path=xl/sharedStrings.xml><?xml version="1.0" encoding="utf-8"?>
<sst xmlns="http://schemas.openxmlformats.org/spreadsheetml/2006/main" count="137" uniqueCount="104">
  <si>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</si>
  <si>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</si>
  <si>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</si>
  <si>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</si>
  <si>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</si>
  <si>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</si>
  <si>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</si>
  <si>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</si>
  <si>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</si>
  <si>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</si>
  <si>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</si>
  <si>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</si>
  <si>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</si>
  <si>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</si>
  <si>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</si>
  <si>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</si>
  <si>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Total</t>
  </si>
  <si>
    <t>Valuation FYE</t>
  </si>
  <si>
    <t>Net Amortization</t>
  </si>
  <si>
    <t>TRS</t>
  </si>
  <si>
    <t>PERS</t>
  </si>
  <si>
    <t>year</t>
  </si>
  <si>
    <t>Market Valued Returns (Actual)</t>
  </si>
  <si>
    <t>Assumed Rate of Return</t>
  </si>
  <si>
    <t>10-Year Rolling Geometric Average</t>
  </si>
  <si>
    <t>2001</t>
  </si>
  <si>
    <t>Actuarially Valued Investment Return (Smoothed by Plan)</t>
  </si>
  <si>
    <t>MV Growth</t>
  </si>
  <si>
    <t>Average Market Valued Returns</t>
  </si>
  <si>
    <t>UAAL</t>
  </si>
  <si>
    <t>Funded Ratio</t>
  </si>
  <si>
    <r>
      <t>(Gain)/Loss</t>
    </r>
    <r>
      <rPr>
        <b/>
        <sz val="12"/>
        <color theme="9" tint="-0.249977111117893"/>
        <rFont val="Calibri"/>
        <family val="2"/>
        <scheme val="minor"/>
      </rPr>
      <t xml:space="preserve"> Data</t>
    </r>
  </si>
  <si>
    <t>Gain/Loss Reconciliation</t>
  </si>
  <si>
    <t>Payroll</t>
  </si>
  <si>
    <t>Normal Cost Rate</t>
  </si>
  <si>
    <t>UAAL at BOY</t>
  </si>
  <si>
    <t>Normal Cost from last valuation</t>
  </si>
  <si>
    <t>Interest Accrual</t>
  </si>
  <si>
    <t>Actual Contribution</t>
  </si>
  <si>
    <t>Amortization Payment</t>
  </si>
  <si>
    <t>Amortization Payment Rate</t>
  </si>
  <si>
    <t>Expected UAAL Before Changes</t>
  </si>
  <si>
    <t>Difference</t>
  </si>
  <si>
    <t>If there are smaller pay increases than assumed, there is a gain.</t>
  </si>
  <si>
    <t>If there is greater investment return than assumed, there is gain.</t>
  </si>
  <si>
    <t>If members retire at older ages or with loower final average pays than assumed, there is a gain.</t>
  </si>
  <si>
    <t>APERS CAFRs "Gain and Losses By Risk Area"</t>
  </si>
  <si>
    <t>2017 CAFR p. 112</t>
  </si>
  <si>
    <t>Standard &amp; Poors 
500 Index</t>
  </si>
  <si>
    <t>Cash and Short Term</t>
  </si>
  <si>
    <t>Bonds and Fixed Income</t>
  </si>
  <si>
    <t>Equities and Stocks</t>
  </si>
  <si>
    <t>Real Estate</t>
  </si>
  <si>
    <t>Alternatives</t>
  </si>
  <si>
    <t>Actuarially Determined Contribution</t>
  </si>
  <si>
    <t>Excess Contributions</t>
  </si>
  <si>
    <t>2000</t>
  </si>
  <si>
    <t>TRS Investment Return</t>
  </si>
  <si>
    <t>TRS Assumed Return</t>
  </si>
  <si>
    <t>Year</t>
  </si>
  <si>
    <t>total_normal_cost_percentage</t>
  </si>
  <si>
    <t>covered_payroll_dollar</t>
  </si>
  <si>
    <t>employer_contribution_regular_dollar</t>
  </si>
  <si>
    <t>Contribution Shortfall</t>
  </si>
  <si>
    <t>15-Years (2006-20)</t>
  </si>
  <si>
    <t>10-Years (2011-20)</t>
  </si>
  <si>
    <t>5-Years (2016-20)</t>
  </si>
  <si>
    <t>20-Years (2001-20)</t>
  </si>
  <si>
    <t>Discount Rate</t>
  </si>
  <si>
    <t>Assumption Changes</t>
  </si>
  <si>
    <t>EOY UAAL</t>
  </si>
  <si>
    <t>Unfunded Liabilities from Other Sources</t>
  </si>
  <si>
    <t>Investment Loss</t>
  </si>
  <si>
    <t>Method Changes</t>
  </si>
  <si>
    <t>Benefit Changes</t>
  </si>
  <si>
    <t>Benefits accumulated and Other</t>
  </si>
  <si>
    <t>Demographics</t>
  </si>
  <si>
    <t>Experience Gain/Loss</t>
  </si>
  <si>
    <t>Salary Increase</t>
  </si>
  <si>
    <t>Retirement Experience</t>
  </si>
  <si>
    <t>Retiree Mortality</t>
  </si>
  <si>
    <t>New Entrants</t>
  </si>
  <si>
    <t>DC Admin Expenses</t>
  </si>
  <si>
    <t>Data Composition and other</t>
  </si>
  <si>
    <t>private_equity</t>
  </si>
  <si>
    <t>real_estate</t>
  </si>
  <si>
    <t>hedge_funds</t>
  </si>
  <si>
    <t>commodities</t>
  </si>
  <si>
    <t>alternatives</t>
  </si>
  <si>
    <t>public_equities</t>
  </si>
  <si>
    <t>fixed_income</t>
  </si>
  <si>
    <t>cash</t>
  </si>
  <si>
    <t>total</t>
  </si>
  <si>
    <t>Total Asset and Liability gain/loss</t>
  </si>
  <si>
    <t>Check</t>
  </si>
  <si>
    <t>Investment performance</t>
  </si>
  <si>
    <t>Method and Assumption Changes</t>
  </si>
  <si>
    <t>BenefIt Changes</t>
  </si>
  <si>
    <t>Demographic Experience</t>
  </si>
  <si>
    <t>Other</t>
  </si>
  <si>
    <t>Unpaid Interest on Unfunded Liabilities</t>
  </si>
  <si>
    <t>AVA</t>
  </si>
  <si>
    <t>MVA</t>
  </si>
  <si>
    <t>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</si>
</sst>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"/>
    <numFmt numFmtId="165" formatCode="0.0%"/>
    <numFmt numFmtId="166" formatCode="_-&quot;$&quot;* #,##0.00_-;\-&quot;$&quot;* #,##0.00_-;_-&quot;$&quot;* &quot;-&quot;??_-;_-@_-"/>
    <numFmt numFmtId="167" formatCode="_-&quot;$&quot;* #,##0_-;\-&quot;$&quot;* #,##0_-;_-&quot;$&quot;* &quot;-&quot;??_-;_-@_-"/>
    <numFmt numFmtId="169" formatCode="_(* #,##0_);_(* \(#,##0\);_(* &quot;-&quot;??_);_(@_)"/>
    <numFmt numFmtId="170" formatCode="[$$-409]#,##0.00"/>
    <numFmt numFmtId="176" formatCode="0.000%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  <family val="1"/>
    </font>
    <font>
      <i/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5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FF6D2A"/>
      </bottom>
      <diagonal/>
    </border>
    <border>
      <left style="thin">
        <color theme="0"/>
      </left>
      <right style="thin">
        <color theme="0"/>
      </right>
      <top style="thin">
        <color rgb="FFFF6D2A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4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43" fontId="8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0" borderId="0"/>
    <xf numFmtId="0" fontId="3" fillId="0" borderId="0"/>
  </cellStyleXfs>
  <cellXfs count="91">
    <xf numFmtId="0" fontId="0" fillId="0" borderId="0" xfId="0"/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/>
    </xf>
    <xf numFmtId="165" fontId="0" fillId="0" borderId="0" xfId="2" applyNumberFormat="1" applyFont="1"/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3" xfId="3" applyFont="1" applyBorder="1" applyAlignment="1">
      <alignment vertical="center" wrapText="1"/>
    </xf>
    <xf numFmtId="0" fontId="9" fillId="0" borderId="0" xfId="3" applyFont="1" applyAlignment="1">
      <alignment horizontal="center" vertical="center"/>
    </xf>
    <xf numFmtId="167" fontId="9" fillId="0" borderId="0" xfId="4" applyNumberFormat="1" applyFont="1" applyAlignment="1">
      <alignment horizontal="center" vertical="center"/>
    </xf>
    <xf numFmtId="167" fontId="9" fillId="0" borderId="0" xfId="4" applyNumberFormat="1" applyFont="1" applyAlignment="1">
      <alignment vertical="center"/>
    </xf>
    <xf numFmtId="0" fontId="9" fillId="0" borderId="0" xfId="3" applyFont="1" applyAlignment="1">
      <alignment vertical="center"/>
    </xf>
    <xf numFmtId="0" fontId="6" fillId="0" borderId="4" xfId="3" applyBorder="1" applyAlignment="1">
      <alignment horizontal="center" vertical="center" wrapText="1"/>
    </xf>
    <xf numFmtId="0" fontId="6" fillId="0" borderId="0" xfId="3" applyAlignment="1">
      <alignment horizontal="center" vertical="center" wrapText="1"/>
    </xf>
    <xf numFmtId="0" fontId="6" fillId="0" borderId="0" xfId="3" applyAlignment="1">
      <alignment vertical="center"/>
    </xf>
    <xf numFmtId="0" fontId="6" fillId="0" borderId="4" xfId="3" applyBorder="1" applyAlignment="1">
      <alignment horizontal="center"/>
    </xf>
    <xf numFmtId="0" fontId="6" fillId="0" borderId="0" xfId="3"/>
    <xf numFmtId="167" fontId="0" fillId="0" borderId="0" xfId="4" applyNumberFormat="1" applyFont="1"/>
    <xf numFmtId="167" fontId="0" fillId="0" borderId="0" xfId="4" applyNumberFormat="1" applyFont="1" applyAlignment="1">
      <alignment horizontal="center" wrapText="1"/>
    </xf>
    <xf numFmtId="0" fontId="6" fillId="0" borderId="4" xfId="3" applyBorder="1" applyAlignment="1">
      <alignment horizontal="center" wrapText="1"/>
    </xf>
    <xf numFmtId="0" fontId="6" fillId="0" borderId="0" xfId="3" applyAlignment="1">
      <alignment horizontal="center" wrapText="1"/>
    </xf>
    <xf numFmtId="167" fontId="0" fillId="0" borderId="0" xfId="4" applyNumberFormat="1" applyFont="1" applyAlignment="1">
      <alignment wrapText="1"/>
    </xf>
    <xf numFmtId="167" fontId="6" fillId="0" borderId="0" xfId="3" applyNumberFormat="1"/>
    <xf numFmtId="164" fontId="6" fillId="0" borderId="0" xfId="3" applyNumberFormat="1"/>
    <xf numFmtId="10" fontId="0" fillId="0" borderId="0" xfId="5" applyNumberFormat="1" applyFont="1"/>
    <xf numFmtId="0" fontId="10" fillId="2" borderId="4" xfId="3" applyFont="1" applyFill="1" applyBorder="1" applyAlignment="1">
      <alignment horizontal="center" wrapText="1"/>
    </xf>
    <xf numFmtId="0" fontId="10" fillId="0" borderId="4" xfId="3" applyFont="1" applyBorder="1" applyAlignment="1">
      <alignment horizontal="center" wrapText="1"/>
    </xf>
    <xf numFmtId="0" fontId="6" fillId="0" borderId="0" xfId="3" applyAlignment="1">
      <alignment horizontal="center"/>
    </xf>
    <xf numFmtId="9" fontId="0" fillId="0" borderId="0" xfId="5" applyFont="1"/>
    <xf numFmtId="164" fontId="6" fillId="3" borderId="0" xfId="3" applyNumberFormat="1" applyFill="1"/>
    <xf numFmtId="2" fontId="0" fillId="4" borderId="0" xfId="5" applyNumberFormat="1" applyFont="1" applyFill="1"/>
    <xf numFmtId="10" fontId="0" fillId="0" borderId="0" xfId="0" applyNumberFormat="1"/>
    <xf numFmtId="3" fontId="6" fillId="0" borderId="0" xfId="3" applyNumberFormat="1"/>
    <xf numFmtId="0" fontId="0" fillId="0" borderId="5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/>
    <xf numFmtId="165" fontId="0" fillId="0" borderId="1" xfId="2" applyNumberFormat="1" applyFont="1" applyBorder="1"/>
    <xf numFmtId="10" fontId="0" fillId="0" borderId="0" xfId="2" applyNumberFormat="1" applyFont="1"/>
    <xf numFmtId="44" fontId="0" fillId="0" borderId="0" xfId="1" applyFont="1" applyAlignment="1">
      <alignment horizontal="center"/>
    </xf>
    <xf numFmtId="44" fontId="8" fillId="0" borderId="0" xfId="1" applyFont="1" applyAlignment="1">
      <alignment horizontal="center"/>
    </xf>
    <xf numFmtId="10" fontId="14" fillId="7" borderId="10" xfId="2" applyNumberFormat="1" applyFont="1" applyFill="1" applyBorder="1" applyAlignment="1">
      <alignment horizontal="center"/>
    </xf>
    <xf numFmtId="165" fontId="14" fillId="7" borderId="10" xfId="2" applyNumberFormat="1" applyFont="1" applyFill="1" applyBorder="1" applyAlignment="1">
      <alignment horizontal="center"/>
    </xf>
    <xf numFmtId="10" fontId="14" fillId="6" borderId="11" xfId="2" applyNumberFormat="1" applyFont="1" applyFill="1" applyBorder="1" applyAlignment="1">
      <alignment horizontal="center"/>
    </xf>
    <xf numFmtId="165" fontId="14" fillId="6" borderId="11" xfId="2" applyNumberFormat="1" applyFont="1" applyFill="1" applyBorder="1" applyAlignment="1">
      <alignment horizontal="center"/>
    </xf>
    <xf numFmtId="10" fontId="14" fillId="7" borderId="11" xfId="2" applyNumberFormat="1" applyFont="1" applyFill="1" applyBorder="1" applyAlignment="1">
      <alignment horizontal="center"/>
    </xf>
    <xf numFmtId="165" fontId="14" fillId="7" borderId="11" xfId="2" applyNumberFormat="1" applyFont="1" applyFill="1" applyBorder="1" applyAlignment="1">
      <alignment horizontal="center"/>
    </xf>
    <xf numFmtId="2" fontId="0" fillId="9" borderId="0" xfId="2" applyNumberFormat="1" applyFont="1" applyFill="1"/>
    <xf numFmtId="2" fontId="0" fillId="4" borderId="0" xfId="2" applyNumberFormat="1" applyFont="1" applyFill="1"/>
    <xf numFmtId="10" fontId="0" fillId="3" borderId="0" xfId="2" applyNumberFormat="1" applyFont="1" applyFill="1" applyAlignment="1">
      <alignment horizontal="center"/>
    </xf>
    <xf numFmtId="11" fontId="0" fillId="0" borderId="0" xfId="0" applyNumberFormat="1"/>
    <xf numFmtId="43" fontId="0" fillId="0" borderId="0" xfId="7" applyFont="1"/>
    <xf numFmtId="43" fontId="0" fillId="0" borderId="0" xfId="0" applyNumberFormat="1"/>
    <xf numFmtId="0" fontId="2" fillId="0" borderId="0" xfId="3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3" fontId="0" fillId="0" borderId="0" xfId="0" applyNumberFormat="1"/>
    <xf numFmtId="43" fontId="0" fillId="3" borderId="0" xfId="7" applyFont="1" applyFill="1"/>
    <xf numFmtId="0" fontId="0" fillId="3" borderId="0" xfId="0" applyFill="1"/>
    <xf numFmtId="0" fontId="0" fillId="0" borderId="0" xfId="0" applyAlignment="1">
      <alignment horizontal="center" wrapText="1"/>
    </xf>
    <xf numFmtId="10" fontId="13" fillId="5" borderId="9" xfId="2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7" fontId="9" fillId="0" borderId="0" xfId="4" applyNumberFormat="1" applyFont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9" fontId="6" fillId="0" borderId="0" xfId="7" applyNumberFormat="1" applyFont="1" applyAlignment="1">
      <alignment horizontal="center" vertical="center" wrapText="1"/>
    </xf>
    <xf numFmtId="169" fontId="6" fillId="0" borderId="0" xfId="7" applyNumberFormat="1" applyFont="1"/>
    <xf numFmtId="169" fontId="6" fillId="0" borderId="0" xfId="7" applyNumberFormat="1" applyFont="1" applyAlignment="1">
      <alignment horizontal="center" wrapText="1"/>
    </xf>
    <xf numFmtId="169" fontId="0" fillId="0" borderId="0" xfId="7" applyNumberFormat="1" applyFont="1"/>
    <xf numFmtId="169" fontId="0" fillId="3" borderId="0" xfId="7" applyNumberFormat="1" applyFont="1" applyFill="1"/>
    <xf numFmtId="170" fontId="6" fillId="0" borderId="0" xfId="3" applyNumberFormat="1"/>
    <xf numFmtId="169" fontId="6" fillId="0" borderId="0" xfId="3" applyNumberFormat="1"/>
    <xf numFmtId="0" fontId="1" fillId="0" borderId="0" xfId="3" applyFont="1" applyAlignment="1">
      <alignment horizontal="center" vertical="center" wrapText="1"/>
    </xf>
    <xf numFmtId="43" fontId="6" fillId="0" borderId="0" xfId="3" applyNumberFormat="1"/>
    <xf numFmtId="43" fontId="17" fillId="0" borderId="0" xfId="7" applyNumberFormat="1" applyFont="1"/>
    <xf numFmtId="10" fontId="6" fillId="0" borderId="0" xfId="2" applyNumberFormat="1" applyFont="1"/>
    <xf numFmtId="0" fontId="1" fillId="0" borderId="0" xfId="3" applyFont="1" applyAlignment="1">
      <alignment vertical="center"/>
    </xf>
    <xf numFmtId="9" fontId="0" fillId="0" borderId="0" xfId="2" applyFont="1"/>
    <xf numFmtId="164" fontId="6" fillId="10" borderId="0" xfId="3" applyNumberFormat="1" applyFill="1"/>
    <xf numFmtId="176" fontId="6" fillId="0" borderId="0" xfId="2" applyNumberFormat="1" applyFont="1"/>
    <xf numFmtId="0" fontId="1" fillId="0" borderId="0" xfId="3" applyFont="1"/>
    <xf numFmtId="169" fontId="9" fillId="0" borderId="0" xfId="7" applyNumberFormat="1" applyFont="1"/>
    <xf numFmtId="169" fontId="0" fillId="0" borderId="0" xfId="0" applyNumberFormat="1"/>
  </cellXfs>
  <cellStyles count="14">
    <cellStyle name="Bad 2" xfId="11" xr:uid="{00000000-0005-0000-0000-000000000000}"/>
    <cellStyle name="Comma" xfId="7" builtinId="3"/>
    <cellStyle name="Comma 2" xfId="9" xr:uid="{00000000-0005-0000-0000-000002000000}"/>
    <cellStyle name="Comma 3" xfId="10" xr:uid="{00000000-0005-0000-0000-000003000000}"/>
    <cellStyle name="Currency" xfId="1" builtinId="4"/>
    <cellStyle name="Currency 2" xfId="4" xr:uid="{00000000-0005-0000-0000-000005000000}"/>
    <cellStyle name="Normal" xfId="0" builtinId="0"/>
    <cellStyle name="Normal 2" xfId="3" xr:uid="{00000000-0005-0000-0000-000007000000}"/>
    <cellStyle name="Normal 2 2" xfId="8" xr:uid="{00000000-0005-0000-0000-000008000000}"/>
    <cellStyle name="Normal 2 3" xfId="13" xr:uid="{00000000-0005-0000-0000-000009000000}"/>
    <cellStyle name="Normal 3" xfId="6" xr:uid="{00000000-0005-0000-0000-00000A000000}"/>
    <cellStyle name="Normal 4" xfId="12" xr:uid="{00000000-0005-0000-0000-00000B000000}"/>
    <cellStyle name="Percent" xfId="2" builtinId="5"/>
    <cellStyle name="Percent 2" xfId="5" xr:uid="{00000000-0005-0000-0000-00000D000000}"/>
  </cellStyles>
  <dxfs count="0"/>
  <tableStyles count="0" defaultTableStyle="TableStyleMedium9" defaultPivotStyle="PivotStyleLight16"/>
  <colors>
    <mruColors>
      <color rgb="FFFF6D2C"/>
      <color rgb="FFFA6D2C"/>
      <color rgb="FFEF7D30"/>
      <color rgb="FFABBB59"/>
      <color rgb="FFE10000"/>
      <color rgb="FF659A00"/>
      <color rgb="FF999999"/>
      <color rgb="FFF76D2B"/>
      <color rgb="FF8B8B8B"/>
      <color rgb="FFFF6D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029235928842224E-2"/>
          <c:y val="3.5222949659382462E-2"/>
          <c:w val="0.90899545542918248"/>
          <c:h val="0.88771622414239415"/>
        </c:manualLayout>
      </c:layout>
      <c:lineChart>
        <c:grouping val="standard"/>
        <c:varyColors val="0"/>
        <c:ser>
          <c:idx val="1"/>
          <c:order val="0"/>
          <c:tx>
            <c:strRef>
              <c:f>'Investment Returns'!$C$2</c:f>
              <c:strCache>
                <c:ptCount val="1"/>
                <c:pt idx="0">
                  <c:v>Market Valued Returns (Actual)</c:v>
                </c:pt>
              </c:strCache>
            </c:strRef>
          </c:tx>
          <c:spPr>
            <a:ln w="57150" cap="rnd">
              <a:solidFill>
                <a:srgbClr val="999999"/>
              </a:solidFill>
              <a:round/>
            </a:ln>
            <a:effectLst/>
          </c:spPr>
          <c:marker>
            <c:symbol val="none"/>
          </c:marker>
          <c:cat>
            <c:strRef>
              <c:f>'Investment Returns'!$A$4:$A$23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'Investment Returns'!$C$4:$C$23</c:f>
              <c:numCache>
                <c:formatCode>General</c:formatCode>
                <c:ptCount val="20"/>
                <c:pt idx="0">
                  <c:v>-8.2000000000000003E-2</c:v>
                </c:pt>
                <c:pt idx="1">
                  <c:v>-8.1299999999999997E-2</c:v>
                </c:pt>
                <c:pt idx="2">
                  <c:v>2.3199999999999998E-2</c:v>
                </c:pt>
                <c:pt idx="3">
                  <c:v>0.1721</c:v>
                </c:pt>
                <c:pt idx="4">
                  <c:v>0.11899999999999999</c:v>
                </c:pt>
                <c:pt idx="5">
                  <c:v>0.1351</c:v>
                </c:pt>
                <c:pt idx="6">
                  <c:v>0.2064</c:v>
                </c:pt>
                <c:pt idx="7">
                  <c:v>-5.5500000000000001E-2</c:v>
                </c:pt>
                <c:pt idx="8">
                  <c:v>-0.21970000000000001</c:v>
                </c:pt>
                <c:pt idx="9">
                  <c:v>0.1348</c:v>
                </c:pt>
                <c:pt idx="10">
                  <c:v>0.22520000000000001</c:v>
                </c:pt>
                <c:pt idx="11">
                  <c:v>1.6899999999999998E-2</c:v>
                </c:pt>
                <c:pt idx="12">
                  <c:v>0.13500000000000001</c:v>
                </c:pt>
                <c:pt idx="13">
                  <c:v>0.16500000000000001</c:v>
                </c:pt>
                <c:pt idx="14">
                  <c:v>5.1999999999999998E-2</c:v>
                </c:pt>
                <c:pt idx="15">
                  <c:v>4.0000000000000001E-3</c:v>
                </c:pt>
                <c:pt idx="16">
                  <c:v>0.14099999999999999</c:v>
                </c:pt>
                <c:pt idx="17">
                  <c:v>9.5000000000000001E-2</c:v>
                </c:pt>
                <c:pt idx="18">
                  <c:v>6.6000000000000003E-2</c:v>
                </c:pt>
                <c:pt idx="19">
                  <c:v>3.6200000000000003E-2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2-7F42-868A-99F9942FEF3A}"/>
            </c:ext>
          </c:extLst>
        </c:ser>
        <c:ser>
          <c:idx val="3"/>
          <c:order val="1"/>
          <c:tx>
            <c:strRef>
              <c:f>'Investment Returns'!$E$2</c:f>
              <c:strCache>
                <c:ptCount val="1"/>
                <c:pt idx="0">
                  <c:v>Assumed Rate of Return</c:v>
                </c:pt>
              </c:strCache>
            </c:strRef>
          </c:tx>
          <c:spPr>
            <a:ln w="5715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strRef>
              <c:f>'Investment Returns'!$A$4:$A$23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'Investment Returns'!$E$4:$E$23</c:f>
              <c:numCache>
                <c:formatCode>General</c:formatCode>
                <c:ptCount val="20"/>
                <c:pt idx="0">
                  <c:v>7.7499999999999999E-2</c:v>
                </c:pt>
                <c:pt idx="1">
                  <c:v>7.7499999999999999E-2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7.7499999999999999E-2</c:v>
                </c:pt>
                <c:pt idx="12">
                  <c:v>7.7499999999999999E-2</c:v>
                </c:pt>
                <c:pt idx="13">
                  <c:v>7.7499999999999999E-2</c:v>
                </c:pt>
                <c:pt idx="14">
                  <c:v>7.7499999999999999E-2</c:v>
                </c:pt>
                <c:pt idx="15">
                  <c:v>7.7499999999999999E-2</c:v>
                </c:pt>
                <c:pt idx="16">
                  <c:v>7.4499999999999997E-2</c:v>
                </c:pt>
                <c:pt idx="17">
                  <c:v>7.4499999999999997E-2</c:v>
                </c:pt>
                <c:pt idx="18">
                  <c:v>7.4499999999999997E-2</c:v>
                </c:pt>
                <c:pt idx="19">
                  <c:v>7.4499999999999997E-2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2-7F42-868A-99F9942FEF3A}"/>
            </c:ext>
          </c:extLst>
        </c:ser>
        <c:ser>
          <c:idx val="4"/>
          <c:order val="2"/>
          <c:tx>
            <c:strRef>
              <c:f>'Investment Returns'!$H$2</c:f>
              <c:strCache>
                <c:ptCount val="1"/>
                <c:pt idx="0">
                  <c:v>10-Year Rolling Geometric Average</c:v>
                </c:pt>
              </c:strCache>
            </c:strRef>
          </c:tx>
          <c:spPr>
            <a:ln w="57150" cap="rnd">
              <a:solidFill>
                <a:srgbClr val="FF6D2C"/>
              </a:solidFill>
              <a:round/>
            </a:ln>
            <a:effectLst/>
          </c:spPr>
          <c:marker>
            <c:symbol val="none"/>
          </c:marker>
          <c:cat>
            <c:strRef>
              <c:f>'Investment Returns'!$A$4:$A$23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'Investment Returns'!$H$4:$H$23</c:f>
              <c:numCache>
                <c:formatCode>0.00%</c:formatCode>
                <c:ptCount val="20"/>
                <c:pt idx="9">
                  <c:v>2.6285051095003675E-2</c:v>
                </c:pt>
                <c:pt idx="10">
                  <c:v>5.6341722906219305E-2</c:v>
                </c:pt>
                <c:pt idx="11">
                  <c:v>6.7123998372471849E-2</c:v>
                </c:pt>
                <c:pt idx="12">
                  <c:v>7.8247400498375086E-2</c:v>
                </c:pt>
                <c:pt idx="13">
                  <c:v>7.7592464481117895E-2</c:v>
                </c:pt>
                <c:pt idx="14">
                  <c:v>7.0959656458171372E-2</c:v>
                </c:pt>
                <c:pt idx="15">
                  <c:v>5.7896231295695211E-2</c:v>
                </c:pt>
                <c:pt idx="16">
                  <c:v>5.2016379252537881E-2</c:v>
                </c:pt>
                <c:pt idx="17">
                  <c:v>6.7686415904580244E-2</c:v>
                </c:pt>
                <c:pt idx="18">
                  <c:v>0.10152225763720701</c:v>
                </c:pt>
                <c:pt idx="19">
                  <c:v>9.155520057437383E-2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22-7F42-868A-99F9942FEF3A}"/>
            </c:ext>
          </c:extLst>
        </c:ser>
        <c:ser>
          <c:idx val="2"/>
          <c:order val="3"/>
          <c:tx>
            <c:strRef>
              <c:f>'Investment Returns'!$D$2</c:f>
              <c:strCache>
                <c:ptCount val="1"/>
                <c:pt idx="0">
                  <c:v>Actuarially Valued Investment Return (Smoothed by Plan)</c:v>
                </c:pt>
              </c:strCache>
            </c:strRef>
          </c:tx>
          <c:spPr>
            <a:ln w="571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'Investment Returns'!$A$4:$A$23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'Investment Returns'!$D$4:$D$23</c:f>
              <c:numCache>
                <c:formatCode>0.00%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2-7F42-868A-99F9942F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705648"/>
        <c:axId val="765796880"/>
      </c:lineChart>
      <c:catAx>
        <c:axId val="76570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96880"/>
        <c:crossesAt val="-0.25"/>
        <c:auto val="1"/>
        <c:lblAlgn val="ctr"/>
        <c:lblOffset val="100"/>
        <c:tickLblSkip val="2"/>
        <c:noMultiLvlLbl val="0"/>
      </c:catAx>
      <c:valAx>
        <c:axId val="76579688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9710204620531527E-2"/>
          <c:y val="0.70044307637017889"/>
          <c:w val="0.52314454765611262"/>
          <c:h val="0.22303989574851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spPr>
            <a:solidFill>
              <a:srgbClr val="CC0000"/>
            </a:solidFill>
            <a:ln>
              <a:noFill/>
            </a:ln>
            <a:effectLst/>
          </c:spPr>
          <c:cat>
            <c:strRef>
              <c:f>'Mountain of Debt'!$A$3:$A$22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'Mountain of Debt'!#REF!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'Mountain of Debt'!#REF!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CD6-4644-87F6-5A8422946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73104"/>
        <c:axId val="771259920"/>
      </c:areaChart>
      <c:lineChart>
        <c:grouping val="standard"/>
        <c:varyColors val="0"/>
        <c:ser>
          <c:idx val="2"/>
          <c:order val="1"/>
          <c:spPr>
            <a:ln w="50800" cap="rnd">
              <a:solidFill>
                <a:srgbClr val="3300FF"/>
              </a:solidFill>
              <a:round/>
            </a:ln>
            <a:effectLst/>
          </c:spPr>
          <c:marker>
            <c:symbol val="none"/>
          </c:marker>
          <c:cat>
            <c:strRef>
              <c:f>'Mountain of Debt'!$A$4:$A$22</c:f>
              <c:strCach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strCache>
            </c:strRef>
          </c:cat>
          <c:val>
            <c:numRef>
              <c:f>'Mountain of Debt'!#REF!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'Mountain of Debt'!#REF!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CD6-4644-87F6-5A8422946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964128"/>
        <c:axId val="705090416"/>
      </c:lineChart>
      <c:catAx>
        <c:axId val="73477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599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7125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Unfunded Liability, Actuarial Value (in $Millions)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0#,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73104"/>
        <c:crosses val="autoZero"/>
        <c:crossBetween val="between"/>
      </c:valAx>
      <c:valAx>
        <c:axId val="70509041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Funded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64128"/>
        <c:crosses val="max"/>
        <c:crossBetween val="between"/>
      </c:valAx>
      <c:catAx>
        <c:axId val="76896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509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spPr>
            <a:noFill/>
            <a:ln>
              <a:noFill/>
            </a:ln>
            <a:effectLst/>
          </c:spPr>
          <c:cat>
            <c:strRef>
              <c:f>'Mountain of Debt'!$A$4:$A$20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cat>
          <c:val>
            <c:numRef>
              <c:f>'Mountain of Debt'!#REF!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'Mountain of Debt'!#REF!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939-734F-98E1-D40466D11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73104"/>
        <c:axId val="771259920"/>
      </c:areaChart>
      <c:lineChart>
        <c:grouping val="standard"/>
        <c:varyColors val="0"/>
        <c:ser>
          <c:idx val="2"/>
          <c:order val="1"/>
          <c:spPr>
            <a:ln w="50800" cap="rnd">
              <a:solidFill>
                <a:srgbClr val="3300FF"/>
              </a:solidFill>
              <a:round/>
            </a:ln>
            <a:effectLst/>
          </c:spPr>
          <c:marker>
            <c:symbol val="none"/>
          </c:marker>
          <c:cat>
            <c:strRef>
              <c:f>'Mountain of Debt'!$A$4:$A$20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cat>
          <c:val>
            <c:numRef>
              <c:f>'Mountain of Debt'!#REF!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'Mountain of Debt'!#REF!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939-734F-98E1-D40466D11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964128"/>
        <c:axId val="705090416"/>
      </c:lineChart>
      <c:catAx>
        <c:axId val="73477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599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7125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Unfunded Liability, Actuarial Value (in $Millions)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0#,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73104"/>
        <c:crosses val="autoZero"/>
        <c:crossBetween val="between"/>
      </c:valAx>
      <c:valAx>
        <c:axId val="70509041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Funded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64128"/>
        <c:crosses val="max"/>
        <c:crossBetween val="between"/>
      </c:valAx>
      <c:catAx>
        <c:axId val="76896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509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spPr>
            <a:noFill/>
            <a:ln>
              <a:noFill/>
            </a:ln>
            <a:effectLst/>
          </c:spPr>
          <c:cat>
            <c:strRef>
              <c:f>'Mountain of Debt'!$A$4:$A$20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cat>
          <c:val>
            <c:numRef>
              <c:f>'Mountain of Debt'!#REF!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'Mountain of Debt'!#REF!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2A3-A84E-A396-D51D2E887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73104"/>
        <c:axId val="771259920"/>
      </c:areaChart>
      <c:lineChart>
        <c:grouping val="standard"/>
        <c:varyColors val="0"/>
        <c:ser>
          <c:idx val="2"/>
          <c:order val="1"/>
          <c:spPr>
            <a:ln w="50800" cap="rnd">
              <a:solidFill>
                <a:srgbClr val="3300FF"/>
              </a:solidFill>
              <a:round/>
            </a:ln>
            <a:effectLst/>
          </c:spPr>
          <c:marker>
            <c:symbol val="none"/>
          </c:marker>
          <c:cat>
            <c:strRef>
              <c:f>'Mountain of Debt'!$A$4:$A$20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cat>
          <c:val>
            <c:numRef>
              <c:f>'Mountain of Debt'!#REF!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'Mountain of Debt'!#REF!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2A3-A84E-A396-D51D2E887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964128"/>
        <c:axId val="705090416"/>
      </c:lineChart>
      <c:catAx>
        <c:axId val="73477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599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7125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Unfunded Liability, Actuarial Value (in $Millions)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0#,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73104"/>
        <c:crosses val="autoZero"/>
        <c:crossBetween val="between"/>
      </c:valAx>
      <c:valAx>
        <c:axId val="70509041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Funded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64128"/>
        <c:crosses val="max"/>
        <c:crossBetween val="between"/>
      </c:valAx>
      <c:catAx>
        <c:axId val="76896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509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spPr>
            <a:noFill/>
            <a:ln>
              <a:noFill/>
            </a:ln>
            <a:effectLst/>
          </c:spPr>
          <c:cat>
            <c:strRef>
              <c:f>'Mountain of Debt'!$A$4:$A$20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cat>
          <c:val>
            <c:numRef>
              <c:f>'Mountain of Debt'!#REF!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'Mountain of Debt'!#REF!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4ED-FE46-84AD-C8DBB7ED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73104"/>
        <c:axId val="771259920"/>
      </c:areaChart>
      <c:lineChart>
        <c:grouping val="standard"/>
        <c:varyColors val="0"/>
        <c:ser>
          <c:idx val="2"/>
          <c:order val="1"/>
          <c:spPr>
            <a:ln w="50800" cap="rnd">
              <a:noFill/>
              <a:round/>
            </a:ln>
            <a:effectLst/>
          </c:spPr>
          <c:marker>
            <c:symbol val="none"/>
          </c:marker>
          <c:cat>
            <c:strRef>
              <c:f>'Mountain of Debt'!$A$4:$A$20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cat>
          <c:val>
            <c:numRef>
              <c:f>'Mountain of Debt'!#REF!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'Mountain of Debt'!#REF!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4ED-FE46-84AD-C8DBB7ED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964128"/>
        <c:axId val="705090416"/>
      </c:lineChart>
      <c:catAx>
        <c:axId val="73477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599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7125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Unfunded Liability, Actuarial Value (in $Millions)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0#,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73104"/>
        <c:crosses val="autoZero"/>
        <c:crossBetween val="between"/>
      </c:valAx>
      <c:valAx>
        <c:axId val="70509041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Funded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64128"/>
        <c:crosses val="max"/>
        <c:crossBetween val="between"/>
      </c:valAx>
      <c:catAx>
        <c:axId val="76896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509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694225721785"/>
          <c:y val="2.91796758869413E-2"/>
          <c:w val="0.77393968115096723"/>
          <c:h val="0.85006213525743701"/>
        </c:manualLayout>
      </c:layout>
      <c:areaChart>
        <c:grouping val="standard"/>
        <c:varyColors val="0"/>
        <c:ser>
          <c:idx val="1"/>
          <c:order val="1"/>
          <c:tx>
            <c:v>Standard and Poor's 500 Index</c:v>
          </c:tx>
          <c:spPr>
            <a:solidFill>
              <a:srgbClr val="ABBB59"/>
            </a:solidFill>
            <a:ln w="25400">
              <a:noFill/>
            </a:ln>
          </c:spPr>
          <c:cat>
            <c:strRef>
              <c:f>'Mountain of Debt'!$A$4:$A$21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cat>
          <c:val>
            <c:numRef>
              <c:f>'Mountain of Debt'!$D$4:$D$22</c:f>
              <c:numCache>
                <c:formatCode>0.00</c:formatCode>
                <c:ptCount val="19"/>
                <c:pt idx="0">
                  <c:v>993.93480404365062</c:v>
                </c:pt>
                <c:pt idx="1">
                  <c:v>965.22753979761944</c:v>
                </c:pt>
                <c:pt idx="2">
                  <c:v>1130.6494445674607</c:v>
                </c:pt>
                <c:pt idx="3">
                  <c:v>1207.2294432619055</c:v>
                </c:pt>
                <c:pt idx="4">
                  <c:v>1310.461235605577</c:v>
                </c:pt>
                <c:pt idx="5">
                  <c:v>1477.184342215138</c:v>
                </c:pt>
                <c:pt idx="6">
                  <c:v>1220.0420556442689</c:v>
                </c:pt>
                <c:pt idx="7">
                  <c:v>948.04638791666662</c:v>
                </c:pt>
                <c:pt idx="8">
                  <c:v>1139.9655124484129</c:v>
                </c:pt>
                <c:pt idx="9">
                  <c:v>1267.6388094682545</c:v>
                </c:pt>
                <c:pt idx="10">
                  <c:v>1379.3541596640005</c:v>
                </c:pt>
                <c:pt idx="11">
                  <c:v>1643.7989681150787</c:v>
                </c:pt>
                <c:pt idx="12">
                  <c:v>1931.376109746031</c:v>
                </c:pt>
                <c:pt idx="13">
                  <c:v>2061.0677412420632</c:v>
                </c:pt>
                <c:pt idx="14">
                  <c:v>2094.6512639880957</c:v>
                </c:pt>
                <c:pt idx="15">
                  <c:v>2423.41</c:v>
                </c:pt>
                <c:pt idx="16">
                  <c:v>2718.37</c:v>
                </c:pt>
                <c:pt idx="17">
                  <c:v>2937.9616699166672</c:v>
                </c:pt>
                <c:pt idx="18">
                  <c:v>3215.75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C-1E4F-85AE-890BE8120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298064"/>
        <c:axId val="-58083584"/>
      </c:areaChart>
      <c:lineChart>
        <c:grouping val="standard"/>
        <c:varyColors val="0"/>
        <c:ser>
          <c:idx val="2"/>
          <c:order val="0"/>
          <c:tx>
            <c:v>TRS Funded Ratio</c:v>
          </c:tx>
          <c:spPr>
            <a:ln w="38100">
              <a:solidFill>
                <a:srgbClr val="4433FF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'Mountain of Debt'!$A$4:$A$22</c:f>
              <c:strCach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strCache>
            </c:strRef>
          </c:cat>
          <c:val>
            <c:numRef>
              <c:f>'Mountain of Debt'!$C$4:$C$22</c:f>
              <c:numCache>
                <c:formatCode>General</c:formatCode>
                <c:ptCount val="19"/>
                <c:pt idx="0">
                  <c:v>0.77400000000000002</c:v>
                </c:pt>
                <c:pt idx="1">
                  <c:v>0.74199999999999999</c:v>
                </c:pt>
                <c:pt idx="2">
                  <c:v>0.748</c:v>
                </c:pt>
                <c:pt idx="3">
                  <c:v>0.72799999999999998</c:v>
                </c:pt>
                <c:pt idx="4">
                  <c:v>0.75</c:v>
                </c:pt>
                <c:pt idx="5">
                  <c:v>0.82199999999999995</c:v>
                </c:pt>
                <c:pt idx="6">
                  <c:v>0.79100000000000004</c:v>
                </c:pt>
                <c:pt idx="7">
                  <c:v>0.6</c:v>
                </c:pt>
                <c:pt idx="8">
                  <c:v>0.59099999999999997</c:v>
                </c:pt>
                <c:pt idx="9">
                  <c:v>0.58799999999999997</c:v>
                </c:pt>
                <c:pt idx="10">
                  <c:v>0.56000000000000005</c:v>
                </c:pt>
                <c:pt idx="11">
                  <c:v>0.66300000000000003</c:v>
                </c:pt>
                <c:pt idx="12">
                  <c:v>0.69299999999999995</c:v>
                </c:pt>
                <c:pt idx="13">
                  <c:v>0.69299999999999995</c:v>
                </c:pt>
                <c:pt idx="14">
                  <c:v>0.69599999999999995</c:v>
                </c:pt>
                <c:pt idx="15">
                  <c:v>0.751</c:v>
                </c:pt>
                <c:pt idx="16">
                  <c:v>0.755</c:v>
                </c:pt>
                <c:pt idx="17">
                  <c:v>0.76100000000000001</c:v>
                </c:pt>
                <c:pt idx="18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1E4F-85AE-890BE8120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291360"/>
        <c:axId val="-70293312"/>
      </c:lineChart>
      <c:catAx>
        <c:axId val="-70298064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-58083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8083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S&amp;P 500 Index (Average Annual </a:t>
                </a:r>
                <a:r>
                  <a:rPr lang="en-US" sz="1400" b="1" baseline="0">
                    <a:latin typeface="Calibri" charset="0"/>
                    <a:ea typeface="Calibri" charset="0"/>
                    <a:cs typeface="Calibri" charset="0"/>
                  </a:rPr>
                  <a:t>Value</a:t>
                </a: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noFill/>
          <a:ln w="9525" cmpd="sng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-70298064"/>
        <c:crossesAt val="1"/>
        <c:crossBetween val="between"/>
      </c:valAx>
      <c:valAx>
        <c:axId val="-702933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TRS Funded Ratio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-70291360"/>
        <c:crosses val="max"/>
        <c:crossBetween val="between"/>
      </c:valAx>
      <c:catAx>
        <c:axId val="-7029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0293312"/>
        <c:crossesAt val="0.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63101487314087"/>
          <c:y val="1.4037366349805526E-2"/>
          <c:w val="0.28534266550014581"/>
          <c:h val="0.14326600443671134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694225721785"/>
          <c:y val="2.91796758869413E-2"/>
          <c:w val="0.77393968115096723"/>
          <c:h val="0.85006213525743701"/>
        </c:manualLayout>
      </c:layout>
      <c:areaChart>
        <c:grouping val="standard"/>
        <c:varyColors val="0"/>
        <c:ser>
          <c:idx val="1"/>
          <c:order val="1"/>
          <c:tx>
            <c:v>Standard and Poor's 500 Index</c:v>
          </c:tx>
          <c:spPr>
            <a:solidFill>
              <a:srgbClr val="FFC000"/>
            </a:solidFill>
            <a:ln w="25400">
              <a:noFill/>
            </a:ln>
          </c:spPr>
          <c:cat>
            <c:strRef>
              <c:f>'Mountain of Debt'!$A$4:$A$21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cat>
          <c:val>
            <c:numRef>
              <c:f>'Mountain of Debt'!$D$3:$D$22</c:f>
              <c:numCache>
                <c:formatCode>0.00</c:formatCode>
                <c:ptCount val="20"/>
                <c:pt idx="0" formatCode="General">
                  <c:v>1193</c:v>
                </c:pt>
                <c:pt idx="1">
                  <c:v>993.93480404365062</c:v>
                </c:pt>
                <c:pt idx="2">
                  <c:v>965.22753979761944</c:v>
                </c:pt>
                <c:pt idx="3">
                  <c:v>1130.6494445674607</c:v>
                </c:pt>
                <c:pt idx="4">
                  <c:v>1207.2294432619055</c:v>
                </c:pt>
                <c:pt idx="5">
                  <c:v>1310.461235605577</c:v>
                </c:pt>
                <c:pt idx="6">
                  <c:v>1477.184342215138</c:v>
                </c:pt>
                <c:pt idx="7">
                  <c:v>1220.0420556442689</c:v>
                </c:pt>
                <c:pt idx="8">
                  <c:v>948.04638791666662</c:v>
                </c:pt>
                <c:pt idx="9">
                  <c:v>1139.9655124484129</c:v>
                </c:pt>
                <c:pt idx="10">
                  <c:v>1267.6388094682545</c:v>
                </c:pt>
                <c:pt idx="11">
                  <c:v>1379.3541596640005</c:v>
                </c:pt>
                <c:pt idx="12">
                  <c:v>1643.7989681150787</c:v>
                </c:pt>
                <c:pt idx="13">
                  <c:v>1931.376109746031</c:v>
                </c:pt>
                <c:pt idx="14">
                  <c:v>2061.0677412420632</c:v>
                </c:pt>
                <c:pt idx="15">
                  <c:v>2094.6512639880957</c:v>
                </c:pt>
                <c:pt idx="16">
                  <c:v>2423.41</c:v>
                </c:pt>
                <c:pt idx="17">
                  <c:v>2718.37</c:v>
                </c:pt>
                <c:pt idx="18">
                  <c:v>2937.9616699166672</c:v>
                </c:pt>
                <c:pt idx="19">
                  <c:v>3215.75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9-A449-B8BE-3BCA36C25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298064"/>
        <c:axId val="-58083584"/>
      </c:areaChart>
      <c:lineChart>
        <c:grouping val="standard"/>
        <c:varyColors val="0"/>
        <c:ser>
          <c:idx val="2"/>
          <c:order val="0"/>
          <c:tx>
            <c:v>PERS Funded Ratio</c:v>
          </c:tx>
          <c:spPr>
            <a:ln w="38100">
              <a:solidFill>
                <a:srgbClr val="4433FF"/>
              </a:solidFill>
            </a:ln>
          </c:spPr>
          <c:marker>
            <c:spPr>
              <a:noFill/>
              <a:ln>
                <a:noFill/>
              </a:ln>
            </c:spPr>
          </c:marker>
          <c:cat>
            <c:strRef>
              <c:f>'Mountain of Debt'!$A$3:$A$22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'Mountain of Debt'!#REF!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9-A449-B8BE-3BCA36C25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0291360"/>
        <c:axId val="-70293312"/>
      </c:lineChart>
      <c:catAx>
        <c:axId val="-70298064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-58083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8083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S&amp;P 500 Index (Average Annual </a:t>
                </a:r>
                <a:r>
                  <a:rPr lang="en-US" sz="1400" b="1" baseline="0">
                    <a:latin typeface="Calibri" charset="0"/>
                    <a:ea typeface="Calibri" charset="0"/>
                    <a:cs typeface="Calibri" charset="0"/>
                  </a:rPr>
                  <a:t>Value</a:t>
                </a: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noFill/>
          <a:ln w="9525" cmpd="sng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-70298064"/>
        <c:crossesAt val="1"/>
        <c:crossBetween val="between"/>
      </c:valAx>
      <c:valAx>
        <c:axId val="-702933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TRS Funded Ratio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-70291360"/>
        <c:crosses val="max"/>
        <c:crossBetween val="between"/>
      </c:valAx>
      <c:catAx>
        <c:axId val="-7029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0293312"/>
        <c:crossesAt val="0.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96433605521532"/>
          <c:y val="8.8355353052778519E-3"/>
          <c:w val="0.28534266550014581"/>
          <c:h val="9.3848609513698444E-2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tx>
            <c:strRef>
              <c:f>'Mountain of Debt'!$B$2</c:f>
              <c:strCache>
                <c:ptCount val="1"/>
                <c:pt idx="0">
                  <c:v>UAAL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cat>
            <c:strRef>
              <c:f>'Mountain of Debt'!$A$4:$A$20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cat>
          <c:val>
            <c:numRef>
              <c:f>'Mountain of Debt'!$B$4:$B$20</c:f>
              <c:numCache>
                <c:formatCode>General</c:formatCode>
                <c:ptCount val="17"/>
                <c:pt idx="0">
                  <c:v>14256819000</c:v>
                </c:pt>
                <c:pt idx="1">
                  <c:v>17037142000</c:v>
                </c:pt>
                <c:pt idx="2">
                  <c:v>17613627000</c:v>
                </c:pt>
                <c:pt idx="3">
                  <c:v>20051544000</c:v>
                </c:pt>
                <c:pt idx="4">
                  <c:v>19362974000</c:v>
                </c:pt>
                <c:pt idx="5">
                  <c:v>14455131000</c:v>
                </c:pt>
                <c:pt idx="6">
                  <c:v>18234340000</c:v>
                </c:pt>
                <c:pt idx="7">
                  <c:v>36538096000</c:v>
                </c:pt>
                <c:pt idx="8">
                  <c:v>38774410000</c:v>
                </c:pt>
                <c:pt idx="9">
                  <c:v>40655709000</c:v>
                </c:pt>
                <c:pt idx="10">
                  <c:v>46812333000</c:v>
                </c:pt>
                <c:pt idx="11">
                  <c:v>31775907000</c:v>
                </c:pt>
                <c:pt idx="12">
                  <c:v>29509882000</c:v>
                </c:pt>
                <c:pt idx="13">
                  <c:v>30358654000</c:v>
                </c:pt>
                <c:pt idx="14">
                  <c:v>30641786000</c:v>
                </c:pt>
                <c:pt idx="15">
                  <c:v>23910228000</c:v>
                </c:pt>
                <c:pt idx="16">
                  <c:v>23788698000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7-074D-BA80-D5BFAAC1C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73104"/>
        <c:axId val="771259920"/>
      </c:areaChart>
      <c:lineChart>
        <c:grouping val="standard"/>
        <c:varyColors val="0"/>
        <c:ser>
          <c:idx val="2"/>
          <c:order val="1"/>
          <c:tx>
            <c:strRef>
              <c:f>'Mountain of Debt'!$C$2</c:f>
              <c:strCache>
                <c:ptCount val="1"/>
                <c:pt idx="0">
                  <c:v>Funded Ratio</c:v>
                </c:pt>
              </c:strCache>
            </c:strRef>
          </c:tx>
          <c:spPr>
            <a:ln w="50800" cap="rnd">
              <a:solidFill>
                <a:srgbClr val="3300FF"/>
              </a:solidFill>
              <a:round/>
            </a:ln>
            <a:effectLst/>
          </c:spPr>
          <c:marker>
            <c:symbol val="none"/>
          </c:marker>
          <c:val>
            <c:numRef>
              <c:f>'Mountain of Debt'!$C$4:$C$20</c:f>
              <c:numCache>
                <c:formatCode>General</c:formatCode>
                <c:ptCount val="17"/>
                <c:pt idx="0">
                  <c:v>0.77400000000000002</c:v>
                </c:pt>
                <c:pt idx="1">
                  <c:v>0.74199999999999999</c:v>
                </c:pt>
                <c:pt idx="2">
                  <c:v>0.748</c:v>
                </c:pt>
                <c:pt idx="3">
                  <c:v>0.72799999999999998</c:v>
                </c:pt>
                <c:pt idx="4">
                  <c:v>0.75</c:v>
                </c:pt>
                <c:pt idx="5">
                  <c:v>0.82199999999999995</c:v>
                </c:pt>
                <c:pt idx="6">
                  <c:v>0.79100000000000004</c:v>
                </c:pt>
                <c:pt idx="7">
                  <c:v>0.6</c:v>
                </c:pt>
                <c:pt idx="8">
                  <c:v>0.59099999999999997</c:v>
                </c:pt>
                <c:pt idx="9">
                  <c:v>0.58799999999999997</c:v>
                </c:pt>
                <c:pt idx="10">
                  <c:v>0.56000000000000005</c:v>
                </c:pt>
                <c:pt idx="11">
                  <c:v>0.66300000000000003</c:v>
                </c:pt>
                <c:pt idx="12">
                  <c:v>0.69299999999999995</c:v>
                </c:pt>
                <c:pt idx="13">
                  <c:v>0.69299999999999995</c:v>
                </c:pt>
                <c:pt idx="14">
                  <c:v>0.69599999999999995</c:v>
                </c:pt>
                <c:pt idx="15">
                  <c:v>0.751</c:v>
                </c:pt>
                <c:pt idx="16">
                  <c:v>0.755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7-074D-BA80-D5BFAAC1C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964128"/>
        <c:axId val="705090416"/>
      </c:lineChart>
      <c:catAx>
        <c:axId val="73477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599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7125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Unfunded Liability, Actuarial Value (in $Millions)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0#,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73104"/>
        <c:crosses val="autoZero"/>
        <c:crossBetween val="between"/>
      </c:valAx>
      <c:valAx>
        <c:axId val="705090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Funded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64128"/>
        <c:crosses val="max"/>
        <c:crossBetween val="between"/>
      </c:valAx>
      <c:catAx>
        <c:axId val="768964128"/>
        <c:scaling>
          <c:orientation val="minMax"/>
        </c:scaling>
        <c:delete val="1"/>
        <c:axPos val="b"/>
        <c:majorTickMark val="none"/>
        <c:minorTickMark val="none"/>
        <c:tickLblPos val="nextTo"/>
        <c:crossAx val="70509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tx>
            <c:strRef>
              <c:f>'Mountain of Debt'!$B$2</c:f>
              <c:strCache>
                <c:ptCount val="1"/>
                <c:pt idx="0">
                  <c:v>UAAL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'Mountain of Debt'!$A$4:$A$20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cat>
          <c:val>
            <c:numRef>
              <c:f>'Mountain of Debt'!$B$4:$B$20</c:f>
              <c:numCache>
                <c:formatCode>General</c:formatCode>
                <c:ptCount val="17"/>
                <c:pt idx="0">
                  <c:v>14256819000</c:v>
                </c:pt>
                <c:pt idx="1">
                  <c:v>17037142000</c:v>
                </c:pt>
                <c:pt idx="2">
                  <c:v>17613627000</c:v>
                </c:pt>
                <c:pt idx="3">
                  <c:v>20051544000</c:v>
                </c:pt>
                <c:pt idx="4">
                  <c:v>19362974000</c:v>
                </c:pt>
                <c:pt idx="5">
                  <c:v>14455131000</c:v>
                </c:pt>
                <c:pt idx="6">
                  <c:v>18234340000</c:v>
                </c:pt>
                <c:pt idx="7">
                  <c:v>36538096000</c:v>
                </c:pt>
                <c:pt idx="8">
                  <c:v>38774410000</c:v>
                </c:pt>
                <c:pt idx="9">
                  <c:v>40655709000</c:v>
                </c:pt>
                <c:pt idx="10">
                  <c:v>46812333000</c:v>
                </c:pt>
                <c:pt idx="11">
                  <c:v>31775907000</c:v>
                </c:pt>
                <c:pt idx="12">
                  <c:v>29509882000</c:v>
                </c:pt>
                <c:pt idx="13">
                  <c:v>30358654000</c:v>
                </c:pt>
                <c:pt idx="14">
                  <c:v>30641786000</c:v>
                </c:pt>
                <c:pt idx="15">
                  <c:v>23910228000</c:v>
                </c:pt>
                <c:pt idx="16">
                  <c:v>23788698000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8-5240-9401-7ECD8C83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73104"/>
        <c:axId val="771259920"/>
      </c:areaChart>
      <c:lineChart>
        <c:grouping val="standard"/>
        <c:varyColors val="0"/>
        <c:ser>
          <c:idx val="2"/>
          <c:order val="1"/>
          <c:tx>
            <c:strRef>
              <c:f>'Mountain of Debt'!$C$2</c:f>
              <c:strCache>
                <c:ptCount val="1"/>
                <c:pt idx="0">
                  <c:v>Funded Ratio</c:v>
                </c:pt>
              </c:strCache>
            </c:strRef>
          </c:tx>
          <c:spPr>
            <a:ln w="50800" cap="rnd">
              <a:solidFill>
                <a:srgbClr val="3300FF"/>
              </a:solidFill>
              <a:round/>
            </a:ln>
            <a:effectLst/>
          </c:spPr>
          <c:marker>
            <c:symbol val="none"/>
          </c:marker>
          <c:val>
            <c:numRef>
              <c:f>'Mountain of Debt'!$C$4:$C$20</c:f>
              <c:numCache>
                <c:formatCode>General</c:formatCode>
                <c:ptCount val="17"/>
                <c:pt idx="0">
                  <c:v>0.77400000000000002</c:v>
                </c:pt>
                <c:pt idx="1">
                  <c:v>0.74199999999999999</c:v>
                </c:pt>
                <c:pt idx="2">
                  <c:v>0.748</c:v>
                </c:pt>
                <c:pt idx="3">
                  <c:v>0.72799999999999998</c:v>
                </c:pt>
                <c:pt idx="4">
                  <c:v>0.75</c:v>
                </c:pt>
                <c:pt idx="5">
                  <c:v>0.82199999999999995</c:v>
                </c:pt>
                <c:pt idx="6">
                  <c:v>0.79100000000000004</c:v>
                </c:pt>
                <c:pt idx="7">
                  <c:v>0.6</c:v>
                </c:pt>
                <c:pt idx="8">
                  <c:v>0.59099999999999997</c:v>
                </c:pt>
                <c:pt idx="9">
                  <c:v>0.58799999999999997</c:v>
                </c:pt>
                <c:pt idx="10">
                  <c:v>0.56000000000000005</c:v>
                </c:pt>
                <c:pt idx="11">
                  <c:v>0.66300000000000003</c:v>
                </c:pt>
                <c:pt idx="12">
                  <c:v>0.69299999999999995</c:v>
                </c:pt>
                <c:pt idx="13">
                  <c:v>0.69299999999999995</c:v>
                </c:pt>
                <c:pt idx="14">
                  <c:v>0.69599999999999995</c:v>
                </c:pt>
                <c:pt idx="15">
                  <c:v>0.751</c:v>
                </c:pt>
                <c:pt idx="16">
                  <c:v>0.755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8-5240-9401-7ECD8C83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964128"/>
        <c:axId val="705090416"/>
      </c:lineChart>
      <c:catAx>
        <c:axId val="73477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599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7125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Unfunded Liability, Actuarial Value (in $Millions)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0#,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73104"/>
        <c:crosses val="autoZero"/>
        <c:crossBetween val="between"/>
      </c:valAx>
      <c:valAx>
        <c:axId val="705090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Funded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64128"/>
        <c:crosses val="max"/>
        <c:crossBetween val="between"/>
      </c:valAx>
      <c:catAx>
        <c:axId val="768964128"/>
        <c:scaling>
          <c:orientation val="minMax"/>
        </c:scaling>
        <c:delete val="1"/>
        <c:axPos val="b"/>
        <c:majorTickMark val="none"/>
        <c:minorTickMark val="none"/>
        <c:tickLblPos val="nextTo"/>
        <c:crossAx val="70509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tx>
            <c:strRef>
              <c:f>'Mountain of Debt'!$B$2</c:f>
              <c:strCache>
                <c:ptCount val="1"/>
                <c:pt idx="0">
                  <c:v>UAAL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'Mountain of Debt'!$A$4:$A$20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cat>
          <c:val>
            <c:numRef>
              <c:f>'Mountain of Debt'!$B$4:$B$20</c:f>
              <c:numCache>
                <c:formatCode>General</c:formatCode>
                <c:ptCount val="17"/>
                <c:pt idx="0">
                  <c:v>14256819000</c:v>
                </c:pt>
                <c:pt idx="1">
                  <c:v>17037142000</c:v>
                </c:pt>
                <c:pt idx="2">
                  <c:v>17613627000</c:v>
                </c:pt>
                <c:pt idx="3">
                  <c:v>20051544000</c:v>
                </c:pt>
                <c:pt idx="4">
                  <c:v>19362974000</c:v>
                </c:pt>
                <c:pt idx="5">
                  <c:v>14455131000</c:v>
                </c:pt>
                <c:pt idx="6">
                  <c:v>18234340000</c:v>
                </c:pt>
                <c:pt idx="7">
                  <c:v>36538096000</c:v>
                </c:pt>
                <c:pt idx="8">
                  <c:v>38774410000</c:v>
                </c:pt>
                <c:pt idx="9">
                  <c:v>40655709000</c:v>
                </c:pt>
                <c:pt idx="10">
                  <c:v>46812333000</c:v>
                </c:pt>
                <c:pt idx="11">
                  <c:v>31775907000</c:v>
                </c:pt>
                <c:pt idx="12">
                  <c:v>29509882000</c:v>
                </c:pt>
                <c:pt idx="13">
                  <c:v>30358654000</c:v>
                </c:pt>
                <c:pt idx="14">
                  <c:v>30641786000</c:v>
                </c:pt>
                <c:pt idx="15">
                  <c:v>23910228000</c:v>
                </c:pt>
                <c:pt idx="16">
                  <c:v>23788698000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4-0F48-84BA-C01AC9B44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73104"/>
        <c:axId val="771259920"/>
      </c:areaChart>
      <c:lineChart>
        <c:grouping val="standard"/>
        <c:varyColors val="0"/>
        <c:ser>
          <c:idx val="2"/>
          <c:order val="1"/>
          <c:tx>
            <c:strRef>
              <c:f>'Mountain of Debt'!$C$2</c:f>
              <c:strCache>
                <c:ptCount val="1"/>
                <c:pt idx="0">
                  <c:v>Funded Ratio</c:v>
                </c:pt>
              </c:strCache>
            </c:strRef>
          </c:tx>
          <c:spPr>
            <a:ln w="50800" cap="rnd">
              <a:solidFill>
                <a:srgbClr val="3300FF"/>
              </a:solidFill>
              <a:round/>
            </a:ln>
            <a:effectLst/>
          </c:spPr>
          <c:marker>
            <c:symbol val="none"/>
          </c:marker>
          <c:val>
            <c:numRef>
              <c:f>'Mountain of Debt'!$C$4:$C$20</c:f>
              <c:numCache>
                <c:formatCode>General</c:formatCode>
                <c:ptCount val="17"/>
                <c:pt idx="0">
                  <c:v>0.77400000000000002</c:v>
                </c:pt>
                <c:pt idx="1">
                  <c:v>0.74199999999999999</c:v>
                </c:pt>
                <c:pt idx="2">
                  <c:v>0.748</c:v>
                </c:pt>
                <c:pt idx="3">
                  <c:v>0.72799999999999998</c:v>
                </c:pt>
                <c:pt idx="4">
                  <c:v>0.75</c:v>
                </c:pt>
                <c:pt idx="5">
                  <c:v>0.82199999999999995</c:v>
                </c:pt>
                <c:pt idx="6">
                  <c:v>0.79100000000000004</c:v>
                </c:pt>
                <c:pt idx="7">
                  <c:v>0.6</c:v>
                </c:pt>
                <c:pt idx="8">
                  <c:v>0.59099999999999997</c:v>
                </c:pt>
                <c:pt idx="9">
                  <c:v>0.58799999999999997</c:v>
                </c:pt>
                <c:pt idx="10">
                  <c:v>0.56000000000000005</c:v>
                </c:pt>
                <c:pt idx="11">
                  <c:v>0.66300000000000003</c:v>
                </c:pt>
                <c:pt idx="12">
                  <c:v>0.69299999999999995</c:v>
                </c:pt>
                <c:pt idx="13">
                  <c:v>0.69299999999999995</c:v>
                </c:pt>
                <c:pt idx="14">
                  <c:v>0.69599999999999995</c:v>
                </c:pt>
                <c:pt idx="15">
                  <c:v>0.751</c:v>
                </c:pt>
                <c:pt idx="16">
                  <c:v>0.755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4-0F48-84BA-C01AC9B44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964128"/>
        <c:axId val="705090416"/>
      </c:lineChart>
      <c:catAx>
        <c:axId val="73477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599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7125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Unfunded Liability, Actuarial Value (in $Millions)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0#,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73104"/>
        <c:crosses val="autoZero"/>
        <c:crossBetween val="between"/>
      </c:valAx>
      <c:valAx>
        <c:axId val="705090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Funded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64128"/>
        <c:crosses val="max"/>
        <c:crossBetween val="between"/>
      </c:valAx>
      <c:catAx>
        <c:axId val="768964128"/>
        <c:scaling>
          <c:orientation val="minMax"/>
        </c:scaling>
        <c:delete val="1"/>
        <c:axPos val="b"/>
        <c:majorTickMark val="none"/>
        <c:minorTickMark val="none"/>
        <c:tickLblPos val="nextTo"/>
        <c:crossAx val="70509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71478565179405E-2"/>
          <c:y val="3.3268395607997381E-2"/>
          <c:w val="0.86160360163312921"/>
          <c:h val="0.895248279252704"/>
        </c:manualLayout>
      </c:layout>
      <c:lineChart>
        <c:grouping val="standard"/>
        <c:varyColors val="0"/>
        <c:ser>
          <c:idx val="0"/>
          <c:order val="0"/>
          <c:spPr>
            <a:ln w="508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'Unfunded Liability'!$A$2:$A$20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'Unfunded Liability'!$B$2:$B$20</c:f>
              <c:numCache>
                <c:formatCode>_(* #,##0_);_(* \(#,##0\);_(* "-"??_);_(@_)</c:formatCode>
                <c:ptCount val="19"/>
                <c:pt idx="0">
                  <c:v>54194672000</c:v>
                </c:pt>
                <c:pt idx="1">
                  <c:v>48958824000</c:v>
                </c:pt>
                <c:pt idx="2">
                  <c:v>48899215000</c:v>
                </c:pt>
                <c:pt idx="3">
                  <c:v>52253798000</c:v>
                </c:pt>
                <c:pt idx="4">
                  <c:v>53765570000</c:v>
                </c:pt>
                <c:pt idx="5">
                  <c:v>58008050000</c:v>
                </c:pt>
                <c:pt idx="6">
                  <c:v>66671511000</c:v>
                </c:pt>
                <c:pt idx="7">
                  <c:v>69198008000</c:v>
                </c:pt>
                <c:pt idx="8">
                  <c:v>54902859000</c:v>
                </c:pt>
                <c:pt idx="9">
                  <c:v>55946259000</c:v>
                </c:pt>
                <c:pt idx="10">
                  <c:v>58110495000</c:v>
                </c:pt>
                <c:pt idx="11">
                  <c:v>59489508000</c:v>
                </c:pt>
                <c:pt idx="12">
                  <c:v>62590786000</c:v>
                </c:pt>
                <c:pt idx="13">
                  <c:v>66657175000</c:v>
                </c:pt>
                <c:pt idx="14">
                  <c:v>68655999000</c:v>
                </c:pt>
                <c:pt idx="15">
                  <c:v>70114637000</c:v>
                </c:pt>
                <c:pt idx="16">
                  <c:v>72216212000</c:v>
                </c:pt>
                <c:pt idx="17">
                  <c:v>73115358000</c:v>
                </c:pt>
                <c:pt idx="18">
                  <c:v>74411836000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5-4658-9398-62F058A6A1B7}"/>
            </c:ext>
          </c:extLst>
        </c:ser>
        <c:ser>
          <c:idx val="1"/>
          <c:order val="1"/>
          <c:spPr>
            <a:ln w="50800">
              <a:solidFill>
                <a:srgbClr val="EF7540"/>
              </a:solidFill>
            </a:ln>
          </c:spPr>
          <c:marker>
            <c:symbol val="none"/>
          </c:marker>
          <c:cat>
            <c:numRef>
              <c:f>'Unfunded Liability'!$A$2:$A$20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'Unfunded Liability'!$D$2:$D$20</c:f>
              <c:numCache>
                <c:formatCode>_(* #,##0_);_(* \(#,##0\);_(* "-"??_);_(@_)</c:formatCode>
                <c:ptCount val="19"/>
                <c:pt idx="0">
                  <c:v>59425300000</c:v>
                </c:pt>
                <c:pt idx="1">
                  <c:v>63215643000</c:v>
                </c:pt>
                <c:pt idx="2">
                  <c:v>65936357000</c:v>
                </c:pt>
                <c:pt idx="3">
                  <c:v>69867425000</c:v>
                </c:pt>
                <c:pt idx="4">
                  <c:v>73817114000</c:v>
                </c:pt>
                <c:pt idx="5">
                  <c:v>77371024000</c:v>
                </c:pt>
                <c:pt idx="6">
                  <c:v>81126642000</c:v>
                </c:pt>
                <c:pt idx="7">
                  <c:v>87432348000</c:v>
                </c:pt>
                <c:pt idx="8">
                  <c:v>91440955000</c:v>
                </c:pt>
                <c:pt idx="9">
                  <c:v>94720669000</c:v>
                </c:pt>
                <c:pt idx="10">
                  <c:v>98766204000</c:v>
                </c:pt>
                <c:pt idx="11">
                  <c:v>106301841000</c:v>
                </c:pt>
                <c:pt idx="12">
                  <c:v>94366694000</c:v>
                </c:pt>
                <c:pt idx="13">
                  <c:v>96167057000</c:v>
                </c:pt>
                <c:pt idx="14">
                  <c:v>99014654000</c:v>
                </c:pt>
                <c:pt idx="15">
                  <c:v>100756422000</c:v>
                </c:pt>
                <c:pt idx="16">
                  <c:v>96126440000</c:v>
                </c:pt>
                <c:pt idx="17">
                  <c:v>96904057000</c:v>
                </c:pt>
                <c:pt idx="18">
                  <c:v>97840944000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5-4658-9398-62F058A6A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716768"/>
        <c:axId val="990720032"/>
      </c:lineChart>
      <c:dateAx>
        <c:axId val="99071676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20032"/>
        <c:crosses val="autoZero"/>
        <c:auto val="0"/>
        <c:lblOffset val="100"/>
        <c:baseTimeUnit val="days"/>
        <c:majorUnit val="2"/>
      </c:dateAx>
      <c:valAx>
        <c:axId val="990720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Actuarial</a:t>
                </a:r>
                <a:r>
                  <a:rPr lang="en-US" sz="1400" b="1" baseline="0">
                    <a:latin typeface="Calibri" charset="0"/>
                    <a:ea typeface="Calibri" charset="0"/>
                    <a:cs typeface="Calibri" charset="0"/>
                  </a:rPr>
                  <a:t> Liability &amp; Actuarial Assets</a:t>
                </a: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 (in $Billions)</a:t>
                </a:r>
              </a:p>
            </c:rich>
          </c:tx>
          <c:layout>
            <c:manualLayout>
              <c:xMode val="edge"/>
              <c:yMode val="edge"/>
              <c:x val="1.1738845144356955E-2"/>
              <c:y val="9.9236327770349478E-2"/>
            </c:manualLayout>
          </c:layout>
          <c:overlay val="0"/>
        </c:title>
        <c:numFmt formatCode="[$$-409]#,##0" sourceLinked="0"/>
        <c:majorTickMark val="out"/>
        <c:minorTickMark val="none"/>
        <c:tickLblPos val="nextTo"/>
        <c:spPr>
          <a:noFill/>
          <a:ln w="9525" cmpd="sng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990716768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360989598522401"/>
          <c:y val="0.7403487594711039"/>
          <c:w val="0.34194565957033146"/>
          <c:h val="0.1124711121015533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029235928842224E-2"/>
          <c:y val="3.5222949659382462E-2"/>
          <c:w val="0.90899545542918248"/>
          <c:h val="0.88771622414239415"/>
        </c:manualLayout>
      </c:layout>
      <c:lineChart>
        <c:grouping val="standard"/>
        <c:varyColors val="0"/>
        <c:ser>
          <c:idx val="1"/>
          <c:order val="0"/>
          <c:spPr>
            <a:ln w="57150" cap="rnd">
              <a:solidFill>
                <a:srgbClr val="999999"/>
              </a:solidFill>
              <a:round/>
            </a:ln>
            <a:effectLst/>
          </c:spPr>
          <c:marker>
            <c:symbol val="none"/>
          </c:marker>
          <c:cat>
            <c:strRef>
              <c:f>'Investment Returns'!$A$4:$A$23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'Investment Returns'!#REF!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'Investment Returns'!#REF!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9A7-2C44-9B67-7322FFDF21B1}"/>
            </c:ext>
          </c:extLst>
        </c:ser>
        <c:ser>
          <c:idx val="3"/>
          <c:order val="1"/>
          <c:spPr>
            <a:ln w="57150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strRef>
              <c:f>'Investment Returns'!$A$4:$A$23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'Investment Returns'!#REF!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'Investment Returns'!#REF!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9A7-2C44-9B67-7322FFDF21B1}"/>
            </c:ext>
          </c:extLst>
        </c:ser>
        <c:ser>
          <c:idx val="4"/>
          <c:order val="2"/>
          <c:spPr>
            <a:ln w="57150" cap="rnd">
              <a:solidFill>
                <a:srgbClr val="FA6D2C"/>
              </a:solidFill>
              <a:round/>
            </a:ln>
            <a:effectLst/>
          </c:spPr>
          <c:marker>
            <c:symbol val="none"/>
          </c:marker>
          <c:cat>
            <c:strRef>
              <c:f>'Investment Returns'!$A$4:$A$23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'Investment Returns'!#REF!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'Investment Returns'!#REF!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9A7-2C44-9B67-7322FFDF21B1}"/>
            </c:ext>
          </c:extLst>
        </c:ser>
        <c:ser>
          <c:idx val="2"/>
          <c:order val="3"/>
          <c:spPr>
            <a:ln w="571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'Investment Returns'!$A$4:$A$23</c:f>
              <c:strCach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strCache>
            </c:strRef>
          </c:cat>
          <c:val>
            <c:numRef>
              <c:f>'Investment Returns'!#REF!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'Investment Returns'!#REF!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9A7-2C44-9B67-7322FFDF2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705648"/>
        <c:axId val="765796880"/>
      </c:lineChart>
      <c:catAx>
        <c:axId val="76570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96880"/>
        <c:crossesAt val="-0.25"/>
        <c:auto val="1"/>
        <c:lblAlgn val="ctr"/>
        <c:lblOffset val="100"/>
        <c:tickLblSkip val="2"/>
        <c:noMultiLvlLbl val="0"/>
      </c:catAx>
      <c:valAx>
        <c:axId val="76579688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0008178659588863E-2"/>
          <c:y val="0.71043011268025635"/>
          <c:w val="0.55793761568896294"/>
          <c:h val="0.20689478104488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71478565179405E-2"/>
          <c:y val="3.3268395607997381E-2"/>
          <c:w val="0.86160360163312921"/>
          <c:h val="0.895248279252704"/>
        </c:manualLayout>
      </c:layout>
      <c:lineChart>
        <c:grouping val="standard"/>
        <c:varyColors val="0"/>
        <c:ser>
          <c:idx val="0"/>
          <c:order val="0"/>
          <c:spPr>
            <a:ln w="508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'Unfunded Liability'!$A$2:$A$20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'Unfunded Liability'!#REF!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5-46BB-8704-E8D504F209C1}"/>
            </c:ext>
          </c:extLst>
        </c:ser>
        <c:ser>
          <c:idx val="1"/>
          <c:order val="1"/>
          <c:spPr>
            <a:ln w="50800">
              <a:solidFill>
                <a:srgbClr val="EF7540"/>
              </a:solidFill>
            </a:ln>
          </c:spPr>
          <c:marker>
            <c:symbol val="none"/>
          </c:marker>
          <c:cat>
            <c:numRef>
              <c:f>'Unfunded Liability'!$A$2:$A$20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'Unfunded Liability'!#REF!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5-46BB-8704-E8D504F20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716768"/>
        <c:axId val="990720032"/>
      </c:lineChart>
      <c:dateAx>
        <c:axId val="99071676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20032"/>
        <c:crosses val="autoZero"/>
        <c:auto val="0"/>
        <c:lblOffset val="100"/>
        <c:baseTimeUnit val="days"/>
        <c:majorUnit val="2"/>
      </c:dateAx>
      <c:valAx>
        <c:axId val="9907200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Actuarial</a:t>
                </a:r>
                <a:r>
                  <a:rPr lang="en-US" sz="1400" b="1" baseline="0">
                    <a:latin typeface="Calibri" charset="0"/>
                    <a:ea typeface="Calibri" charset="0"/>
                    <a:cs typeface="Calibri" charset="0"/>
                  </a:rPr>
                  <a:t> Liability &amp; Actuarial Assets</a:t>
                </a: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 (in $Billions)</a:t>
                </a:r>
              </a:p>
            </c:rich>
          </c:tx>
          <c:layout>
            <c:manualLayout>
              <c:xMode val="edge"/>
              <c:yMode val="edge"/>
              <c:x val="1.1738845144356955E-2"/>
              <c:y val="9.9236327770349478E-2"/>
            </c:manualLayout>
          </c:layout>
          <c:overlay val="0"/>
        </c:title>
        <c:numFmt formatCode="[$$-409]#,##0" sourceLinked="0"/>
        <c:majorTickMark val="out"/>
        <c:minorTickMark val="none"/>
        <c:tickLblPos val="nextTo"/>
        <c:spPr>
          <a:noFill/>
          <a:ln w="9525" cmpd="sng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990716768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465927870127341"/>
          <c:y val="0.69055840307697391"/>
          <c:w val="0.31661733255565278"/>
          <c:h val="0.1338650770068835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71478565179405E-2"/>
          <c:y val="3.3268395607997381E-2"/>
          <c:w val="0.86160360163312921"/>
          <c:h val="0.895248279252704"/>
        </c:manualLayout>
      </c:layout>
      <c:areaChart>
        <c:grouping val="standard"/>
        <c:varyColors val="0"/>
        <c:ser>
          <c:idx val="15"/>
          <c:order val="0"/>
          <c:tx>
            <c:v>Unfunded Liability</c:v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</c:spPr>
          <c:cat>
            <c:numRef>
              <c:f>'Unfunded Liability'!$A$2:$A$19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'Unfunded Liability'!$D$2:$D$19</c:f>
              <c:numCache>
                <c:formatCode>_(* #,##0_);_(* \(#,##0\);_(* "-"??_);_(@_)</c:formatCode>
                <c:ptCount val="18"/>
                <c:pt idx="0">
                  <c:v>59425300000</c:v>
                </c:pt>
                <c:pt idx="1">
                  <c:v>63215643000</c:v>
                </c:pt>
                <c:pt idx="2">
                  <c:v>65936357000</c:v>
                </c:pt>
                <c:pt idx="3">
                  <c:v>69867425000</c:v>
                </c:pt>
                <c:pt idx="4">
                  <c:v>73817114000</c:v>
                </c:pt>
                <c:pt idx="5">
                  <c:v>77371024000</c:v>
                </c:pt>
                <c:pt idx="6">
                  <c:v>81126642000</c:v>
                </c:pt>
                <c:pt idx="7">
                  <c:v>87432348000</c:v>
                </c:pt>
                <c:pt idx="8">
                  <c:v>91440955000</c:v>
                </c:pt>
                <c:pt idx="9">
                  <c:v>94720669000</c:v>
                </c:pt>
                <c:pt idx="10">
                  <c:v>98766204000</c:v>
                </c:pt>
                <c:pt idx="11">
                  <c:v>106301841000</c:v>
                </c:pt>
                <c:pt idx="12">
                  <c:v>94366694000</c:v>
                </c:pt>
                <c:pt idx="13">
                  <c:v>96167057000</c:v>
                </c:pt>
                <c:pt idx="14">
                  <c:v>99014654000</c:v>
                </c:pt>
                <c:pt idx="15">
                  <c:v>100756422000</c:v>
                </c:pt>
                <c:pt idx="16">
                  <c:v>96126440000</c:v>
                </c:pt>
                <c:pt idx="17">
                  <c:v>96904057000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9-C84B-94F2-67BC8417DDA9}"/>
            </c:ext>
          </c:extLst>
        </c:ser>
        <c:ser>
          <c:idx val="2"/>
          <c:order val="3"/>
          <c:spPr>
            <a:solidFill>
              <a:schemeClr val="bg1"/>
            </a:solidFill>
            <a:ln>
              <a:noFill/>
            </a:ln>
          </c:spPr>
          <c:cat>
            <c:numRef>
              <c:f>'Unfunded Liability'!$A$2:$A$19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'Unfunded Liability'!$B$2:$B$19</c:f>
              <c:numCache>
                <c:formatCode>_(* #,##0_);_(* \(#,##0\);_(* "-"??_);_(@_)</c:formatCode>
                <c:ptCount val="18"/>
                <c:pt idx="0">
                  <c:v>54194672000</c:v>
                </c:pt>
                <c:pt idx="1">
                  <c:v>48958824000</c:v>
                </c:pt>
                <c:pt idx="2">
                  <c:v>48899215000</c:v>
                </c:pt>
                <c:pt idx="3">
                  <c:v>52253798000</c:v>
                </c:pt>
                <c:pt idx="4">
                  <c:v>53765570000</c:v>
                </c:pt>
                <c:pt idx="5">
                  <c:v>58008050000</c:v>
                </c:pt>
                <c:pt idx="6">
                  <c:v>66671511000</c:v>
                </c:pt>
                <c:pt idx="7">
                  <c:v>69198008000</c:v>
                </c:pt>
                <c:pt idx="8">
                  <c:v>54902859000</c:v>
                </c:pt>
                <c:pt idx="9">
                  <c:v>55946259000</c:v>
                </c:pt>
                <c:pt idx="10">
                  <c:v>58110495000</c:v>
                </c:pt>
                <c:pt idx="11">
                  <c:v>59489508000</c:v>
                </c:pt>
                <c:pt idx="12">
                  <c:v>62590786000</c:v>
                </c:pt>
                <c:pt idx="13">
                  <c:v>66657175000</c:v>
                </c:pt>
                <c:pt idx="14">
                  <c:v>68655999000</c:v>
                </c:pt>
                <c:pt idx="15">
                  <c:v>70114637000</c:v>
                </c:pt>
                <c:pt idx="16">
                  <c:v>72216212000</c:v>
                </c:pt>
                <c:pt idx="17">
                  <c:v>73115358000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9-C84B-94F2-67BC8417D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716768"/>
        <c:axId val="990720032"/>
      </c:areaChart>
      <c:lineChart>
        <c:grouping val="standard"/>
        <c:varyColors val="0"/>
        <c:ser>
          <c:idx val="1"/>
          <c:order val="1"/>
          <c:tx>
            <c:v>Actuarial Accrued Liability</c:v>
          </c:tx>
          <c:spPr>
            <a:ln w="50800">
              <a:solidFill>
                <a:srgbClr val="EF7540"/>
              </a:solidFill>
            </a:ln>
          </c:spPr>
          <c:marker>
            <c:symbol val="none"/>
          </c:marker>
          <c:cat>
            <c:numRef>
              <c:f>'Unfunded Liability'!$A$2:$A$19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'Unfunded Liability'!$D$2:$D$19</c:f>
              <c:numCache>
                <c:formatCode>_(* #,##0_);_(* \(#,##0\);_(* "-"??_);_(@_)</c:formatCode>
                <c:ptCount val="18"/>
                <c:pt idx="0">
                  <c:v>59425300000</c:v>
                </c:pt>
                <c:pt idx="1">
                  <c:v>63215643000</c:v>
                </c:pt>
                <c:pt idx="2">
                  <c:v>65936357000</c:v>
                </c:pt>
                <c:pt idx="3">
                  <c:v>69867425000</c:v>
                </c:pt>
                <c:pt idx="4">
                  <c:v>73817114000</c:v>
                </c:pt>
                <c:pt idx="5">
                  <c:v>77371024000</c:v>
                </c:pt>
                <c:pt idx="6">
                  <c:v>81126642000</c:v>
                </c:pt>
                <c:pt idx="7">
                  <c:v>87432348000</c:v>
                </c:pt>
                <c:pt idx="8">
                  <c:v>91440955000</c:v>
                </c:pt>
                <c:pt idx="9">
                  <c:v>94720669000</c:v>
                </c:pt>
                <c:pt idx="10">
                  <c:v>98766204000</c:v>
                </c:pt>
                <c:pt idx="11">
                  <c:v>106301841000</c:v>
                </c:pt>
                <c:pt idx="12">
                  <c:v>94366694000</c:v>
                </c:pt>
                <c:pt idx="13">
                  <c:v>96167057000</c:v>
                </c:pt>
                <c:pt idx="14">
                  <c:v>99014654000</c:v>
                </c:pt>
                <c:pt idx="15">
                  <c:v>100756422000</c:v>
                </c:pt>
                <c:pt idx="16">
                  <c:v>96126440000</c:v>
                </c:pt>
                <c:pt idx="17">
                  <c:v>96904057000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9-C84B-94F2-67BC8417DDA9}"/>
            </c:ext>
          </c:extLst>
        </c:ser>
        <c:ser>
          <c:idx val="0"/>
          <c:order val="2"/>
          <c:tx>
            <c:v>Actuarial Value of Assets</c:v>
          </c:tx>
          <c:spPr>
            <a:ln w="508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'Unfunded Liability'!$A$2:$A$19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'Unfunded Liability'!$B$2:$B$19</c:f>
              <c:numCache>
                <c:formatCode>_(* #,##0_);_(* \(#,##0\);_(* "-"??_);_(@_)</c:formatCode>
                <c:ptCount val="18"/>
                <c:pt idx="0">
                  <c:v>54194672000</c:v>
                </c:pt>
                <c:pt idx="1">
                  <c:v>48958824000</c:v>
                </c:pt>
                <c:pt idx="2">
                  <c:v>48899215000</c:v>
                </c:pt>
                <c:pt idx="3">
                  <c:v>52253798000</c:v>
                </c:pt>
                <c:pt idx="4">
                  <c:v>53765570000</c:v>
                </c:pt>
                <c:pt idx="5">
                  <c:v>58008050000</c:v>
                </c:pt>
                <c:pt idx="6">
                  <c:v>66671511000</c:v>
                </c:pt>
                <c:pt idx="7">
                  <c:v>69198008000</c:v>
                </c:pt>
                <c:pt idx="8">
                  <c:v>54902859000</c:v>
                </c:pt>
                <c:pt idx="9">
                  <c:v>55946259000</c:v>
                </c:pt>
                <c:pt idx="10">
                  <c:v>58110495000</c:v>
                </c:pt>
                <c:pt idx="11">
                  <c:v>59489508000</c:v>
                </c:pt>
                <c:pt idx="12">
                  <c:v>62590786000</c:v>
                </c:pt>
                <c:pt idx="13">
                  <c:v>66657175000</c:v>
                </c:pt>
                <c:pt idx="14">
                  <c:v>68655999000</c:v>
                </c:pt>
                <c:pt idx="15">
                  <c:v>70114637000</c:v>
                </c:pt>
                <c:pt idx="16">
                  <c:v>72216212000</c:v>
                </c:pt>
                <c:pt idx="17">
                  <c:v>73115358000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69-C84B-94F2-67BC8417D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716768"/>
        <c:axId val="990720032"/>
      </c:lineChart>
      <c:catAx>
        <c:axId val="99071676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20032"/>
        <c:crosses val="autoZero"/>
        <c:auto val="1"/>
        <c:lblAlgn val="ctr"/>
        <c:lblOffset val="100"/>
        <c:tickLblSkip val="2"/>
        <c:noMultiLvlLbl val="0"/>
      </c:catAx>
      <c:valAx>
        <c:axId val="990720032"/>
        <c:scaling>
          <c:orientation val="minMax"/>
          <c:max val="700000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Actuarial</a:t>
                </a:r>
                <a:r>
                  <a:rPr lang="en-US" sz="1400" b="1" baseline="0">
                    <a:latin typeface="Calibri" charset="0"/>
                    <a:ea typeface="Calibri" charset="0"/>
                    <a:cs typeface="Calibri" charset="0"/>
                  </a:rPr>
                  <a:t> Liability &amp; Actuarial Assets</a:t>
                </a: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 (in $Billions)</a:t>
                </a:r>
              </a:p>
            </c:rich>
          </c:tx>
          <c:overlay val="0"/>
        </c:title>
        <c:numFmt formatCode="[$$-409]#,##0" sourceLinked="0"/>
        <c:majorTickMark val="out"/>
        <c:minorTickMark val="none"/>
        <c:tickLblPos val="nextTo"/>
        <c:spPr>
          <a:noFill/>
          <a:ln w="9525" cmpd="sng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990716768"/>
        <c:crosses val="autoZero"/>
        <c:crossBetween val="between"/>
        <c:majorUnit val="1000000000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39262224166423643"/>
          <c:y val="0.73772821439772873"/>
          <c:w val="0.31661733255565278"/>
          <c:h val="0.1338650770068835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71478565179405E-2"/>
          <c:y val="3.3268395607997381E-2"/>
          <c:w val="0.86160360163312921"/>
          <c:h val="0.895248279252704"/>
        </c:manualLayout>
      </c:layout>
      <c:areaChart>
        <c:grouping val="standard"/>
        <c:varyColors val="0"/>
        <c:ser>
          <c:idx val="15"/>
          <c:order val="0"/>
          <c:tx>
            <c:v>Unfunded Liability</c:v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</c:spPr>
          <c:cat>
            <c:numRef>
              <c:f>'Unfunded Liability'!$A$2:$A$19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'Unfunded Liability'!#REF!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C-9742-BD4E-07B5A95E4B04}"/>
            </c:ext>
          </c:extLst>
        </c:ser>
        <c:ser>
          <c:idx val="2"/>
          <c:order val="3"/>
          <c:spPr>
            <a:solidFill>
              <a:schemeClr val="bg1"/>
            </a:solidFill>
            <a:ln>
              <a:noFill/>
            </a:ln>
          </c:spPr>
          <c:cat>
            <c:numRef>
              <c:f>'Unfunded Liability'!$A$2:$A$19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'Unfunded Liability'!#REF!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C-9742-BD4E-07B5A95E4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716768"/>
        <c:axId val="990720032"/>
      </c:areaChart>
      <c:lineChart>
        <c:grouping val="standard"/>
        <c:varyColors val="0"/>
        <c:ser>
          <c:idx val="1"/>
          <c:order val="1"/>
          <c:tx>
            <c:v>Actuarial Accrued Liability</c:v>
          </c:tx>
          <c:spPr>
            <a:ln w="50800">
              <a:solidFill>
                <a:srgbClr val="EF7540"/>
              </a:solidFill>
            </a:ln>
          </c:spPr>
          <c:marker>
            <c:symbol val="none"/>
          </c:marker>
          <c:cat>
            <c:numRef>
              <c:f>'Unfunded Liability'!$A$2:$A$19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'Unfunded Liability'!#REF!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C-9742-BD4E-07B5A95E4B04}"/>
            </c:ext>
          </c:extLst>
        </c:ser>
        <c:ser>
          <c:idx val="0"/>
          <c:order val="2"/>
          <c:tx>
            <c:v>Actuarial Value of Assets</c:v>
          </c:tx>
          <c:spPr>
            <a:ln w="508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'Unfunded Liability'!$A$2:$A$19</c:f>
              <c:numCache>
                <c:formatCode>General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'Unfunded Liability'!#REF!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C-9742-BD4E-07B5A95E4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716768"/>
        <c:axId val="990720032"/>
      </c:lineChart>
      <c:catAx>
        <c:axId val="990716768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720032"/>
        <c:crosses val="autoZero"/>
        <c:auto val="1"/>
        <c:lblAlgn val="ctr"/>
        <c:lblOffset val="100"/>
        <c:tickLblSkip val="2"/>
        <c:noMultiLvlLbl val="0"/>
      </c:catAx>
      <c:valAx>
        <c:axId val="990720032"/>
        <c:scaling>
          <c:orientation val="minMax"/>
          <c:max val="900000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Actuarial</a:t>
                </a:r>
                <a:r>
                  <a:rPr lang="en-US" sz="1400" b="1" baseline="0">
                    <a:latin typeface="Calibri" charset="0"/>
                    <a:ea typeface="Calibri" charset="0"/>
                    <a:cs typeface="Calibri" charset="0"/>
                  </a:rPr>
                  <a:t> Liability &amp; Actuarial Assets</a:t>
                </a: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 (in $Billions)</a:t>
                </a:r>
              </a:p>
            </c:rich>
          </c:tx>
          <c:overlay val="0"/>
        </c:title>
        <c:numFmt formatCode="[$$-409]#,##0" sourceLinked="0"/>
        <c:majorTickMark val="out"/>
        <c:minorTickMark val="none"/>
        <c:tickLblPos val="nextTo"/>
        <c:spPr>
          <a:noFill/>
          <a:ln w="9525" cmpd="sng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990716768"/>
        <c:crosses val="autoZero"/>
        <c:crossBetween val="between"/>
        <c:majorUnit val="1000000000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/>
          <a:lstStyle/>
          <a:p>
            <a:pPr>
              <a:defRPr sz="1400">
                <a:solidFill>
                  <a:schemeClr val="bg1"/>
                </a:solidFill>
              </a:defRPr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39262224166423643"/>
          <c:y val="0.73772821439772873"/>
          <c:w val="0.31661733255565278"/>
          <c:h val="0.13386507700688358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7362204724409"/>
          <c:y val="4.3043469354310061E-2"/>
          <c:w val="0.84941746864975198"/>
          <c:h val="0.888028720091773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'Negative Amo'!$E$1</c:f>
              <c:strCache>
                <c:ptCount val="1"/>
                <c:pt idx="0">
                  <c:v>Interest Accrual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'Negative Amo'!$A$2:$A$21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'Negative Amo'!$E$2:$E$21</c:f>
              <c:numCache>
                <c:formatCode>_(* #,##0.00_);_(* \(#,##0.00\);_(* "-"??_);_(@_)</c:formatCode>
                <c:ptCount val="20"/>
                <c:pt idx="0">
                  <c:v>382248017.4013921</c:v>
                </c:pt>
                <c:pt idx="1">
                  <c:v>448737946.63573086</c:v>
                </c:pt>
                <c:pt idx="2">
                  <c:v>1249057222.2222223</c:v>
                </c:pt>
                <c:pt idx="3">
                  <c:v>1372766148.1481483</c:v>
                </c:pt>
                <c:pt idx="4">
                  <c:v>1396288259.2592595</c:v>
                </c:pt>
                <c:pt idx="5">
                  <c:v>1589008703.7037036</c:v>
                </c:pt>
                <c:pt idx="6">
                  <c:v>1544109259.2592595</c:v>
                </c:pt>
                <c:pt idx="7">
                  <c:v>1292441555.5555553</c:v>
                </c:pt>
                <c:pt idx="8">
                  <c:v>1477152000</c:v>
                </c:pt>
                <c:pt idx="9">
                  <c:v>2942770037.0370369</c:v>
                </c:pt>
                <c:pt idx="10">
                  <c:v>3117188296.2962966</c:v>
                </c:pt>
                <c:pt idx="11">
                  <c:v>3168096283.062645</c:v>
                </c:pt>
                <c:pt idx="12">
                  <c:v>3649758882.5</c:v>
                </c:pt>
                <c:pt idx="13">
                  <c:v>2445649000</c:v>
                </c:pt>
                <c:pt idx="14">
                  <c:v>2266144000</c:v>
                </c:pt>
                <c:pt idx="15">
                  <c:v>2325895000</c:v>
                </c:pt>
                <c:pt idx="16">
                  <c:v>2340757000</c:v>
                </c:pt>
                <c:pt idx="17">
                  <c:v>1709274693.0895</c:v>
                </c:pt>
                <c:pt idx="18">
                  <c:v>1698056513.6345</c:v>
                </c:pt>
                <c:pt idx="19">
                  <c:v>1669028293.7024999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B-4C45-8601-F98F18B36E68}"/>
            </c:ext>
          </c:extLst>
        </c:ser>
        <c:ser>
          <c:idx val="1"/>
          <c:order val="1"/>
          <c:tx>
            <c:strRef>
              <c:f>'Negative Amo'!$G$1</c:f>
              <c:strCache>
                <c:ptCount val="1"/>
                <c:pt idx="0">
                  <c:v>Amortization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'Negative Amo'!$A$2:$A$21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'Negative Amo'!$G$2:$G$21</c:f>
              <c:numCache>
                <c:formatCode>_(* #,##0.00_);_(* \(#,##0.00\);_(* "-"??_);_(@_)</c:formatCode>
                <c:ptCount val="20"/>
                <c:pt idx="0">
                  <c:v>347646017.40139198</c:v>
                </c:pt>
                <c:pt idx="1">
                  <c:v>266993946.63573074</c:v>
                </c:pt>
                <c:pt idx="2">
                  <c:v>-329242777.77777767</c:v>
                </c:pt>
                <c:pt idx="3">
                  <c:v>974735148.1481483</c:v>
                </c:pt>
                <c:pt idx="4">
                  <c:v>1271039259.2592592</c:v>
                </c:pt>
                <c:pt idx="5">
                  <c:v>1319898703.7037039</c:v>
                </c:pt>
                <c:pt idx="6">
                  <c:v>1217482259.2592592</c:v>
                </c:pt>
                <c:pt idx="7">
                  <c:v>-527242444.44444418</c:v>
                </c:pt>
                <c:pt idx="8">
                  <c:v>974775000</c:v>
                </c:pt>
                <c:pt idx="9">
                  <c:v>985514037.03703713</c:v>
                </c:pt>
                <c:pt idx="10">
                  <c:v>1054910296.2962964</c:v>
                </c:pt>
                <c:pt idx="11">
                  <c:v>993461283.06264496</c:v>
                </c:pt>
                <c:pt idx="12">
                  <c:v>931421000</c:v>
                </c:pt>
                <c:pt idx="13">
                  <c:v>1533304000</c:v>
                </c:pt>
                <c:pt idx="14">
                  <c:v>1649707000</c:v>
                </c:pt>
                <c:pt idx="15">
                  <c:v>1753202000</c:v>
                </c:pt>
                <c:pt idx="16">
                  <c:v>1944621000</c:v>
                </c:pt>
                <c:pt idx="17">
                  <c:v>1933887324</c:v>
                </c:pt>
                <c:pt idx="18">
                  <c:v>1991986238</c:v>
                </c:pt>
                <c:pt idx="19">
                  <c:v>2052088620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B-4C45-8601-F98F18B36E68}"/>
            </c:ext>
          </c:extLst>
        </c:ser>
        <c:ser>
          <c:idx val="3"/>
          <c:order val="2"/>
          <c:tx>
            <c:strRef>
              <c:f>'Negative Amo'!$H$1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'Negative Amo'!$A$2:$A$21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'Negative Amo'!$H$2:$H$21</c:f>
              <c:numCache>
                <c:formatCode>_(* #,##0.00_);_(* \(#,##0.00\);_(* "-"??_);_(@_)</c:formatCode>
                <c:ptCount val="20"/>
                <c:pt idx="0">
                  <c:v>-34602000.000000119</c:v>
                </c:pt>
                <c:pt idx="1">
                  <c:v>-181744000.00000012</c:v>
                </c:pt>
                <c:pt idx="2">
                  <c:v>-1578300000</c:v>
                </c:pt>
                <c:pt idx="3">
                  <c:v>-398031000</c:v>
                </c:pt>
                <c:pt idx="4">
                  <c:v>-125249000.00000024</c:v>
                </c:pt>
                <c:pt idx="5">
                  <c:v>-269109999.99999976</c:v>
                </c:pt>
                <c:pt idx="6">
                  <c:v>-326627000.00000024</c:v>
                </c:pt>
                <c:pt idx="7">
                  <c:v>-1819683999.9999995</c:v>
                </c:pt>
                <c:pt idx="8">
                  <c:v>-502377000</c:v>
                </c:pt>
                <c:pt idx="9">
                  <c:v>-1957255999.9999998</c:v>
                </c:pt>
                <c:pt idx="10">
                  <c:v>-2062278000.0000002</c:v>
                </c:pt>
                <c:pt idx="11">
                  <c:v>-2174635000</c:v>
                </c:pt>
                <c:pt idx="12">
                  <c:v>-2718337882.5</c:v>
                </c:pt>
                <c:pt idx="13">
                  <c:v>-912345000</c:v>
                </c:pt>
                <c:pt idx="14">
                  <c:v>-616437000</c:v>
                </c:pt>
                <c:pt idx="15">
                  <c:v>-572693000</c:v>
                </c:pt>
                <c:pt idx="16">
                  <c:v>-396136000</c:v>
                </c:pt>
                <c:pt idx="17">
                  <c:v>224612630.91050005</c:v>
                </c:pt>
                <c:pt idx="18">
                  <c:v>293929724.36549997</c:v>
                </c:pt>
                <c:pt idx="19">
                  <c:v>383060326.29750013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B-4C45-8601-F98F18B36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647458096"/>
        <c:axId val="-647455264"/>
      </c:barChart>
      <c:catAx>
        <c:axId val="-64745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7455264"/>
        <c:crosses val="autoZero"/>
        <c:auto val="1"/>
        <c:lblAlgn val="ctr"/>
        <c:lblOffset val="0"/>
        <c:tickLblSkip val="2"/>
        <c:noMultiLvlLbl val="0"/>
      </c:catAx>
      <c:valAx>
        <c:axId val="-6474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Annual Cash Flow (in $Millions)</a:t>
                </a:r>
              </a:p>
            </c:rich>
          </c:tx>
          <c:layout>
            <c:manualLayout>
              <c:xMode val="edge"/>
              <c:yMode val="edge"/>
              <c:x val="0"/>
              <c:y val="0.19210402327105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-64745809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580246913580241E-2"/>
          <c:y val="6.5254219927892501E-2"/>
          <c:w val="0.45509550889472156"/>
          <c:h val="0.20681989511635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Interest!$D$4:$D$24</c:f>
              <c:numCache>
                <c:formatCode>[$$-409]#,##0</c:formatCode>
                <c:ptCount val="21"/>
                <c:pt idx="0">
                  <c:v>14040473000</c:v>
                </c:pt>
                <c:pt idx="1">
                  <c:v>15242496000</c:v>
                </c:pt>
                <c:pt idx="2">
                  <c:v>15420950000</c:v>
                </c:pt>
                <c:pt idx="3">
                  <c:v>17733618000</c:v>
                </c:pt>
                <c:pt idx="4">
                  <c:v>16775938000</c:v>
                </c:pt>
                <c:pt idx="5">
                  <c:v>11541468000</c:v>
                </c:pt>
                <c:pt idx="6">
                  <c:v>13500993000</c:v>
                </c:pt>
                <c:pt idx="7">
                  <c:v>31302372000</c:v>
                </c:pt>
                <c:pt idx="8">
                  <c:v>31581430000</c:v>
                </c:pt>
                <c:pt idx="9">
                  <c:v>31400451000</c:v>
                </c:pt>
                <c:pt idx="10">
                  <c:v>35382440000</c:v>
                </c:pt>
                <c:pt idx="11">
                  <c:v>17627676117.5</c:v>
                </c:pt>
                <c:pt idx="12">
                  <c:v>14449306117.5</c:v>
                </c:pt>
                <c:pt idx="13">
                  <c:v>14681641117.5</c:v>
                </c:pt>
                <c:pt idx="14">
                  <c:v>14392080117.5</c:v>
                </c:pt>
                <c:pt idx="15">
                  <c:v>7264386250.5</c:v>
                </c:pt>
                <c:pt idx="16">
                  <c:v>7367468748.4104996</c:v>
                </c:pt>
                <c:pt idx="17">
                  <c:v>7301809127.7759991</c:v>
                </c:pt>
                <c:pt idx="18">
                  <c:v>6570367799.0734997</c:v>
                </c:pt>
                <c:pt idx="19">
                  <c:v>5541717054.4134998</c:v>
                </c:pt>
                <c:pt idx="20">
                  <c:v>5644938324.6285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D-9E4D-AF98-A00DDB13513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Interest!$E$4:$E$24</c:f>
              <c:numCache>
                <c:formatCode>[$$-409]#,##0</c:formatCode>
                <c:ptCount val="21"/>
                <c:pt idx="0">
                  <c:v>216346000</c:v>
                </c:pt>
                <c:pt idx="1">
                  <c:v>1794646000</c:v>
                </c:pt>
                <c:pt idx="2">
                  <c:v>2192677000</c:v>
                </c:pt>
                <c:pt idx="3">
                  <c:v>2317926000</c:v>
                </c:pt>
                <c:pt idx="4">
                  <c:v>2587036000</c:v>
                </c:pt>
                <c:pt idx="5">
                  <c:v>2913663000</c:v>
                </c:pt>
                <c:pt idx="6">
                  <c:v>4733347000</c:v>
                </c:pt>
                <c:pt idx="7">
                  <c:v>5235724000</c:v>
                </c:pt>
                <c:pt idx="8">
                  <c:v>7192980000</c:v>
                </c:pt>
                <c:pt idx="9">
                  <c:v>9255258000</c:v>
                </c:pt>
                <c:pt idx="10">
                  <c:v>11429893000</c:v>
                </c:pt>
                <c:pt idx="11">
                  <c:v>14148230882.5</c:v>
                </c:pt>
                <c:pt idx="12">
                  <c:v>15060575882.5</c:v>
                </c:pt>
                <c:pt idx="13">
                  <c:v>15677012882.5</c:v>
                </c:pt>
                <c:pt idx="14">
                  <c:v>16249705882.5</c:v>
                </c:pt>
                <c:pt idx="15">
                  <c:v>16645841882.5</c:v>
                </c:pt>
                <c:pt idx="16">
                  <c:v>16421229251.5895</c:v>
                </c:pt>
                <c:pt idx="17">
                  <c:v>16127299527.224001</c:v>
                </c:pt>
                <c:pt idx="18">
                  <c:v>15744239200.9265</c:v>
                </c:pt>
                <c:pt idx="19">
                  <c:v>15288294945.5865</c:v>
                </c:pt>
                <c:pt idx="20">
                  <c:v>14477540874.3715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D-9E4D-AF98-A00DDB135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07023"/>
        <c:axId val="256381904"/>
      </c:areaChart>
      <c:catAx>
        <c:axId val="11437070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81904"/>
        <c:crosses val="autoZero"/>
        <c:auto val="1"/>
        <c:lblAlgn val="ctr"/>
        <c:lblOffset val="100"/>
        <c:noMultiLvlLbl val="0"/>
      </c:catAx>
      <c:valAx>
        <c:axId val="2563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0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950617283950619E-2"/>
          <c:y val="9.7726556459992217E-2"/>
          <c:w val="0.92907407407407405"/>
          <c:h val="0.7983543274257698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Allocation!$C$1</c:f>
              <c:strCache>
                <c:ptCount val="1"/>
                <c:pt idx="0">
                  <c:v>Cash and Short Term</c:v>
                </c:pt>
              </c:strCache>
            </c:strRef>
          </c:tx>
          <c:spPr>
            <a:solidFill>
              <a:srgbClr val="3389A8"/>
            </a:solidFill>
            <a:ln>
              <a:noFill/>
            </a:ln>
            <a:effectLst/>
          </c:spPr>
          <c:invertIfNegative val="0"/>
          <c:cat>
            <c:multiLvlStrRef>
              <c:f>Allocation!$A$2:$B$5</c:f>
              <c:multiLvlStrCache>
                <c:ptCount val="4"/>
                <c:lvl>
                  <c:pt idx="0">
                    <c:v>2001</c:v>
                  </c:pt>
                  <c:pt idx="1">
                    <c:v>2017</c:v>
                  </c:pt>
                  <c:pt idx="2">
                    <c:v>2001</c:v>
                  </c:pt>
                  <c:pt idx="3">
                    <c:v>2017</c:v>
                  </c:pt>
                </c:lvl>
                <c:lvl>
                  <c:pt idx="0">
                    <c:v>TRS</c:v>
                  </c:pt>
                  <c:pt idx="2">
                    <c:v>PERS</c:v>
                  </c:pt>
                </c:lvl>
              </c:multiLvlStrCache>
            </c:multiLvlStrRef>
          </c:cat>
          <c:val>
            <c:numRef>
              <c:f>Allocation!$C$2:$C$5</c:f>
              <c:numCache>
                <c:formatCode>0.0%</c:formatCode>
                <c:ptCount val="4"/>
                <c:pt idx="0">
                  <c:v>3.5299999999999998E-2</c:v>
                </c:pt>
                <c:pt idx="1">
                  <c:v>3.1799999999999995E-2</c:v>
                </c:pt>
                <c:pt idx="2">
                  <c:v>3.5299999999999998E-2</c:v>
                </c:pt>
                <c:pt idx="3">
                  <c:v>2.0299999999999999E-2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7-F745-B76C-F45962865B0E}"/>
            </c:ext>
          </c:extLst>
        </c:ser>
        <c:ser>
          <c:idx val="1"/>
          <c:order val="1"/>
          <c:tx>
            <c:strRef>
              <c:f>Allocation!$D$1</c:f>
              <c:strCache>
                <c:ptCount val="1"/>
                <c:pt idx="0">
                  <c:v>Bonds and Fixed Income</c:v>
                </c:pt>
              </c:strCache>
            </c:strRef>
          </c:tx>
          <c:spPr>
            <a:solidFill>
              <a:srgbClr val="386271"/>
            </a:solidFill>
            <a:ln>
              <a:noFill/>
            </a:ln>
            <a:effectLst/>
          </c:spPr>
          <c:invertIfNegative val="0"/>
          <c:cat>
            <c:multiLvlStrRef>
              <c:f>Allocation!$A$2:$B$5</c:f>
              <c:multiLvlStrCache>
                <c:ptCount val="4"/>
                <c:lvl>
                  <c:pt idx="0">
                    <c:v>2001</c:v>
                  </c:pt>
                  <c:pt idx="1">
                    <c:v>2017</c:v>
                  </c:pt>
                  <c:pt idx="2">
                    <c:v>2001</c:v>
                  </c:pt>
                  <c:pt idx="3">
                    <c:v>2017</c:v>
                  </c:pt>
                </c:lvl>
                <c:lvl>
                  <c:pt idx="0">
                    <c:v>TRS</c:v>
                  </c:pt>
                  <c:pt idx="2">
                    <c:v>PERS</c:v>
                  </c:pt>
                </c:lvl>
              </c:multiLvlStrCache>
            </c:multiLvlStrRef>
          </c:cat>
          <c:val>
            <c:numRef>
              <c:f>Allocation!$D$2:$D$5</c:f>
              <c:numCache>
                <c:formatCode>0.0%</c:formatCode>
                <c:ptCount val="4"/>
                <c:pt idx="0">
                  <c:v>0.38819999999999999</c:v>
                </c:pt>
                <c:pt idx="1">
                  <c:v>0.24479999999999999</c:v>
                </c:pt>
                <c:pt idx="2">
                  <c:v>0.41249999999999998</c:v>
                </c:pt>
                <c:pt idx="3">
                  <c:v>0.27360000000000001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7-F745-B76C-F45962865B0E}"/>
            </c:ext>
          </c:extLst>
        </c:ser>
        <c:ser>
          <c:idx val="2"/>
          <c:order val="2"/>
          <c:tx>
            <c:strRef>
              <c:f>Allocation!$E$1</c:f>
              <c:strCache>
                <c:ptCount val="1"/>
                <c:pt idx="0">
                  <c:v>Equities and Stocks</c:v>
                </c:pt>
              </c:strCache>
            </c:strRef>
          </c:tx>
          <c:spPr>
            <a:solidFill>
              <a:srgbClr val="E88A3B"/>
            </a:solidFill>
            <a:ln>
              <a:noFill/>
            </a:ln>
            <a:effectLst/>
          </c:spPr>
          <c:invertIfNegative val="0"/>
          <c:cat>
            <c:multiLvlStrRef>
              <c:f>Allocation!$A$2:$B$5</c:f>
              <c:multiLvlStrCache>
                <c:ptCount val="4"/>
                <c:lvl>
                  <c:pt idx="0">
                    <c:v>2001</c:v>
                  </c:pt>
                  <c:pt idx="1">
                    <c:v>2017</c:v>
                  </c:pt>
                  <c:pt idx="2">
                    <c:v>2001</c:v>
                  </c:pt>
                  <c:pt idx="3">
                    <c:v>2017</c:v>
                  </c:pt>
                </c:lvl>
                <c:lvl>
                  <c:pt idx="0">
                    <c:v>TRS</c:v>
                  </c:pt>
                  <c:pt idx="2">
                    <c:v>PERS</c:v>
                  </c:pt>
                </c:lvl>
              </c:multiLvlStrCache>
            </c:multiLvlStrRef>
          </c:cat>
          <c:val>
            <c:numRef>
              <c:f>Allocation!$E$2:$E$5</c:f>
              <c:numCache>
                <c:formatCode>0.0%</c:formatCode>
                <c:ptCount val="4"/>
                <c:pt idx="0">
                  <c:v>0.49390000000000001</c:v>
                </c:pt>
                <c:pt idx="1">
                  <c:v>0.53869999999999996</c:v>
                </c:pt>
                <c:pt idx="2">
                  <c:v>0.49390000000000001</c:v>
                </c:pt>
                <c:pt idx="3">
                  <c:v>0.52590000000000003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7-F745-B76C-F45962865B0E}"/>
            </c:ext>
          </c:extLst>
        </c:ser>
        <c:ser>
          <c:idx val="3"/>
          <c:order val="3"/>
          <c:tx>
            <c:strRef>
              <c:f>Allocation!$F$1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rgbClr val="87B742"/>
            </a:solidFill>
            <a:ln>
              <a:noFill/>
            </a:ln>
            <a:effectLst/>
          </c:spPr>
          <c:invertIfNegative val="0"/>
          <c:cat>
            <c:multiLvlStrRef>
              <c:f>Allocation!$A$2:$B$5</c:f>
              <c:multiLvlStrCache>
                <c:ptCount val="4"/>
                <c:lvl>
                  <c:pt idx="0">
                    <c:v>2001</c:v>
                  </c:pt>
                  <c:pt idx="1">
                    <c:v>2017</c:v>
                  </c:pt>
                  <c:pt idx="2">
                    <c:v>2001</c:v>
                  </c:pt>
                  <c:pt idx="3">
                    <c:v>2017</c:v>
                  </c:pt>
                </c:lvl>
                <c:lvl>
                  <c:pt idx="0">
                    <c:v>TRS</c:v>
                  </c:pt>
                  <c:pt idx="2">
                    <c:v>PERS</c:v>
                  </c:pt>
                </c:lvl>
              </c:multiLvlStrCache>
            </c:multiLvlStrRef>
          </c:cat>
          <c:val>
            <c:numRef>
              <c:f>Allocation!$F$2:$F$5</c:f>
              <c:numCache>
                <c:formatCode>0.0%</c:formatCode>
                <c:ptCount val="4"/>
                <c:pt idx="0">
                  <c:v>2.5000000000000001E-3</c:v>
                </c:pt>
                <c:pt idx="1">
                  <c:v>7.7399999999999997E-2</c:v>
                </c:pt>
                <c:pt idx="2">
                  <c:v>2.5000000000000001E-3</c:v>
                </c:pt>
                <c:pt idx="3">
                  <c:v>7.5600000000000001E-2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7-F745-B76C-F45962865B0E}"/>
            </c:ext>
          </c:extLst>
        </c:ser>
        <c:ser>
          <c:idx val="4"/>
          <c:order val="4"/>
          <c:tx>
            <c:strRef>
              <c:f>Allocation!$G$1</c:f>
              <c:strCache>
                <c:ptCount val="1"/>
                <c:pt idx="0">
                  <c:v>Alternatives</c:v>
                </c:pt>
              </c:strCache>
            </c:strRef>
          </c:tx>
          <c:spPr>
            <a:solidFill>
              <a:srgbClr val="C2282A"/>
            </a:solidFill>
            <a:ln>
              <a:noFill/>
            </a:ln>
            <a:effectLst/>
          </c:spPr>
          <c:invertIfNegative val="0"/>
          <c:cat>
            <c:multiLvlStrRef>
              <c:f>Allocation!$A$2:$B$5</c:f>
              <c:multiLvlStrCache>
                <c:ptCount val="4"/>
                <c:lvl>
                  <c:pt idx="0">
                    <c:v>2001</c:v>
                  </c:pt>
                  <c:pt idx="1">
                    <c:v>2017</c:v>
                  </c:pt>
                  <c:pt idx="2">
                    <c:v>2001</c:v>
                  </c:pt>
                  <c:pt idx="3">
                    <c:v>2017</c:v>
                  </c:pt>
                </c:lvl>
                <c:lvl>
                  <c:pt idx="0">
                    <c:v>TRS</c:v>
                  </c:pt>
                  <c:pt idx="2">
                    <c:v>PERS</c:v>
                  </c:pt>
                </c:lvl>
              </c:multiLvlStrCache>
            </c:multiLvlStrRef>
          </c:cat>
          <c:val>
            <c:numRef>
              <c:f>Allocation!$G$2:$G$5</c:f>
              <c:numCache>
                <c:formatCode>0.0%</c:formatCode>
                <c:ptCount val="4"/>
                <c:pt idx="0">
                  <c:v>7.9899999999999999E-2</c:v>
                </c:pt>
                <c:pt idx="1">
                  <c:v>0.1072</c:v>
                </c:pt>
                <c:pt idx="2">
                  <c:v>5.5599999999999997E-2</c:v>
                </c:pt>
                <c:pt idx="3">
                  <c:v>0.1046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B7-F745-B76C-F4596286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5"/>
        <c:overlap val="100"/>
        <c:axId val="1347304383"/>
        <c:axId val="1347306063"/>
      </c:barChart>
      <c:catAx>
        <c:axId val="1347304383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06063"/>
        <c:crosses val="autoZero"/>
        <c:auto val="1"/>
        <c:lblAlgn val="ctr"/>
        <c:lblOffset val="100"/>
        <c:noMultiLvlLbl val="0"/>
      </c:catAx>
      <c:valAx>
        <c:axId val="134730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0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11067366579177"/>
          <c:y val="1.0423181154888472E-2"/>
          <c:w val="0.85219828424224753"/>
          <c:h val="9.4689266093145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029235928842224E-2"/>
          <c:y val="3.5222949659382462E-2"/>
          <c:w val="0.90899545542918248"/>
          <c:h val="0.88771622414239415"/>
        </c:manualLayout>
      </c:layout>
      <c:lineChart>
        <c:grouping val="standard"/>
        <c:varyColors val="0"/>
        <c:ser>
          <c:idx val="1"/>
          <c:order val="0"/>
          <c:tx>
            <c:strRef>
              <c:f>'Investment Returns'!$C$2</c:f>
              <c:strCache>
                <c:ptCount val="1"/>
                <c:pt idx="0">
                  <c:v>Market Valued Returns (Actual)</c:v>
                </c:pt>
              </c:strCache>
            </c:strRef>
          </c:tx>
          <c:spPr>
            <a:ln w="34925" cap="rnd">
              <a:solidFill>
                <a:srgbClr val="999999"/>
              </a:solidFill>
              <a:round/>
            </a:ln>
            <a:effectLst/>
          </c:spPr>
          <c:marker>
            <c:symbol val="none"/>
          </c:marker>
          <c:cat>
            <c:strRef>
              <c:f>'Investment Returns'!$A$4:$A$21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'Investment Returns'!$C$4:$C$21</c:f>
              <c:numCache>
                <c:formatCode>General</c:formatCode>
                <c:ptCount val="18"/>
                <c:pt idx="0">
                  <c:v>-8.2000000000000003E-2</c:v>
                </c:pt>
                <c:pt idx="1">
                  <c:v>-8.1299999999999997E-2</c:v>
                </c:pt>
                <c:pt idx="2">
                  <c:v>2.3199999999999998E-2</c:v>
                </c:pt>
                <c:pt idx="3">
                  <c:v>0.1721</c:v>
                </c:pt>
                <c:pt idx="4">
                  <c:v>0.11899999999999999</c:v>
                </c:pt>
                <c:pt idx="5">
                  <c:v>0.1351</c:v>
                </c:pt>
                <c:pt idx="6">
                  <c:v>0.2064</c:v>
                </c:pt>
                <c:pt idx="7">
                  <c:v>-5.5500000000000001E-2</c:v>
                </c:pt>
                <c:pt idx="8">
                  <c:v>-0.21970000000000001</c:v>
                </c:pt>
                <c:pt idx="9">
                  <c:v>0.1348</c:v>
                </c:pt>
                <c:pt idx="10">
                  <c:v>0.22520000000000001</c:v>
                </c:pt>
                <c:pt idx="11">
                  <c:v>1.6899999999999998E-2</c:v>
                </c:pt>
                <c:pt idx="12">
                  <c:v>0.13500000000000001</c:v>
                </c:pt>
                <c:pt idx="13">
                  <c:v>0.16500000000000001</c:v>
                </c:pt>
                <c:pt idx="14">
                  <c:v>5.1999999999999998E-2</c:v>
                </c:pt>
                <c:pt idx="15">
                  <c:v>4.0000000000000001E-3</c:v>
                </c:pt>
                <c:pt idx="16">
                  <c:v>0.14099999999999999</c:v>
                </c:pt>
                <c:pt idx="17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B-2147-8C2D-22575600B561}"/>
            </c:ext>
          </c:extLst>
        </c:ser>
        <c:ser>
          <c:idx val="3"/>
          <c:order val="1"/>
          <c:tx>
            <c:strRef>
              <c:f>'Investment Returns'!$E$2</c:f>
              <c:strCache>
                <c:ptCount val="1"/>
                <c:pt idx="0">
                  <c:v>Assumed Rate of Return</c:v>
                </c:pt>
              </c:strCache>
            </c:strRef>
          </c:tx>
          <c:spPr>
            <a:ln w="3492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strRef>
              <c:f>'Investment Returns'!$A$4:$A$21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'Investment Returns'!$E$4:$E$21</c:f>
              <c:numCache>
                <c:formatCode>General</c:formatCode>
                <c:ptCount val="18"/>
                <c:pt idx="0">
                  <c:v>7.7499999999999999E-2</c:v>
                </c:pt>
                <c:pt idx="1">
                  <c:v>7.7499999999999999E-2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7.7499999999999999E-2</c:v>
                </c:pt>
                <c:pt idx="12">
                  <c:v>7.7499999999999999E-2</c:v>
                </c:pt>
                <c:pt idx="13">
                  <c:v>7.7499999999999999E-2</c:v>
                </c:pt>
                <c:pt idx="14">
                  <c:v>7.7499999999999999E-2</c:v>
                </c:pt>
                <c:pt idx="15">
                  <c:v>7.7499999999999999E-2</c:v>
                </c:pt>
                <c:pt idx="16">
                  <c:v>7.4499999999999997E-2</c:v>
                </c:pt>
                <c:pt idx="17">
                  <c:v>7.4499999999999997E-2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B-2147-8C2D-22575600B561}"/>
            </c:ext>
          </c:extLst>
        </c:ser>
        <c:ser>
          <c:idx val="4"/>
          <c:order val="2"/>
          <c:tx>
            <c:strRef>
              <c:f>'Investment Returns'!$H$2</c:f>
              <c:strCache>
                <c:ptCount val="1"/>
                <c:pt idx="0">
                  <c:v>10-Year Rolling Geometric 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'Investment Returns'!$A$4:$A$21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'Investment Returns'!$H$4:$H$21</c:f>
              <c:numCache>
                <c:formatCode>0.00%</c:formatCode>
                <c:ptCount val="18"/>
                <c:pt idx="9">
                  <c:v>2.6285051095003675E-2</c:v>
                </c:pt>
                <c:pt idx="10">
                  <c:v>5.6341722906219305E-2</c:v>
                </c:pt>
                <c:pt idx="11">
                  <c:v>6.7123998372471849E-2</c:v>
                </c:pt>
                <c:pt idx="12">
                  <c:v>7.8247400498375086E-2</c:v>
                </c:pt>
                <c:pt idx="13">
                  <c:v>7.7592464481117895E-2</c:v>
                </c:pt>
                <c:pt idx="14">
                  <c:v>7.0959656458171372E-2</c:v>
                </c:pt>
                <c:pt idx="15">
                  <c:v>5.7896231295695211E-2</c:v>
                </c:pt>
                <c:pt idx="16">
                  <c:v>5.2016379252537881E-2</c:v>
                </c:pt>
                <c:pt idx="17">
                  <c:v>6.7686415904580244E-2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B-2147-8C2D-22575600B561}"/>
            </c:ext>
          </c:extLst>
        </c:ser>
        <c:ser>
          <c:idx val="2"/>
          <c:order val="3"/>
          <c:tx>
            <c:strRef>
              <c:f>'Investment Returns'!$D$2</c:f>
              <c:strCache>
                <c:ptCount val="1"/>
                <c:pt idx="0">
                  <c:v>Actuarially Valued Investment Return (Smoothed by Plan)</c:v>
                </c:pt>
              </c:strCache>
            </c:strRef>
          </c:tx>
          <c:spPr>
            <a:ln w="34925" cap="rnd">
              <a:solidFill>
                <a:srgbClr val="FA6D2C"/>
              </a:solidFill>
              <a:round/>
            </a:ln>
            <a:effectLst/>
          </c:spPr>
          <c:marker>
            <c:symbol val="none"/>
          </c:marker>
          <c:cat>
            <c:strRef>
              <c:f>'Investment Returns'!$A$4:$A$21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'Investment Returns'!$D$4:$D$21</c:f>
              <c:numCache>
                <c:formatCode>0.00%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B-2147-8C2D-22575600B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705648"/>
        <c:axId val="765796880"/>
      </c:lineChart>
      <c:catAx>
        <c:axId val="76570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96880"/>
        <c:crossesAt val="-0.25"/>
        <c:auto val="1"/>
        <c:lblAlgn val="ctr"/>
        <c:lblOffset val="100"/>
        <c:tickLblSkip val="2"/>
        <c:noMultiLvlLbl val="0"/>
      </c:catAx>
      <c:valAx>
        <c:axId val="76579688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8.6879921259842521E-2"/>
          <c:y val="0.66927618364183883"/>
          <c:w val="0.56586687080781573"/>
          <c:h val="0.23448989401169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029235928842224E-2"/>
          <c:y val="3.5222949659382462E-2"/>
          <c:w val="0.90899545542918248"/>
          <c:h val="0.88771622414239415"/>
        </c:manualLayout>
      </c:layout>
      <c:lineChart>
        <c:grouping val="standard"/>
        <c:varyColors val="0"/>
        <c:ser>
          <c:idx val="1"/>
          <c:order val="0"/>
          <c:tx>
            <c:strRef>
              <c:f>'Investment Returns'!$C$2</c:f>
              <c:strCache>
                <c:ptCount val="1"/>
                <c:pt idx="0">
                  <c:v>Market Valued Returns (Actual)</c:v>
                </c:pt>
              </c:strCache>
            </c:strRef>
          </c:tx>
          <c:spPr>
            <a:ln w="34925" cap="rnd">
              <a:solidFill>
                <a:srgbClr val="999999"/>
              </a:solidFill>
              <a:round/>
            </a:ln>
            <a:effectLst/>
          </c:spPr>
          <c:marker>
            <c:symbol val="none"/>
          </c:marker>
          <c:cat>
            <c:strRef>
              <c:f>'Investment Returns'!$A$4:$A$21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'Investment Returns'!$C$4:$C$21</c:f>
              <c:numCache>
                <c:formatCode>General</c:formatCode>
                <c:ptCount val="18"/>
                <c:pt idx="0">
                  <c:v>-8.2000000000000003E-2</c:v>
                </c:pt>
                <c:pt idx="1">
                  <c:v>-8.1299999999999997E-2</c:v>
                </c:pt>
                <c:pt idx="2">
                  <c:v>2.3199999999999998E-2</c:v>
                </c:pt>
                <c:pt idx="3">
                  <c:v>0.1721</c:v>
                </c:pt>
                <c:pt idx="4">
                  <c:v>0.11899999999999999</c:v>
                </c:pt>
                <c:pt idx="5">
                  <c:v>0.1351</c:v>
                </c:pt>
                <c:pt idx="6">
                  <c:v>0.2064</c:v>
                </c:pt>
                <c:pt idx="7">
                  <c:v>-5.5500000000000001E-2</c:v>
                </c:pt>
                <c:pt idx="8">
                  <c:v>-0.21970000000000001</c:v>
                </c:pt>
                <c:pt idx="9">
                  <c:v>0.1348</c:v>
                </c:pt>
                <c:pt idx="10">
                  <c:v>0.22520000000000001</c:v>
                </c:pt>
                <c:pt idx="11">
                  <c:v>1.6899999999999998E-2</c:v>
                </c:pt>
                <c:pt idx="12">
                  <c:v>0.13500000000000001</c:v>
                </c:pt>
                <c:pt idx="13">
                  <c:v>0.16500000000000001</c:v>
                </c:pt>
                <c:pt idx="14">
                  <c:v>5.1999999999999998E-2</c:v>
                </c:pt>
                <c:pt idx="15">
                  <c:v>4.0000000000000001E-3</c:v>
                </c:pt>
                <c:pt idx="16">
                  <c:v>0.14099999999999999</c:v>
                </c:pt>
                <c:pt idx="17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0-3D48-87FD-35D99883FA7C}"/>
            </c:ext>
          </c:extLst>
        </c:ser>
        <c:ser>
          <c:idx val="3"/>
          <c:order val="1"/>
          <c:tx>
            <c:strRef>
              <c:f>'Investment Returns'!$E$2</c:f>
              <c:strCache>
                <c:ptCount val="1"/>
                <c:pt idx="0">
                  <c:v>Assumed Rate of Return</c:v>
                </c:pt>
              </c:strCache>
            </c:strRef>
          </c:tx>
          <c:spPr>
            <a:ln w="3492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strRef>
              <c:f>'Investment Returns'!$A$4:$A$21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'Investment Returns'!$E$4:$E$21</c:f>
              <c:numCache>
                <c:formatCode>General</c:formatCode>
                <c:ptCount val="18"/>
                <c:pt idx="0">
                  <c:v>7.7499999999999999E-2</c:v>
                </c:pt>
                <c:pt idx="1">
                  <c:v>7.7499999999999999E-2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7.7499999999999999E-2</c:v>
                </c:pt>
                <c:pt idx="12">
                  <c:v>7.7499999999999999E-2</c:v>
                </c:pt>
                <c:pt idx="13">
                  <c:v>7.7499999999999999E-2</c:v>
                </c:pt>
                <c:pt idx="14">
                  <c:v>7.7499999999999999E-2</c:v>
                </c:pt>
                <c:pt idx="15">
                  <c:v>7.7499999999999999E-2</c:v>
                </c:pt>
                <c:pt idx="16">
                  <c:v>7.4499999999999997E-2</c:v>
                </c:pt>
                <c:pt idx="17">
                  <c:v>7.4499999999999997E-2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0-3D48-87FD-35D99883FA7C}"/>
            </c:ext>
          </c:extLst>
        </c:ser>
        <c:ser>
          <c:idx val="4"/>
          <c:order val="2"/>
          <c:tx>
            <c:strRef>
              <c:f>'Investment Returns'!$H$2</c:f>
              <c:strCache>
                <c:ptCount val="1"/>
                <c:pt idx="0">
                  <c:v>10-Year Rolling Geometric 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'Investment Returns'!$A$4:$A$21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'Investment Returns'!$H$4:$H$21</c:f>
              <c:numCache>
                <c:formatCode>0.00%</c:formatCode>
                <c:ptCount val="18"/>
                <c:pt idx="9">
                  <c:v>2.6285051095003675E-2</c:v>
                </c:pt>
                <c:pt idx="10">
                  <c:v>5.6341722906219305E-2</c:v>
                </c:pt>
                <c:pt idx="11">
                  <c:v>6.7123998372471849E-2</c:v>
                </c:pt>
                <c:pt idx="12">
                  <c:v>7.8247400498375086E-2</c:v>
                </c:pt>
                <c:pt idx="13">
                  <c:v>7.7592464481117895E-2</c:v>
                </c:pt>
                <c:pt idx="14">
                  <c:v>7.0959656458171372E-2</c:v>
                </c:pt>
                <c:pt idx="15">
                  <c:v>5.7896231295695211E-2</c:v>
                </c:pt>
                <c:pt idx="16">
                  <c:v>5.2016379252537881E-2</c:v>
                </c:pt>
                <c:pt idx="17">
                  <c:v>6.7686415904580244E-2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0-3D48-87FD-35D99883FA7C}"/>
            </c:ext>
          </c:extLst>
        </c:ser>
        <c:ser>
          <c:idx val="2"/>
          <c:order val="3"/>
          <c:tx>
            <c:strRef>
              <c:f>'Investment Returns'!$D$2</c:f>
              <c:strCache>
                <c:ptCount val="1"/>
                <c:pt idx="0">
                  <c:v>Actuarially Valued Investment Return (Smoothed by Plan)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'Investment Returns'!$A$4:$A$21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'Investment Returns'!$D$4:$D$21</c:f>
              <c:numCache>
                <c:formatCode>0.00%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0-3D48-87FD-35D99883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705648"/>
        <c:axId val="765796880"/>
      </c:lineChart>
      <c:catAx>
        <c:axId val="76570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96880"/>
        <c:crossesAt val="-0.25"/>
        <c:auto val="1"/>
        <c:lblAlgn val="ctr"/>
        <c:lblOffset val="100"/>
        <c:tickLblSkip val="2"/>
        <c:noMultiLvlLbl val="0"/>
      </c:catAx>
      <c:valAx>
        <c:axId val="76579688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8.6879921259842521E-2"/>
          <c:y val="0.66927618364183883"/>
          <c:w val="0.56586687080781573"/>
          <c:h val="0.23448989401169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029235928842224E-2"/>
          <c:y val="3.5222949659382462E-2"/>
          <c:w val="0.90899545542918248"/>
          <c:h val="0.88771622414239415"/>
        </c:manualLayout>
      </c:layout>
      <c:lineChart>
        <c:grouping val="standard"/>
        <c:varyColors val="0"/>
        <c:ser>
          <c:idx val="1"/>
          <c:order val="0"/>
          <c:tx>
            <c:strRef>
              <c:f>'Investment Returns'!$C$2</c:f>
              <c:strCache>
                <c:ptCount val="1"/>
                <c:pt idx="0">
                  <c:v>Market Valued Returns (Actual)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'Investment Returns'!$A$4:$A$21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'Investment Returns'!$C$4:$C$21</c:f>
              <c:numCache>
                <c:formatCode>General</c:formatCode>
                <c:ptCount val="18"/>
                <c:pt idx="0">
                  <c:v>-8.2000000000000003E-2</c:v>
                </c:pt>
                <c:pt idx="1">
                  <c:v>-8.1299999999999997E-2</c:v>
                </c:pt>
                <c:pt idx="2">
                  <c:v>2.3199999999999998E-2</c:v>
                </c:pt>
                <c:pt idx="3">
                  <c:v>0.1721</c:v>
                </c:pt>
                <c:pt idx="4">
                  <c:v>0.11899999999999999</c:v>
                </c:pt>
                <c:pt idx="5">
                  <c:v>0.1351</c:v>
                </c:pt>
                <c:pt idx="6">
                  <c:v>0.2064</c:v>
                </c:pt>
                <c:pt idx="7">
                  <c:v>-5.5500000000000001E-2</c:v>
                </c:pt>
                <c:pt idx="8">
                  <c:v>-0.21970000000000001</c:v>
                </c:pt>
                <c:pt idx="9">
                  <c:v>0.1348</c:v>
                </c:pt>
                <c:pt idx="10">
                  <c:v>0.22520000000000001</c:v>
                </c:pt>
                <c:pt idx="11">
                  <c:v>1.6899999999999998E-2</c:v>
                </c:pt>
                <c:pt idx="12">
                  <c:v>0.13500000000000001</c:v>
                </c:pt>
                <c:pt idx="13">
                  <c:v>0.16500000000000001</c:v>
                </c:pt>
                <c:pt idx="14">
                  <c:v>5.1999999999999998E-2</c:v>
                </c:pt>
                <c:pt idx="15">
                  <c:v>4.0000000000000001E-3</c:v>
                </c:pt>
                <c:pt idx="16">
                  <c:v>0.14099999999999999</c:v>
                </c:pt>
                <c:pt idx="17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A-9248-8818-4280119D8A9E}"/>
            </c:ext>
          </c:extLst>
        </c:ser>
        <c:ser>
          <c:idx val="3"/>
          <c:order val="1"/>
          <c:tx>
            <c:strRef>
              <c:f>'Investment Returns'!$E$2</c:f>
              <c:strCache>
                <c:ptCount val="1"/>
                <c:pt idx="0">
                  <c:v>Assumed Rate of Return</c:v>
                </c:pt>
              </c:strCache>
            </c:strRef>
          </c:tx>
          <c:spPr>
            <a:ln w="34925" cap="rnd">
              <a:solidFill>
                <a:srgbClr val="0066CC"/>
              </a:solidFill>
              <a:round/>
            </a:ln>
            <a:effectLst/>
          </c:spPr>
          <c:marker>
            <c:symbol val="none"/>
          </c:marker>
          <c:cat>
            <c:strRef>
              <c:f>'Investment Returns'!$A$4:$A$21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'Investment Returns'!$E$4:$E$21</c:f>
              <c:numCache>
                <c:formatCode>General</c:formatCode>
                <c:ptCount val="18"/>
                <c:pt idx="0">
                  <c:v>7.7499999999999999E-2</c:v>
                </c:pt>
                <c:pt idx="1">
                  <c:v>7.7499999999999999E-2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7.7499999999999999E-2</c:v>
                </c:pt>
                <c:pt idx="12">
                  <c:v>7.7499999999999999E-2</c:v>
                </c:pt>
                <c:pt idx="13">
                  <c:v>7.7499999999999999E-2</c:v>
                </c:pt>
                <c:pt idx="14">
                  <c:v>7.7499999999999999E-2</c:v>
                </c:pt>
                <c:pt idx="15">
                  <c:v>7.7499999999999999E-2</c:v>
                </c:pt>
                <c:pt idx="16">
                  <c:v>7.4499999999999997E-2</c:v>
                </c:pt>
                <c:pt idx="17">
                  <c:v>7.4499999999999997E-2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A-9248-8818-4280119D8A9E}"/>
            </c:ext>
          </c:extLst>
        </c:ser>
        <c:ser>
          <c:idx val="4"/>
          <c:order val="2"/>
          <c:tx>
            <c:strRef>
              <c:f>'Investment Returns'!$H$2</c:f>
              <c:strCache>
                <c:ptCount val="1"/>
                <c:pt idx="0">
                  <c:v>10-Year Rolling Geometric 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'Investment Returns'!$A$4:$A$21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'Investment Returns'!$H$4:$H$21</c:f>
              <c:numCache>
                <c:formatCode>0.00%</c:formatCode>
                <c:ptCount val="18"/>
                <c:pt idx="9">
                  <c:v>2.6285051095003675E-2</c:v>
                </c:pt>
                <c:pt idx="10">
                  <c:v>5.6341722906219305E-2</c:v>
                </c:pt>
                <c:pt idx="11">
                  <c:v>6.7123998372471849E-2</c:v>
                </c:pt>
                <c:pt idx="12">
                  <c:v>7.8247400498375086E-2</c:v>
                </c:pt>
                <c:pt idx="13">
                  <c:v>7.7592464481117895E-2</c:v>
                </c:pt>
                <c:pt idx="14">
                  <c:v>7.0959656458171372E-2</c:v>
                </c:pt>
                <c:pt idx="15">
                  <c:v>5.7896231295695211E-2</c:v>
                </c:pt>
                <c:pt idx="16">
                  <c:v>5.2016379252537881E-2</c:v>
                </c:pt>
                <c:pt idx="17">
                  <c:v>6.7686415904580244E-2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DA-9248-8818-4280119D8A9E}"/>
            </c:ext>
          </c:extLst>
        </c:ser>
        <c:ser>
          <c:idx val="2"/>
          <c:order val="3"/>
          <c:tx>
            <c:strRef>
              <c:f>'Investment Returns'!$D$2</c:f>
              <c:strCache>
                <c:ptCount val="1"/>
                <c:pt idx="0">
                  <c:v>Actuarially Valued Investment Return (Smoothed by Plan)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'Investment Returns'!$A$4:$A$21</c:f>
              <c:strCach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strCache>
            </c:strRef>
          </c:cat>
          <c:val>
            <c:numRef>
              <c:f>'Investment Returns'!$D$4:$D$21</c:f>
              <c:numCache>
                <c:formatCode>0.00%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DA-9248-8818-4280119D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705648"/>
        <c:axId val="765796880"/>
      </c:lineChart>
      <c:catAx>
        <c:axId val="76570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96880"/>
        <c:crossesAt val="-0.25"/>
        <c:auto val="1"/>
        <c:lblAlgn val="ctr"/>
        <c:lblOffset val="100"/>
        <c:tickLblSkip val="2"/>
        <c:noMultiLvlLbl val="0"/>
      </c:catAx>
      <c:valAx>
        <c:axId val="765796880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8.6879921259842521E-2"/>
          <c:y val="0.66927618364183883"/>
          <c:w val="0.56586687080781573"/>
          <c:h val="0.234489894011690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2824438611842"/>
          <c:y val="3.5289033992702133E-2"/>
          <c:w val="0.85689644697190626"/>
          <c:h val="0.88032013118435237"/>
        </c:manualLayout>
      </c:layout>
      <c:lineChart>
        <c:grouping val="standard"/>
        <c:varyColors val="0"/>
        <c:ser>
          <c:idx val="5"/>
          <c:order val="0"/>
          <c:tx>
            <c:strRef>
              <c:f>'Investment Returns'!$F$2</c:f>
              <c:strCache>
                <c:ptCount val="1"/>
                <c:pt idx="0">
                  <c:v>TRS Investment Return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'Investment Returns'!$A$3:$A$21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'Investment Returns'!$F$3:$F$21</c:f>
              <c:numCache>
                <c:formatCode>_("$"* #,##0.00_);_("$"* \(#,##0.00\);_("$"* "-"??_);_(@_)</c:formatCode>
                <c:ptCount val="19"/>
                <c:pt idx="0">
                  <c:v>1</c:v>
                </c:pt>
                <c:pt idx="1">
                  <c:v>0.91800000000000004</c:v>
                </c:pt>
                <c:pt idx="2">
                  <c:v>0.84336659999999997</c:v>
                </c:pt>
                <c:pt idx="3">
                  <c:v>0.86293270512000009</c:v>
                </c:pt>
                <c:pt idx="4">
                  <c:v>1.011443423671152</c:v>
                </c:pt>
                <c:pt idx="5">
                  <c:v>1.1318051910880191</c:v>
                </c:pt>
                <c:pt idx="6">
                  <c:v>1.2847120724040104</c:v>
                </c:pt>
                <c:pt idx="7">
                  <c:v>1.5498766441481981</c:v>
                </c:pt>
                <c:pt idx="8">
                  <c:v>1.4638584903979732</c:v>
                </c:pt>
                <c:pt idx="9">
                  <c:v>1.1422487800575385</c:v>
                </c:pt>
                <c:pt idx="10">
                  <c:v>1.2962239156092947</c:v>
                </c:pt>
                <c:pt idx="11">
                  <c:v>1.5881335414045079</c:v>
                </c:pt>
                <c:pt idx="12">
                  <c:v>1.614972998254244</c:v>
                </c:pt>
                <c:pt idx="13">
                  <c:v>1.8329943530185671</c:v>
                </c:pt>
                <c:pt idx="14">
                  <c:v>2.1354384212666306</c:v>
                </c:pt>
                <c:pt idx="15">
                  <c:v>2.2464812191724954</c:v>
                </c:pt>
                <c:pt idx="16">
                  <c:v>2.2554671440491854</c:v>
                </c:pt>
                <c:pt idx="17">
                  <c:v>2.5734880113601206</c:v>
                </c:pt>
                <c:pt idx="18">
                  <c:v>2.817969372439332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42-0B4A-9511-F73799FC5458}"/>
            </c:ext>
          </c:extLst>
        </c:ser>
        <c:ser>
          <c:idx val="6"/>
          <c:order val="1"/>
          <c:tx>
            <c:strRef>
              <c:f>'Investment Returns'!$G$2</c:f>
              <c:strCache>
                <c:ptCount val="1"/>
                <c:pt idx="0">
                  <c:v>TRS Assumed Return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'Investment Returns'!$A$3:$A$21</c:f>
              <c:strCach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strCache>
            </c:strRef>
          </c:cat>
          <c:val>
            <c:numRef>
              <c:f>'Investment Returns'!$G$3:$G$21</c:f>
              <c:numCache>
                <c:formatCode>_("$"* #,##0.00_);_("$"* \(#,##0.00\);_("$"* "-"??_);_(@_)</c:formatCode>
                <c:ptCount val="19"/>
                <c:pt idx="0">
                  <c:v>1</c:v>
                </c:pt>
                <c:pt idx="1">
                  <c:v>1.0774999999999999</c:v>
                </c:pt>
                <c:pt idx="2">
                  <c:v>1.1610062499999998</c:v>
                </c:pt>
                <c:pt idx="3">
                  <c:v>1.2538867499999999</c:v>
                </c:pt>
                <c:pt idx="4">
                  <c:v>1.3541976900000001</c:v>
                </c:pt>
                <c:pt idx="5">
                  <c:v>1.4625335052000001</c:v>
                </c:pt>
                <c:pt idx="6">
                  <c:v>1.5795361856160002</c:v>
                </c:pt>
                <c:pt idx="7">
                  <c:v>1.7058990804652803</c:v>
                </c:pt>
                <c:pt idx="8">
                  <c:v>1.8423710069025028</c:v>
                </c:pt>
                <c:pt idx="9">
                  <c:v>1.9897606874547031</c:v>
                </c:pt>
                <c:pt idx="10">
                  <c:v>2.1489415424510794</c:v>
                </c:pt>
                <c:pt idx="11">
                  <c:v>2.320856865847166</c:v>
                </c:pt>
                <c:pt idx="12">
                  <c:v>2.5007232729503213</c:v>
                </c:pt>
                <c:pt idx="13">
                  <c:v>2.6945293266039707</c:v>
                </c:pt>
                <c:pt idx="14">
                  <c:v>2.903355349415778</c:v>
                </c:pt>
                <c:pt idx="15">
                  <c:v>3.1283653889955003</c:v>
                </c:pt>
                <c:pt idx="16">
                  <c:v>3.3708137066426511</c:v>
                </c:pt>
                <c:pt idx="17">
                  <c:v>3.6219393277875285</c:v>
                </c:pt>
                <c:pt idx="18">
                  <c:v>3.8917738077076995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42-0B4A-9511-F73799FC5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082735"/>
        <c:axId val="485243455"/>
      </c:lineChart>
      <c:catAx>
        <c:axId val="531082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43455"/>
        <c:crosses val="autoZero"/>
        <c:auto val="1"/>
        <c:lblAlgn val="ctr"/>
        <c:lblOffset val="100"/>
        <c:tickLblSkip val="2"/>
        <c:noMultiLvlLbl val="0"/>
      </c:catAx>
      <c:valAx>
        <c:axId val="4852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Index Values (2000 = $1.00)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8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80047632934772"/>
          <c:y val="5.7040243327932963E-2"/>
          <c:w val="0.28434966462525518"/>
          <c:h val="0.16643276063287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spPr>
            <a:solidFill>
              <a:srgbClr val="CC0000"/>
            </a:solidFill>
            <a:ln>
              <a:noFill/>
            </a:ln>
            <a:effectLst/>
          </c:spPr>
          <c:cat>
            <c:strRef>
              <c:f>'Mountain of Debt'!$A$4:$A$20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cat>
          <c:val>
            <c:numRef>
              <c:f>'Mountain of Debt'!#REF!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'Mountain of Debt'!#REF!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3B9-B342-8AEE-D72EC780C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73104"/>
        <c:axId val="771259920"/>
      </c:areaChart>
      <c:lineChart>
        <c:grouping val="standard"/>
        <c:varyColors val="0"/>
        <c:ser>
          <c:idx val="2"/>
          <c:order val="1"/>
          <c:spPr>
            <a:ln w="50800" cap="rnd">
              <a:solidFill>
                <a:srgbClr val="3300FF"/>
              </a:solidFill>
              <a:round/>
            </a:ln>
            <a:effectLst/>
          </c:spPr>
          <c:marker>
            <c:symbol val="none"/>
          </c:marker>
          <c:cat>
            <c:strRef>
              <c:f>'Mountain of Debt'!$A$4:$A$20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cat>
          <c:val>
            <c:numRef>
              <c:f>'Mountain of Debt'!#REF!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'Mountain of Debt'!#REF!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3B9-B342-8AEE-D72EC780C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964128"/>
        <c:axId val="705090416"/>
      </c:lineChart>
      <c:catAx>
        <c:axId val="73477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599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7125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Unfunded Liability, Actuarial Value (in $Millions)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0#,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73104"/>
        <c:crosses val="autoZero"/>
        <c:crossBetween val="between"/>
      </c:valAx>
      <c:valAx>
        <c:axId val="705090416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Funded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64128"/>
        <c:crosses val="max"/>
        <c:crossBetween val="between"/>
      </c:valAx>
      <c:catAx>
        <c:axId val="76896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509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tx>
            <c:strRef>
              <c:f>'Mountain of Debt'!$B$2</c:f>
              <c:strCache>
                <c:ptCount val="1"/>
                <c:pt idx="0">
                  <c:v>UAAL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'Mountain of Debt'!$A$4:$A$20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cat>
          <c:val>
            <c:numRef>
              <c:f>'Mountain of Debt'!$B$4:$B$20</c:f>
              <c:numCache>
                <c:formatCode>General</c:formatCode>
                <c:ptCount val="17"/>
                <c:pt idx="0">
                  <c:v>14256819000</c:v>
                </c:pt>
                <c:pt idx="1">
                  <c:v>17037142000</c:v>
                </c:pt>
                <c:pt idx="2">
                  <c:v>17613627000</c:v>
                </c:pt>
                <c:pt idx="3">
                  <c:v>20051544000</c:v>
                </c:pt>
                <c:pt idx="4">
                  <c:v>19362974000</c:v>
                </c:pt>
                <c:pt idx="5">
                  <c:v>14455131000</c:v>
                </c:pt>
                <c:pt idx="6">
                  <c:v>18234340000</c:v>
                </c:pt>
                <c:pt idx="7">
                  <c:v>36538096000</c:v>
                </c:pt>
                <c:pt idx="8">
                  <c:v>38774410000</c:v>
                </c:pt>
                <c:pt idx="9">
                  <c:v>40655709000</c:v>
                </c:pt>
                <c:pt idx="10">
                  <c:v>46812333000</c:v>
                </c:pt>
                <c:pt idx="11">
                  <c:v>31775907000</c:v>
                </c:pt>
                <c:pt idx="12">
                  <c:v>29509882000</c:v>
                </c:pt>
                <c:pt idx="13">
                  <c:v>30358654000</c:v>
                </c:pt>
                <c:pt idx="14">
                  <c:v>30641786000</c:v>
                </c:pt>
                <c:pt idx="15">
                  <c:v>23910228000</c:v>
                </c:pt>
                <c:pt idx="16">
                  <c:v>23788698000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D-E64B-84E1-EAAD45A5F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73104"/>
        <c:axId val="771259920"/>
      </c:areaChart>
      <c:lineChart>
        <c:grouping val="standard"/>
        <c:varyColors val="0"/>
        <c:ser>
          <c:idx val="2"/>
          <c:order val="1"/>
          <c:tx>
            <c:strRef>
              <c:f>'Mountain of Debt'!$C$2</c:f>
              <c:strCache>
                <c:ptCount val="1"/>
                <c:pt idx="0">
                  <c:v>Funded Ratio</c:v>
                </c:pt>
              </c:strCache>
            </c:strRef>
          </c:tx>
          <c:spPr>
            <a:ln w="50800" cap="rnd">
              <a:noFill/>
              <a:round/>
            </a:ln>
            <a:effectLst/>
          </c:spPr>
          <c:marker>
            <c:symbol val="none"/>
          </c:marker>
          <c:val>
            <c:numRef>
              <c:f>'Mountain of Debt'!$C$4:$C$20</c:f>
              <c:numCache>
                <c:formatCode>General</c:formatCode>
                <c:ptCount val="17"/>
                <c:pt idx="0">
                  <c:v>0.77400000000000002</c:v>
                </c:pt>
                <c:pt idx="1">
                  <c:v>0.74199999999999999</c:v>
                </c:pt>
                <c:pt idx="2">
                  <c:v>0.748</c:v>
                </c:pt>
                <c:pt idx="3">
                  <c:v>0.72799999999999998</c:v>
                </c:pt>
                <c:pt idx="4">
                  <c:v>0.75</c:v>
                </c:pt>
                <c:pt idx="5">
                  <c:v>0.82199999999999995</c:v>
                </c:pt>
                <c:pt idx="6">
                  <c:v>0.79100000000000004</c:v>
                </c:pt>
                <c:pt idx="7">
                  <c:v>0.6</c:v>
                </c:pt>
                <c:pt idx="8">
                  <c:v>0.59099999999999997</c:v>
                </c:pt>
                <c:pt idx="9">
                  <c:v>0.58799999999999997</c:v>
                </c:pt>
                <c:pt idx="10">
                  <c:v>0.56000000000000005</c:v>
                </c:pt>
                <c:pt idx="11">
                  <c:v>0.66300000000000003</c:v>
                </c:pt>
                <c:pt idx="12">
                  <c:v>0.69299999999999995</c:v>
                </c:pt>
                <c:pt idx="13">
                  <c:v>0.69299999999999995</c:v>
                </c:pt>
                <c:pt idx="14">
                  <c:v>0.69599999999999995</c:v>
                </c:pt>
                <c:pt idx="15">
                  <c:v>0.751</c:v>
                </c:pt>
                <c:pt idx="16">
                  <c:v>0.755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D-E64B-84E1-EAAD45A5F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964128"/>
        <c:axId val="705090416"/>
      </c:lineChart>
      <c:catAx>
        <c:axId val="73477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599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7125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Unfunded Liability, Actuarial Value (in $Millions)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0#,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73104"/>
        <c:crosses val="autoZero"/>
        <c:crossBetween val="between"/>
      </c:valAx>
      <c:valAx>
        <c:axId val="705090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Funded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64128"/>
        <c:crosses val="max"/>
        <c:crossBetween val="between"/>
      </c:valAx>
      <c:catAx>
        <c:axId val="768964128"/>
        <c:scaling>
          <c:orientation val="minMax"/>
        </c:scaling>
        <c:delete val="1"/>
        <c:axPos val="b"/>
        <c:majorTickMark val="none"/>
        <c:minorTickMark val="none"/>
        <c:tickLblPos val="nextTo"/>
        <c:crossAx val="70509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tx>
            <c:strRef>
              <c:f>'Mountain of Debt'!$B$2</c:f>
              <c:strCache>
                <c:ptCount val="1"/>
                <c:pt idx="0">
                  <c:v>UAAL</c:v>
                </c:pt>
              </c:strCache>
            </c:strRef>
          </c:tx>
          <c:spPr>
            <a:solidFill>
              <a:srgbClr val="CC0000"/>
            </a:solidFill>
            <a:ln>
              <a:noFill/>
            </a:ln>
            <a:effectLst/>
          </c:spPr>
          <c:cat>
            <c:strRef>
              <c:f>'Mountain of Debt'!$A$4:$A$22</c:f>
              <c:strCach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strCache>
            </c:strRef>
          </c:cat>
          <c:val>
            <c:numRef>
              <c:f>'Mountain of Debt'!$B$4:$B$22</c:f>
              <c:numCache>
                <c:formatCode>General</c:formatCode>
                <c:ptCount val="19"/>
                <c:pt idx="0">
                  <c:v>14256819000</c:v>
                </c:pt>
                <c:pt idx="1">
                  <c:v>17037142000</c:v>
                </c:pt>
                <c:pt idx="2">
                  <c:v>17613627000</c:v>
                </c:pt>
                <c:pt idx="3">
                  <c:v>20051544000</c:v>
                </c:pt>
                <c:pt idx="4">
                  <c:v>19362974000</c:v>
                </c:pt>
                <c:pt idx="5">
                  <c:v>14455131000</c:v>
                </c:pt>
                <c:pt idx="6">
                  <c:v>18234340000</c:v>
                </c:pt>
                <c:pt idx="7">
                  <c:v>36538096000</c:v>
                </c:pt>
                <c:pt idx="8">
                  <c:v>38774410000</c:v>
                </c:pt>
                <c:pt idx="9">
                  <c:v>40655709000</c:v>
                </c:pt>
                <c:pt idx="10">
                  <c:v>46812333000</c:v>
                </c:pt>
                <c:pt idx="11">
                  <c:v>31775907000</c:v>
                </c:pt>
                <c:pt idx="12">
                  <c:v>29509882000</c:v>
                </c:pt>
                <c:pt idx="13">
                  <c:v>30358654000</c:v>
                </c:pt>
                <c:pt idx="14">
                  <c:v>30641786000</c:v>
                </c:pt>
                <c:pt idx="15">
                  <c:v>23910228000</c:v>
                </c:pt>
                <c:pt idx="16">
                  <c:v>23788698000</c:v>
                </c:pt>
                <c:pt idx="17">
                  <c:v>23429109000</c:v>
                </c:pt>
                <c:pt idx="18">
                  <c:v>22314607000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4-E041-81AC-C811FA248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73104"/>
        <c:axId val="771259920"/>
      </c:areaChart>
      <c:lineChart>
        <c:grouping val="standard"/>
        <c:varyColors val="0"/>
        <c:ser>
          <c:idx val="2"/>
          <c:order val="1"/>
          <c:tx>
            <c:strRef>
              <c:f>'Mountain of Debt'!$C$2</c:f>
              <c:strCache>
                <c:ptCount val="1"/>
                <c:pt idx="0">
                  <c:v>Funded Ratio</c:v>
                </c:pt>
              </c:strCache>
            </c:strRef>
          </c:tx>
          <c:spPr>
            <a:ln w="50800" cap="rnd">
              <a:solidFill>
                <a:srgbClr val="3300FF"/>
              </a:solidFill>
              <a:round/>
            </a:ln>
            <a:effectLst/>
          </c:spPr>
          <c:marker>
            <c:symbol val="none"/>
          </c:marker>
          <c:cat>
            <c:strRef>
              <c:f>'Mountain of Debt'!$A$4:$A$21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cat>
          <c:val>
            <c:numRef>
              <c:f>'Mountain of Debt'!$C$4:$C$22</c:f>
              <c:numCache>
                <c:formatCode>General</c:formatCode>
                <c:ptCount val="19"/>
                <c:pt idx="0">
                  <c:v>0.77400000000000002</c:v>
                </c:pt>
                <c:pt idx="1">
                  <c:v>0.74199999999999999</c:v>
                </c:pt>
                <c:pt idx="2">
                  <c:v>0.748</c:v>
                </c:pt>
                <c:pt idx="3">
                  <c:v>0.72799999999999998</c:v>
                </c:pt>
                <c:pt idx="4">
                  <c:v>0.75</c:v>
                </c:pt>
                <c:pt idx="5">
                  <c:v>0.82199999999999995</c:v>
                </c:pt>
                <c:pt idx="6">
                  <c:v>0.79100000000000004</c:v>
                </c:pt>
                <c:pt idx="7">
                  <c:v>0.6</c:v>
                </c:pt>
                <c:pt idx="8">
                  <c:v>0.59099999999999997</c:v>
                </c:pt>
                <c:pt idx="9">
                  <c:v>0.58799999999999997</c:v>
                </c:pt>
                <c:pt idx="10">
                  <c:v>0.56000000000000005</c:v>
                </c:pt>
                <c:pt idx="11">
                  <c:v>0.66300000000000003</c:v>
                </c:pt>
                <c:pt idx="12">
                  <c:v>0.69299999999999995</c:v>
                </c:pt>
                <c:pt idx="13">
                  <c:v>0.69299999999999995</c:v>
                </c:pt>
                <c:pt idx="14">
                  <c:v>0.69599999999999995</c:v>
                </c:pt>
                <c:pt idx="15">
                  <c:v>0.751</c:v>
                </c:pt>
                <c:pt idx="16">
                  <c:v>0.755</c:v>
                </c:pt>
                <c:pt idx="17">
                  <c:v>0.76100000000000001</c:v>
                </c:pt>
                <c:pt idx="18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4-E041-81AC-C811FA248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964128"/>
        <c:axId val="705090416"/>
      </c:lineChart>
      <c:catAx>
        <c:axId val="73477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599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771259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Unfunded Liability, Actuarial Value (in $Millions)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0#,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73104"/>
        <c:crosses val="autoZero"/>
        <c:crossBetween val="between"/>
      </c:valAx>
      <c:valAx>
        <c:axId val="7050904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Funded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64128"/>
        <c:crosses val="max"/>
        <c:crossBetween val="between"/>
      </c:valAx>
      <c:catAx>
        <c:axId val="76896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5090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>
        <cx:plotSurface>
          <cx:spPr>
            <a:noFill/>
            <a:ln>
              <a:noFill/>
            </a:ln>
          </cx:spPr>
        </cx:plotSurface>
      </cx:plotAreaRegion>
    </cx:plotArea>
  </cx:chart>
  <cx:spPr>
    <a:ln>
      <a:noFill/>
    </a:ln>
  </cx:spPr>
  <cx:fmtOvrs>
    <cx:fmtOvr idx="2">
      <cx:spPr>
        <a:solidFill>
          <a:srgbClr val="FF6633"/>
        </a:solidFill>
      </cx:spPr>
    </cx:fmtOvr>
    <cx:fmtOvr idx="1">
      <cx:spPr>
        <a:solidFill>
          <a:srgbClr val="639800"/>
        </a:solidFill>
      </cx:spPr>
    </cx:fmtOvr>
    <cx:fmtOvr idx="0">
      <cx:spPr>
        <a:solidFill>
          <a:srgbClr val="E00001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64153</xdr:colOff>
      <xdr:row>30</xdr:row>
      <xdr:rowOff>81699</xdr:rowOff>
    </xdr:from>
    <xdr:to>
      <xdr:col>6</xdr:col>
      <xdr:colOff>267092</xdr:colOff>
      <xdr:row>57</xdr:row>
      <xdr:rowOff>77079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636307</xdr:colOff>
      <xdr:row>28</xdr:row>
      <xdr:rowOff>219955</xdr:rowOff>
    </xdr:from>
    <xdr:to>
      <xdr:col>8</xdr:col>
      <xdr:colOff>0</xdr:colOff>
      <xdr:row>55</xdr:row>
      <xdr:rowOff>70700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471340</xdr:colOff>
      <xdr:row>25</xdr:row>
      <xdr:rowOff>104742</xdr:rowOff>
    </xdr:from>
    <xdr:ext cx="2841134" cy="129618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5302577" y="4438453"/>
          <a:ext cx="2841134" cy="12961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5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Average Market Valued Returns</a:t>
          </a:r>
          <a:r>
            <a:rPr lang="en-US" sz="1500">
              <a:effectLst/>
            </a:rPr>
            <a:t> </a:t>
          </a:r>
        </a:p>
        <a:p>
          <a:pPr algn="ctr"/>
          <a:r>
            <a:rPr lang="en-US" sz="15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18-Years (2001-18): 6.1%</a:t>
          </a:r>
          <a:r>
            <a:rPr lang="en-US" sz="1500">
              <a:effectLst/>
            </a:rPr>
            <a:t> </a:t>
          </a:r>
        </a:p>
        <a:p>
          <a:pPr algn="ctr"/>
          <a:r>
            <a:rPr lang="en-US" sz="15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15-Years (2004-18): 7.8%</a:t>
          </a:r>
          <a:r>
            <a:rPr lang="en-US" sz="1500">
              <a:effectLst/>
            </a:rPr>
            <a:t> </a:t>
          </a:r>
        </a:p>
        <a:p>
          <a:pPr algn="ctr"/>
          <a:r>
            <a:rPr lang="en-US" sz="15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10-Years (2009-18): 7.3%</a:t>
          </a:r>
        </a:p>
        <a:p>
          <a:pPr algn="ctr"/>
          <a:r>
            <a:rPr lang="en-US" sz="1500">
              <a:effectLst/>
            </a:rPr>
            <a:t> </a:t>
          </a:r>
          <a:r>
            <a:rPr lang="en-US" sz="15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5-Years (2004-18): 8.9%</a:t>
          </a:r>
          <a:r>
            <a:rPr lang="en-US" sz="1500">
              <a:effectLst/>
            </a:rPr>
            <a:t> </a:t>
          </a:r>
          <a:endParaRPr lang="en-US" sz="1500"/>
        </a:p>
      </xdr:txBody>
    </xdr:sp>
    <xdr:clientData/>
  </xdr:oneCellAnchor>
  <xdr:twoCellAnchor>
    <xdr:from>
      <xdr:col>0</xdr:col>
      <xdr:colOff>170206</xdr:colOff>
      <xdr:row>58</xdr:row>
      <xdr:rowOff>183299</xdr:rowOff>
    </xdr:from>
    <xdr:to>
      <xdr:col>6</xdr:col>
      <xdr:colOff>583414</xdr:colOff>
      <xdr:row>83</xdr:row>
      <xdr:rowOff>156402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6</xdr:col>
      <xdr:colOff>413208</xdr:colOff>
      <xdr:row>109</xdr:row>
      <xdr:rowOff>169495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6</xdr:col>
      <xdr:colOff>413208</xdr:colOff>
      <xdr:row>135</xdr:row>
      <xdr:rowOff>169495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633691</xdr:colOff>
      <xdr:row>1</xdr:row>
      <xdr:rowOff>173348</xdr:rowOff>
    </xdr:from>
    <xdr:to>
      <xdr:col>20</xdr:col>
      <xdr:colOff>614837</xdr:colOff>
      <xdr:row>29</xdr:row>
      <xdr:rowOff>137307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0.1372</cdr:x>
      <cdr:y>0.28499</cdr:y>
    </cdr:from>
    <cdr:to>
      <cdr:x>0.28241</cdr:x>
      <cdr:y>0.39222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129098" y="1391598"/>
          <a:ext cx="1195020" cy="523593"/>
        </a:xfrm>
        <a:prstGeom xmlns:a="http://schemas.openxmlformats.org/drawingml/2006/main" prst="rect">
          <a:avLst/>
        </a:prstGeom>
        <a:ln xmlns:a="http://schemas.openxmlformats.org/drawingml/2006/main" w="34925" cmpd="sng">
          <a:solidFill>
            <a:srgbClr val="2B3DFF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lIns="91440" tIns="45720" rIns="91440" bIns="4572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200" b="1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FYE 2002:</a:t>
          </a:r>
        </a:p>
        <a:p xmlns:a="http://schemas.openxmlformats.org/drawingml/2006/main">
          <a:pPr algn="ctr"/>
          <a:r>
            <a:rPr lang="en-US" sz="1200" b="1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87.1%</a:t>
          </a:r>
          <a:r>
            <a:rPr lang="en-US" sz="1200" b="1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 </a:t>
          </a:r>
          <a:r>
            <a:rPr lang="en-US" sz="1200" b="1" i="0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Funded</a:t>
          </a:r>
        </a:p>
      </cdr:txBody>
    </cdr:sp>
  </cdr:relSizeAnchor>
  <cdr:relSizeAnchor xmlns:cdr="http://schemas.openxmlformats.org/drawingml/2006/chartDrawing">
    <cdr:from>
      <cdr:x>0.68827</cdr:x>
      <cdr:y>0.37659</cdr:y>
    </cdr:from>
    <cdr:to>
      <cdr:x>0.8279</cdr:x>
      <cdr:y>0.48325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5664196" y="1838849"/>
          <a:ext cx="1149099" cy="520810"/>
        </a:xfrm>
        <a:prstGeom xmlns:a="http://schemas.openxmlformats.org/drawingml/2006/main" prst="rect">
          <a:avLst/>
        </a:prstGeom>
        <a:ln xmlns:a="http://schemas.openxmlformats.org/drawingml/2006/main" w="34925" cmpd="sng">
          <a:solidFill>
            <a:srgbClr val="2B3DFF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lIns="91440" tIns="45720" rIns="91440" bIns="4572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FYE 2018:</a:t>
          </a:r>
        </a:p>
        <a:p xmlns:a="http://schemas.openxmlformats.org/drawingml/2006/main">
          <a:pPr algn="ctr"/>
          <a:r>
            <a:rPr lang="en-US" sz="1200" b="1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68.6%</a:t>
          </a:r>
          <a:r>
            <a:rPr lang="en-US" sz="1200" b="1" cap="none" spc="0" baseline="0">
              <a:ln w="12700">
                <a:noFill/>
                <a:prstDash val="solid"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 </a:t>
          </a:r>
          <a:r>
            <a:rPr lang="en-US" sz="1200" b="1" i="0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Funded</a:t>
          </a:r>
        </a:p>
      </cdr:txBody>
    </cdr:sp>
  </cdr:relSizeAnchor>
  <cdr:relSizeAnchor xmlns:cdr="http://schemas.openxmlformats.org/drawingml/2006/chartDrawing">
    <cdr:from>
      <cdr:x>0.15038</cdr:x>
      <cdr:y>0.59889</cdr:y>
    </cdr:from>
    <cdr:to>
      <cdr:x>0.25465</cdr:x>
      <cdr:y>0.70171</cdr:y>
    </cdr:to>
    <cdr:sp macro="" textlink="">
      <cdr:nvSpPr>
        <cdr:cNvPr id="23" name="Rectangle 22"/>
        <cdr:cNvSpPr/>
      </cdr:nvSpPr>
      <cdr:spPr>
        <a:xfrm xmlns:a="http://schemas.openxmlformats.org/drawingml/2006/main">
          <a:off x="1237543" y="2924339"/>
          <a:ext cx="858100" cy="502059"/>
        </a:xfrm>
        <a:prstGeom xmlns:a="http://schemas.openxmlformats.org/drawingml/2006/main" prst="rect">
          <a:avLst/>
        </a:prstGeom>
        <a:ln xmlns:a="http://schemas.openxmlformats.org/drawingml/2006/main" w="34925" cmpd="sng">
          <a:solidFill>
            <a:srgbClr val="FFC003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lIns="91440" tIns="45720" rIns="91440" bIns="4572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FYE 2002:</a:t>
          </a:r>
        </a:p>
        <a:p xmlns:a="http://schemas.openxmlformats.org/drawingml/2006/main">
          <a:pPr algn="ctr"/>
          <a:r>
            <a:rPr lang="en-US" sz="1200" b="1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994</a:t>
          </a:r>
        </a:p>
      </cdr:txBody>
    </cdr:sp>
  </cdr:relSizeAnchor>
  <cdr:relSizeAnchor xmlns:cdr="http://schemas.openxmlformats.org/drawingml/2006/chartDrawing">
    <cdr:from>
      <cdr:x>0.65495</cdr:x>
      <cdr:y>0.05096</cdr:y>
    </cdr:from>
    <cdr:to>
      <cdr:x>0.75922</cdr:x>
      <cdr:y>0.14773</cdr:y>
    </cdr:to>
    <cdr:sp macro="" textlink="">
      <cdr:nvSpPr>
        <cdr:cNvPr id="24" name="Rectangle 23"/>
        <cdr:cNvSpPr/>
      </cdr:nvSpPr>
      <cdr:spPr>
        <a:xfrm xmlns:a="http://schemas.openxmlformats.org/drawingml/2006/main">
          <a:off x="5389967" y="248814"/>
          <a:ext cx="858101" cy="472517"/>
        </a:xfrm>
        <a:prstGeom xmlns:a="http://schemas.openxmlformats.org/drawingml/2006/main" prst="rect">
          <a:avLst/>
        </a:prstGeom>
        <a:ln xmlns:a="http://schemas.openxmlformats.org/drawingml/2006/main" w="34925" cmpd="sng">
          <a:solidFill>
            <a:srgbClr val="FFC003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none" lIns="91440" tIns="45720" rIns="91440" bIns="4572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FYE 2019:</a:t>
          </a:r>
        </a:p>
        <a:p xmlns:a="http://schemas.openxmlformats.org/drawingml/2006/main">
          <a:pPr algn="ctr"/>
          <a:r>
            <a:rPr lang="en-US" sz="1200" b="1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2,938</a:t>
          </a:r>
        </a:p>
      </cdr:txBody>
    </cdr:sp>
  </cdr:relSizeAnchor>
  <cdr:relSizeAnchor xmlns:cdr="http://schemas.openxmlformats.org/drawingml/2006/chartDrawing">
    <cdr:from>
      <cdr:x>0.35834</cdr:x>
      <cdr:y>0.03485</cdr:y>
    </cdr:from>
    <cdr:to>
      <cdr:x>0.41976</cdr:x>
      <cdr:y>0.87703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4F678F64-6CC0-0A48-98B7-739F2A1469D8}"/>
            </a:ext>
          </a:extLst>
        </cdr:cNvPr>
        <cdr:cNvGrpSpPr/>
      </cdr:nvGrpSpPr>
      <cdr:grpSpPr>
        <a:xfrm xmlns:a="http://schemas.openxmlformats.org/drawingml/2006/main">
          <a:off x="2948995" y="170169"/>
          <a:ext cx="505462" cy="4112277"/>
          <a:chOff x="4445041" y="63478"/>
          <a:chExt cx="505453" cy="4152916"/>
        </a:xfrm>
      </cdr:grpSpPr>
      <cdr:cxnSp macro="">
        <cdr:nvCxnSpPr>
          <cdr:cNvPr id="5" name="Straight Connector 4">
            <a:extLst xmlns:a="http://schemas.openxmlformats.org/drawingml/2006/main">
              <a:ext uri="{FF2B5EF4-FFF2-40B4-BE49-F238E27FC236}">
                <a16:creationId xmlns:a16="http://schemas.microsoft.com/office/drawing/2014/main" id="{AE9175BF-9D00-7547-94ED-F9AC54D9D7B0}"/>
              </a:ext>
            </a:extLst>
          </cdr:cNvPr>
          <cdr:cNvCxnSpPr/>
        </cdr:nvCxnSpPr>
        <cdr:spPr>
          <a:xfrm xmlns:a="http://schemas.openxmlformats.org/drawingml/2006/main" flipV="1">
            <a:off x="4902208" y="63478"/>
            <a:ext cx="0" cy="4127512"/>
          </a:xfrm>
          <a:prstGeom xmlns:a="http://schemas.openxmlformats.org/drawingml/2006/main" prst="line">
            <a:avLst/>
          </a:prstGeom>
          <a:ln xmlns:a="http://schemas.openxmlformats.org/drawingml/2006/main" w="38100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4445041" y="2501912"/>
            <a:ext cx="505453" cy="171448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vert="vert270" wrap="square" rtlCol="0"/>
          <a:lstStyle xmlns:a="http://schemas.openxmlformats.org/drawingml/2006/main"/>
          <a:p xmlns:a="http://schemas.openxmlformats.org/drawingml/2006/main">
            <a:r>
              <a:rPr lang="en-US" sz="1050"/>
              <a:t>End of Financial Crisis</a:t>
            </a:r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0.36296</cdr:x>
      <cdr:y>0.03797</cdr:y>
    </cdr:from>
    <cdr:to>
      <cdr:x>0.41481</cdr:x>
      <cdr:y>0.88691</cdr:y>
    </cdr:to>
    <cdr:grpSp>
      <cdr:nvGrpSpPr>
        <cdr:cNvPr id="4" name="Group 3">
          <a:extLst xmlns:a="http://schemas.openxmlformats.org/drawingml/2006/main">
            <a:ext uri="{FF2B5EF4-FFF2-40B4-BE49-F238E27FC236}">
              <a16:creationId xmlns:a16="http://schemas.microsoft.com/office/drawing/2014/main" id="{4F678F64-6CC0-0A48-98B7-739F2A1469D8}"/>
            </a:ext>
          </a:extLst>
        </cdr:cNvPr>
        <cdr:cNvGrpSpPr/>
      </cdr:nvGrpSpPr>
      <cdr:grpSpPr>
        <a:xfrm xmlns:a="http://schemas.openxmlformats.org/drawingml/2006/main">
          <a:off x="2987016" y="185404"/>
          <a:ext cx="426704" cy="4145285"/>
          <a:chOff x="4475466" y="63478"/>
          <a:chExt cx="426742" cy="4145296"/>
        </a:xfrm>
      </cdr:grpSpPr>
      <cdr:cxnSp macro="">
        <cdr:nvCxnSpPr>
          <cdr:cNvPr id="5" name="Straight Connector 4">
            <a:extLst xmlns:a="http://schemas.openxmlformats.org/drawingml/2006/main">
              <a:ext uri="{FF2B5EF4-FFF2-40B4-BE49-F238E27FC236}">
                <a16:creationId xmlns:a16="http://schemas.microsoft.com/office/drawing/2014/main" id="{AE9175BF-9D00-7547-94ED-F9AC54D9D7B0}"/>
              </a:ext>
            </a:extLst>
          </cdr:cNvPr>
          <cdr:cNvCxnSpPr/>
        </cdr:nvCxnSpPr>
        <cdr:spPr>
          <a:xfrm xmlns:a="http://schemas.openxmlformats.org/drawingml/2006/main" flipV="1">
            <a:off x="4902208" y="63478"/>
            <a:ext cx="0" cy="4127512"/>
          </a:xfrm>
          <a:prstGeom xmlns:a="http://schemas.openxmlformats.org/drawingml/2006/main" prst="line">
            <a:avLst/>
          </a:prstGeom>
          <a:ln xmlns:a="http://schemas.openxmlformats.org/drawingml/2006/main" w="38100">
            <a:solidFill>
              <a:schemeClr val="tx1"/>
            </a:solidFill>
          </a:ln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4475466" y="2494292"/>
            <a:ext cx="292151" cy="171448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vert="vert270" wrap="square" rtlCol="0"/>
          <a:lstStyle xmlns:a="http://schemas.openxmlformats.org/drawingml/2006/main"/>
          <a:p xmlns:a="http://schemas.openxmlformats.org/drawingml/2006/main">
            <a:r>
              <a:rPr lang="en-US" sz="1050"/>
              <a:t>End of Financial Crisis</a:t>
            </a:r>
          </a:p>
        </cdr:txBody>
      </cdr:sp>
    </cdr:grp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0.18881</cdr:x>
      <cdr:y>0.03641</cdr:y>
    </cdr:from>
    <cdr:to>
      <cdr:x>0.36088</cdr:x>
      <cdr:y>0.14175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EE0D9B8-A6D4-5B43-91AF-08F0902AB36C}"/>
            </a:ext>
          </a:extLst>
        </cdr:cNvPr>
        <cdr:cNvSpPr/>
      </cdr:nvSpPr>
      <cdr:spPr>
        <a:xfrm xmlns:a="http://schemas.openxmlformats.org/drawingml/2006/main">
          <a:off x="1532279" y="177795"/>
          <a:ext cx="1396400" cy="514364"/>
        </a:xfrm>
        <a:prstGeom xmlns:a="http://schemas.openxmlformats.org/drawingml/2006/main" prst="rect">
          <a:avLst/>
        </a:prstGeom>
        <a:ln xmlns:a="http://schemas.openxmlformats.org/drawingml/2006/main" w="34925" cmpd="sng">
          <a:solidFill>
            <a:srgbClr val="3300FF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91440" tIns="45720" rIns="91440" bIns="4572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FYE 2002:</a:t>
          </a:r>
        </a:p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87.1% Funded</a:t>
          </a:r>
        </a:p>
      </cdr:txBody>
    </cdr:sp>
  </cdr:relSizeAnchor>
  <cdr:relSizeAnchor xmlns:cdr="http://schemas.openxmlformats.org/drawingml/2006/chartDrawing">
    <cdr:from>
      <cdr:x>0.67284</cdr:x>
      <cdr:y>0.09883</cdr:y>
    </cdr:from>
    <cdr:to>
      <cdr:x>0.84491</cdr:x>
      <cdr:y>0.20417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9555864E-E7BA-DA4D-A7E5-69B8E72410F3}"/>
            </a:ext>
          </a:extLst>
        </cdr:cNvPr>
        <cdr:cNvSpPr/>
      </cdr:nvSpPr>
      <cdr:spPr>
        <a:xfrm xmlns:a="http://schemas.openxmlformats.org/drawingml/2006/main">
          <a:off x="5537204" y="482577"/>
          <a:ext cx="1416067" cy="514364"/>
        </a:xfrm>
        <a:prstGeom xmlns:a="http://schemas.openxmlformats.org/drawingml/2006/main" prst="rect">
          <a:avLst/>
        </a:prstGeom>
        <a:ln xmlns:a="http://schemas.openxmlformats.org/drawingml/2006/main" w="34925" cmpd="sng">
          <a:solidFill>
            <a:srgbClr val="3300FF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91440" tIns="45720" rIns="91440" bIns="4572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FYE 2018:</a:t>
          </a:r>
        </a:p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68.2% Funded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0.18881</cdr:x>
      <cdr:y>0.03641</cdr:y>
    </cdr:from>
    <cdr:to>
      <cdr:x>0.36088</cdr:x>
      <cdr:y>0.14175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EE0D9B8-A6D4-5B43-91AF-08F0902AB36C}"/>
            </a:ext>
          </a:extLst>
        </cdr:cNvPr>
        <cdr:cNvSpPr/>
      </cdr:nvSpPr>
      <cdr:spPr>
        <a:xfrm xmlns:a="http://schemas.openxmlformats.org/drawingml/2006/main">
          <a:off x="1532279" y="177795"/>
          <a:ext cx="1396400" cy="514364"/>
        </a:xfrm>
        <a:prstGeom xmlns:a="http://schemas.openxmlformats.org/drawingml/2006/main" prst="rect">
          <a:avLst/>
        </a:prstGeom>
        <a:ln xmlns:a="http://schemas.openxmlformats.org/drawingml/2006/main" w="34925" cmpd="sng">
          <a:solidFill>
            <a:srgbClr val="3300FF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91440" tIns="45720" rIns="91440" bIns="4572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FYE 2002:</a:t>
          </a:r>
        </a:p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87.1% Funded</a:t>
          </a:r>
        </a:p>
      </cdr:txBody>
    </cdr:sp>
  </cdr:relSizeAnchor>
  <cdr:relSizeAnchor xmlns:cdr="http://schemas.openxmlformats.org/drawingml/2006/chartDrawing">
    <cdr:from>
      <cdr:x>0.67284</cdr:x>
      <cdr:y>0.09883</cdr:y>
    </cdr:from>
    <cdr:to>
      <cdr:x>0.84491</cdr:x>
      <cdr:y>0.20417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9555864E-E7BA-DA4D-A7E5-69B8E72410F3}"/>
            </a:ext>
          </a:extLst>
        </cdr:cNvPr>
        <cdr:cNvSpPr/>
      </cdr:nvSpPr>
      <cdr:spPr>
        <a:xfrm xmlns:a="http://schemas.openxmlformats.org/drawingml/2006/main">
          <a:off x="5537200" y="482600"/>
          <a:ext cx="1416050" cy="514350"/>
        </a:xfrm>
        <a:prstGeom xmlns:a="http://schemas.openxmlformats.org/drawingml/2006/main" prst="rect">
          <a:avLst/>
        </a:prstGeom>
        <a:ln xmlns:a="http://schemas.openxmlformats.org/drawingml/2006/main" w="34925" cmpd="sng">
          <a:solidFill>
            <a:srgbClr val="3300FF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91440" tIns="45720" rIns="91440" bIns="4572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FYE 2018:</a:t>
          </a:r>
        </a:p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68.2% Funded</a:t>
          </a:r>
          <a:endParaRPr lang="en-US" sz="1400" b="1" i="0" cap="none" spc="0">
            <a:ln w="12700">
              <a:noFill/>
              <a:prstDash val="solid"/>
            </a:ln>
            <a:solidFill>
              <a:schemeClr val="tx1"/>
            </a:solidFill>
            <a:effectLst/>
            <a:latin typeface="Arial" panose="020B0604020202020204" pitchFamily="34" charset="0"/>
            <a:ea typeface="Calibri" charset="0"/>
            <a:cs typeface="Arial" panose="020B0604020202020204" pitchFamily="34" charset="0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4442460" y="0"/>
    <xdr:ext cx="8229600" cy="48463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3342620" y="38100"/>
    <xdr:ext cx="8229600" cy="484632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4191000" y="6186714"/>
    <xdr:ext cx="8229600" cy="484632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3480143" y="6585857"/>
    <xdr:ext cx="8229600" cy="484632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0.4213</cdr:x>
      <cdr:y>0.69968</cdr:y>
    </cdr:from>
    <cdr:to>
      <cdr:x>0.48149</cdr:x>
      <cdr:y>0.77306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A47E1E7-FE0F-6445-91D2-C91679C6975A}"/>
            </a:ext>
          </a:extLst>
        </cdr:cNvPr>
        <cdr:cNvSpPr/>
      </cdr:nvSpPr>
      <cdr:spPr>
        <a:xfrm xmlns:a="http://schemas.openxmlformats.org/drawingml/2006/main">
          <a:off x="3467097" y="3390890"/>
          <a:ext cx="495340" cy="35562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0.4213</cdr:x>
      <cdr:y>0.69968</cdr:y>
    </cdr:from>
    <cdr:to>
      <cdr:x>0.48149</cdr:x>
      <cdr:y>0.77306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A47E1E7-FE0F-6445-91D2-C91679C6975A}"/>
            </a:ext>
          </a:extLst>
        </cdr:cNvPr>
        <cdr:cNvSpPr/>
      </cdr:nvSpPr>
      <cdr:spPr>
        <a:xfrm xmlns:a="http://schemas.openxmlformats.org/drawingml/2006/main">
          <a:off x="3467097" y="3390890"/>
          <a:ext cx="495340" cy="35562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87086</xdr:colOff>
      <xdr:row>0</xdr:row>
      <xdr:rowOff>108858</xdr:rowOff>
    </xdr:from>
    <xdr:to>
      <xdr:col>23</xdr:col>
      <xdr:colOff>326572</xdr:colOff>
      <xdr:row>24</xdr:row>
      <xdr:rowOff>121921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13</xdr:row>
      <xdr:rowOff>25400</xdr:rowOff>
    </xdr:from>
    <xdr:to>
      <xdr:col>14</xdr:col>
      <xdr:colOff>577850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F0A2E-05FE-39BD-CF0D-DA537995B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38</xdr:row>
      <xdr:rowOff>6350</xdr:rowOff>
    </xdr:from>
    <xdr:to>
      <xdr:col>33</xdr:col>
      <xdr:colOff>750570</xdr:colOff>
      <xdr:row>62</xdr:row>
      <xdr:rowOff>12446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0000000-0008-0000-1200-000008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29900" y="8185150"/>
              <a:ext cx="4878070" cy="48828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0.63335</cdr:x>
      <cdr:y>0.5544</cdr:y>
    </cdr:from>
    <cdr:to>
      <cdr:x>0.74446</cdr:x>
      <cdr:y>0.74166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7F097C6-D547-B74A-93A1-15D5B32C52D7}"/>
            </a:ext>
          </a:extLst>
        </cdr:cNvPr>
        <cdr:cNvSpPr txBox="1"/>
      </cdr:nvSpPr>
      <cdr:spPr>
        <a:xfrm xmlns:a="http://schemas.openxmlformats.org/drawingml/2006/main">
          <a:off x="5212237" y="27070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6</xdr:row>
      <xdr:rowOff>184150</xdr:rowOff>
    </xdr:from>
    <xdr:to>
      <xdr:col>10</xdr:col>
      <xdr:colOff>450850</xdr:colOff>
      <xdr:row>32</xdr:row>
      <xdr:rowOff>104902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0.63335</cdr:x>
      <cdr:y>0.5544</cdr:y>
    </cdr:from>
    <cdr:to>
      <cdr:x>0.74446</cdr:x>
      <cdr:y>0.74166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7F097C6-D547-B74A-93A1-15D5B32C52D7}"/>
            </a:ext>
          </a:extLst>
        </cdr:cNvPr>
        <cdr:cNvSpPr txBox="1"/>
      </cdr:nvSpPr>
      <cdr:spPr>
        <a:xfrm xmlns:a="http://schemas.openxmlformats.org/drawingml/2006/main">
          <a:off x="5212237" y="27070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0.63335</cdr:x>
      <cdr:y>0.5544</cdr:y>
    </cdr:from>
    <cdr:to>
      <cdr:x>0.74446</cdr:x>
      <cdr:y>0.74166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7F097C6-D547-B74A-93A1-15D5B32C52D7}"/>
            </a:ext>
          </a:extLst>
        </cdr:cNvPr>
        <cdr:cNvSpPr txBox="1"/>
      </cdr:nvSpPr>
      <cdr:spPr>
        <a:xfrm xmlns:a="http://schemas.openxmlformats.org/drawingml/2006/main">
          <a:off x="5212237" y="27070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0.63335</cdr:x>
      <cdr:y>0.5544</cdr:y>
    </cdr:from>
    <cdr:to>
      <cdr:x>0.74446</cdr:x>
      <cdr:y>0.74166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7F097C6-D547-B74A-93A1-15D5B32C52D7}"/>
            </a:ext>
          </a:extLst>
        </cdr:cNvPr>
        <cdr:cNvSpPr txBox="1"/>
      </cdr:nvSpPr>
      <cdr:spPr>
        <a:xfrm xmlns:a="http://schemas.openxmlformats.org/drawingml/2006/main">
          <a:off x="5212237" y="270706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54</xdr:row>
      <xdr:rowOff>88900</xdr:rowOff>
    </xdr:from>
    <xdr:to>
      <xdr:col>19</xdr:col>
      <xdr:colOff>152400</xdr:colOff>
      <xdr:row>80</xdr:row>
      <xdr:rowOff>18796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660400</xdr:colOff>
      <xdr:row>135</xdr:row>
      <xdr:rowOff>165100</xdr:rowOff>
    </xdr:from>
    <xdr:to>
      <xdr:col>8</xdr:col>
      <xdr:colOff>685800</xdr:colOff>
      <xdr:row>161</xdr:row>
      <xdr:rowOff>94996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193040</xdr:colOff>
      <xdr:row>26</xdr:row>
      <xdr:rowOff>162560</xdr:rowOff>
    </xdr:from>
    <xdr:to>
      <xdr:col>9</xdr:col>
      <xdr:colOff>307340</xdr:colOff>
      <xdr:row>53</xdr:row>
      <xdr:rowOff>98552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541020</xdr:colOff>
      <xdr:row>26</xdr:row>
      <xdr:rowOff>167640</xdr:rowOff>
    </xdr:from>
    <xdr:to>
      <xdr:col>20</xdr:col>
      <xdr:colOff>723900</xdr:colOff>
      <xdr:row>53</xdr:row>
      <xdr:rowOff>103632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19</xdr:col>
      <xdr:colOff>101600</xdr:colOff>
      <xdr:row>106</xdr:row>
      <xdr:rowOff>120396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108</xdr:row>
      <xdr:rowOff>0</xdr:rowOff>
    </xdr:from>
    <xdr:to>
      <xdr:col>19</xdr:col>
      <xdr:colOff>101600</xdr:colOff>
      <xdr:row>133</xdr:row>
      <xdr:rowOff>120396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136</xdr:row>
      <xdr:rowOff>0</xdr:rowOff>
    </xdr:from>
    <xdr:to>
      <xdr:col>19</xdr:col>
      <xdr:colOff>101600</xdr:colOff>
      <xdr:row>161</xdr:row>
      <xdr:rowOff>120396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absoluteAnchor>
    <xdr:pos x="6667500" y="190500"/>
    <xdr:ext cx="8229600" cy="4882896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15748000" y="190500"/>
    <xdr:ext cx="8229600" cy="4882896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  <xdr:twoCellAnchor>
    <xdr:from>
      <xdr:col>0</xdr:col>
      <xdr:colOff>609600</xdr:colOff>
      <xdr:row>54</xdr:row>
      <xdr:rowOff>101600</xdr:rowOff>
    </xdr:from>
    <xdr:to>
      <xdr:col>8</xdr:col>
      <xdr:colOff>635000</xdr:colOff>
      <xdr:row>80</xdr:row>
      <xdr:rowOff>31496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9</xdr:col>
      <xdr:colOff>25400</xdr:colOff>
      <xdr:row>107</xdr:row>
      <xdr:rowOff>120396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109</xdr:row>
      <xdr:rowOff>0</xdr:rowOff>
    </xdr:from>
    <xdr:to>
      <xdr:col>9</xdr:col>
      <xdr:colOff>25400</xdr:colOff>
      <xdr:row>134</xdr:row>
      <xdr:rowOff>120396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0.15278</cdr:x>
      <cdr:y>0.18987</cdr:y>
    </cdr:from>
    <cdr:to>
      <cdr:x>0.32485</cdr:x>
      <cdr:y>0.29521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EE0D9B8-A6D4-5B43-91AF-08F0902AB36C}"/>
            </a:ext>
          </a:extLst>
        </cdr:cNvPr>
        <cdr:cNvSpPr/>
      </cdr:nvSpPr>
      <cdr:spPr>
        <a:xfrm xmlns:a="http://schemas.openxmlformats.org/drawingml/2006/main">
          <a:off x="1257289" y="927095"/>
          <a:ext cx="1416067" cy="514364"/>
        </a:xfrm>
        <a:prstGeom xmlns:a="http://schemas.openxmlformats.org/drawingml/2006/main" prst="rect">
          <a:avLst/>
        </a:prstGeom>
        <a:ln xmlns:a="http://schemas.openxmlformats.org/drawingml/2006/main" w="34925" cmpd="sng">
          <a:solidFill>
            <a:srgbClr val="3300FF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91440" tIns="45720" rIns="91440" bIns="4572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FYE 2002:</a:t>
          </a:r>
        </a:p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99.97% Funded</a:t>
          </a:r>
        </a:p>
      </cdr:txBody>
    </cdr:sp>
  </cdr:relSizeAnchor>
  <cdr:relSizeAnchor xmlns:cdr="http://schemas.openxmlformats.org/drawingml/2006/chartDrawing">
    <cdr:from>
      <cdr:x>0.67747</cdr:x>
      <cdr:y>0.06242</cdr:y>
    </cdr:from>
    <cdr:to>
      <cdr:x>0.84954</cdr:x>
      <cdr:y>0.16776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9555864E-E7BA-DA4D-A7E5-69B8E72410F3}"/>
            </a:ext>
          </a:extLst>
        </cdr:cNvPr>
        <cdr:cNvSpPr/>
      </cdr:nvSpPr>
      <cdr:spPr>
        <a:xfrm xmlns:a="http://schemas.openxmlformats.org/drawingml/2006/main">
          <a:off x="5575304" y="304777"/>
          <a:ext cx="1416067" cy="514364"/>
        </a:xfrm>
        <a:prstGeom xmlns:a="http://schemas.openxmlformats.org/drawingml/2006/main" prst="rect">
          <a:avLst/>
        </a:prstGeom>
        <a:ln xmlns:a="http://schemas.openxmlformats.org/drawingml/2006/main" w="34925" cmpd="sng">
          <a:solidFill>
            <a:srgbClr val="3300FF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91440" tIns="45720" rIns="91440" bIns="4572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FYE 2018:</a:t>
          </a:r>
        </a:p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73.8% Funded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0.18881</cdr:x>
      <cdr:y>0.03641</cdr:y>
    </cdr:from>
    <cdr:to>
      <cdr:x>0.36088</cdr:x>
      <cdr:y>0.14175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EE0D9B8-A6D4-5B43-91AF-08F0902AB36C}"/>
            </a:ext>
          </a:extLst>
        </cdr:cNvPr>
        <cdr:cNvSpPr/>
      </cdr:nvSpPr>
      <cdr:spPr>
        <a:xfrm xmlns:a="http://schemas.openxmlformats.org/drawingml/2006/main">
          <a:off x="1532279" y="177795"/>
          <a:ext cx="1396400" cy="514364"/>
        </a:xfrm>
        <a:prstGeom xmlns:a="http://schemas.openxmlformats.org/drawingml/2006/main" prst="rect">
          <a:avLst/>
        </a:prstGeom>
        <a:ln xmlns:a="http://schemas.openxmlformats.org/drawingml/2006/main" w="34925" cmpd="sng">
          <a:solidFill>
            <a:srgbClr val="3300FF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91440" tIns="45720" rIns="91440" bIns="4572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FYE 2002:</a:t>
          </a:r>
        </a:p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87.1% Funded</a:t>
          </a:r>
        </a:p>
      </cdr:txBody>
    </cdr:sp>
  </cdr:relSizeAnchor>
  <cdr:relSizeAnchor xmlns:cdr="http://schemas.openxmlformats.org/drawingml/2006/chartDrawing">
    <cdr:from>
      <cdr:x>0.65536</cdr:x>
      <cdr:y>0.07285</cdr:y>
    </cdr:from>
    <cdr:to>
      <cdr:x>0.82743</cdr:x>
      <cdr:y>0.17819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9555864E-E7BA-DA4D-A7E5-69B8E72410F3}"/>
            </a:ext>
          </a:extLst>
        </cdr:cNvPr>
        <cdr:cNvSpPr/>
      </cdr:nvSpPr>
      <cdr:spPr>
        <a:xfrm xmlns:a="http://schemas.openxmlformats.org/drawingml/2006/main">
          <a:off x="4855653" y="341829"/>
          <a:ext cx="1274897" cy="494297"/>
        </a:xfrm>
        <a:prstGeom xmlns:a="http://schemas.openxmlformats.org/drawingml/2006/main" prst="rect">
          <a:avLst/>
        </a:prstGeom>
        <a:ln xmlns:a="http://schemas.openxmlformats.org/drawingml/2006/main" w="34925" cmpd="sng">
          <a:solidFill>
            <a:srgbClr val="3300FF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91440" tIns="45720" rIns="91440" bIns="4572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FYE 2019:</a:t>
          </a:r>
        </a:p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68.6% Funded</a:t>
          </a:r>
        </a:p>
      </cdr:txBody>
    </cdr:sp>
  </cdr:relSizeAnchor>
  <cdr:relSizeAnchor xmlns:cdr="http://schemas.openxmlformats.org/drawingml/2006/chartDrawing">
    <cdr:from>
      <cdr:x>0.16687</cdr:x>
      <cdr:y>0.33431</cdr:y>
    </cdr:from>
    <cdr:to>
      <cdr:x>0.34202</cdr:x>
      <cdr:y>0.48776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9555864E-E7BA-DA4D-A7E5-69B8E72410F3}"/>
            </a:ext>
          </a:extLst>
        </cdr:cNvPr>
        <cdr:cNvSpPr/>
      </cdr:nvSpPr>
      <cdr:spPr>
        <a:xfrm xmlns:a="http://schemas.openxmlformats.org/drawingml/2006/main">
          <a:off x="1236383" y="1568726"/>
          <a:ext cx="1297718" cy="720048"/>
        </a:xfrm>
        <a:prstGeom xmlns:a="http://schemas.openxmlformats.org/drawingml/2006/main" prst="rect">
          <a:avLst/>
        </a:prstGeom>
        <a:ln xmlns:a="http://schemas.openxmlformats.org/drawingml/2006/main" w="34925" cmpd="sng">
          <a:solidFill>
            <a:srgbClr val="CC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91440" tIns="45720" rIns="91440" bIns="4572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FYE 2002:</a:t>
          </a:r>
        </a:p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$384 Million Underfunded</a:t>
          </a:r>
        </a:p>
      </cdr:txBody>
    </cdr:sp>
  </cdr:relSizeAnchor>
  <cdr:relSizeAnchor xmlns:cdr="http://schemas.openxmlformats.org/drawingml/2006/chartDrawing">
    <cdr:from>
      <cdr:x>0.62399</cdr:x>
      <cdr:y>0.44376</cdr:y>
    </cdr:from>
    <cdr:to>
      <cdr:x>0.79915</cdr:x>
      <cdr:y>0.59721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419B10B4-560E-344E-8242-711F47723531}"/>
            </a:ext>
          </a:extLst>
        </cdr:cNvPr>
        <cdr:cNvSpPr/>
      </cdr:nvSpPr>
      <cdr:spPr>
        <a:xfrm xmlns:a="http://schemas.openxmlformats.org/drawingml/2006/main">
          <a:off x="4623223" y="2082281"/>
          <a:ext cx="1297792" cy="720048"/>
        </a:xfrm>
        <a:prstGeom xmlns:a="http://schemas.openxmlformats.org/drawingml/2006/main" prst="rect">
          <a:avLst/>
        </a:prstGeom>
        <a:ln xmlns:a="http://schemas.openxmlformats.org/drawingml/2006/main" w="34925" cmpd="sng">
          <a:solidFill>
            <a:srgbClr val="CC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91440" tIns="45720" rIns="91440" bIns="4572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FYE 2019:</a:t>
          </a:r>
        </a:p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chemeClr val="tx1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$1.9 Billion Underfunded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0.15278</cdr:x>
      <cdr:y>0.18987</cdr:y>
    </cdr:from>
    <cdr:to>
      <cdr:x>0.32485</cdr:x>
      <cdr:y>0.29521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EEE0D9B8-A6D4-5B43-91AF-08F0902AB36C}"/>
            </a:ext>
          </a:extLst>
        </cdr:cNvPr>
        <cdr:cNvSpPr/>
      </cdr:nvSpPr>
      <cdr:spPr>
        <a:xfrm xmlns:a="http://schemas.openxmlformats.org/drawingml/2006/main">
          <a:off x="1257289" y="927095"/>
          <a:ext cx="1416067" cy="514364"/>
        </a:xfrm>
        <a:prstGeom xmlns:a="http://schemas.openxmlformats.org/drawingml/2006/main" prst="rect">
          <a:avLst/>
        </a:prstGeom>
        <a:ln xmlns:a="http://schemas.openxmlformats.org/drawingml/2006/main" w="34925" cmpd="sng">
          <a:solidFill>
            <a:srgbClr val="3300FF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91440" tIns="45720" rIns="91440" bIns="4572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FYE 2002:</a:t>
          </a:r>
        </a:p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99.97% Funded</a:t>
          </a:r>
        </a:p>
      </cdr:txBody>
    </cdr:sp>
  </cdr:relSizeAnchor>
  <cdr:relSizeAnchor xmlns:cdr="http://schemas.openxmlformats.org/drawingml/2006/chartDrawing">
    <cdr:from>
      <cdr:x>0.67747</cdr:x>
      <cdr:y>0.06242</cdr:y>
    </cdr:from>
    <cdr:to>
      <cdr:x>0.84954</cdr:x>
      <cdr:y>0.16776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9555864E-E7BA-DA4D-A7E5-69B8E72410F3}"/>
            </a:ext>
          </a:extLst>
        </cdr:cNvPr>
        <cdr:cNvSpPr/>
      </cdr:nvSpPr>
      <cdr:spPr>
        <a:xfrm xmlns:a="http://schemas.openxmlformats.org/drawingml/2006/main">
          <a:off x="5575304" y="304777"/>
          <a:ext cx="1416067" cy="514364"/>
        </a:xfrm>
        <a:prstGeom xmlns:a="http://schemas.openxmlformats.org/drawingml/2006/main" prst="rect">
          <a:avLst/>
        </a:prstGeom>
        <a:ln xmlns:a="http://schemas.openxmlformats.org/drawingml/2006/main" w="34925" cmpd="sng">
          <a:solidFill>
            <a:srgbClr val="3300FF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91440" tIns="45720" rIns="91440" bIns="45720" anchor="ctr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FYE 2018:</a:t>
          </a:r>
        </a:p>
        <a:p xmlns:a="http://schemas.openxmlformats.org/drawingml/2006/main">
          <a:pPr algn="ctr"/>
          <a:r>
            <a:rPr lang="en-US" sz="1200" b="1" i="0" cap="none" spc="0">
              <a:ln w="12700">
                <a:noFill/>
                <a:prstDash val="solid"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Calibri" charset="0"/>
              <a:cs typeface="Arial" panose="020B0604020202020204" pitchFamily="34" charset="0"/>
            </a:rPr>
            <a:t>73.8% Funded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:/Users/truongbui/OneDrive/Career%20management/Reason%20internship/Reason%20Work/Omaha%20&amp;%20Lincoln%20papers/Work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ruong Bui" id="{C36893A2-B17E-AD4C-B343-5281F5E77AE2}" userId="4d099da90f2615be" providerId="Windows Live"/>
  <person displayName="Swaroop Bhagavatula" id="{9547FAAF-839C-4E32-8191-1B993348230F}" userId="e938c4ece1b60b3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" dT="2022-12-21T12:09:35.95" personId="{9547FAAF-839C-4E32-8191-1B993348230F}" id="{A3D4DD8D-78CA-4A00-9203-3BD34A88CA89}">
    <text>Sum of next columns</text>
  </threadedComment>
  <threadedComment ref="V24" dT="2023-05-10T10:57:11.97" personId="{C36893A2-B17E-AD4C-B343-5281F5E77AE2}" id="{2987660F-E3D1-494F-8847-95D6D4B72FF3}">
    <text>Need to solve an equation to get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zoomScale="97" zoomScaleNormal="97" workbookViewId="0">
      <selection activeCell="I22" sqref="I22"/>
    </sheetView>
  </sheetViews>
  <sheetFormatPr baseColWidth="10" defaultColWidth="10.83203125" defaultRowHeight="15" x14ac:dyDescent="0.2"/>
  <cols>
    <col min="1" max="2" width="10.83203125" style="2"/>
    <col min="3" max="3" width="25.6640625" style="2" bestFit="1" customWidth="1"/>
    <col min="4" max="4" width="52.1640625" style="2" bestFit="1" customWidth="1"/>
    <col min="5" max="5" width="19.6640625" style="2" bestFit="1" customWidth="1"/>
    <col min="6" max="7" width="19.6640625" style="2" customWidth="1"/>
    <col min="8" max="8" width="28.6640625" style="2" bestFit="1" customWidth="1"/>
    <col min="9" max="16384" width="10.83203125" style="2"/>
  </cols>
  <sheetData>
    <row r="1" spans="1:8" ht="16" customHeight="1" x14ac:dyDescent="0.2">
      <c r="B1" s="64" t="s">
        <v>19</v>
      </c>
      <c r="C1" s="64"/>
      <c r="D1" s="64"/>
      <c r="E1" s="64"/>
      <c r="F1" s="64"/>
      <c r="G1" s="64"/>
      <c r="H1" s="64"/>
    </row>
    <row r="2" spans="1:8" x14ac:dyDescent="0.2">
      <c r="A2" s="4" t="s">
        <v>21</v>
      </c>
      <c r="B2" s="4" t="s">
        <v>27</v>
      </c>
      <c r="C2" s="4" t="s">
        <v>22</v>
      </c>
      <c r="D2" s="4" t="s">
        <v>26</v>
      </c>
      <c r="E2" s="4" t="s">
        <v>23</v>
      </c>
      <c r="F2" s="4" t="s">
        <v>57</v>
      </c>
      <c r="G2" s="4" t="s">
        <v>58</v>
      </c>
      <c r="H2" s="4" t="s">
        <v>24</v>
      </c>
    </row>
    <row r="3" spans="1:8" x14ac:dyDescent="0.2">
      <c r="A3" s="2" t="s">
        <v>56</v>
      </c>
      <c r="B3" s="4"/>
      <c r="C3" s="4"/>
      <c r="D3" s="4"/>
      <c r="E3" s="4"/>
      <c r="F3" s="43">
        <v>1</v>
      </c>
      <c r="G3" s="43">
        <v>1</v>
      </c>
      <c r="H3" s="4"/>
    </row>
    <row r="4" spans="1:8" x14ac:dyDescent="0.2">
      <c r="A4" s="2" t="s">
        <v>25</v>
      </c>
      <c r="B4" s="7">
        <f>1+C4</f>
        <v>0.91800000000000004</v>
      </c>
      <c r="C4">
        <v>-8.2000000000000003E-2</v>
      </c>
      <c r="D4" s="6"/>
      <c r="E4">
        <v>7.7499999999999999E-2</v>
      </c>
      <c r="F4" s="42">
        <f>F3*B4</f>
        <v>0.91800000000000004</v>
      </c>
      <c r="G4" s="42">
        <f>G3*(1+E4)</f>
        <v>1.0774999999999999</v>
      </c>
      <c r="H4" s="6"/>
    </row>
    <row r="5" spans="1:8" x14ac:dyDescent="0.2">
      <c r="A5" s="2" t="s">
        <v>0</v>
      </c>
      <c r="B5" s="7">
        <f t="shared" ref="B5:B23" si="0">1+C5</f>
        <v>0.91869999999999996</v>
      </c>
      <c r="C5">
        <v>-8.1299999999999997E-2</v>
      </c>
      <c r="D5" s="6"/>
      <c r="E5">
        <v>7.7499999999999999E-2</v>
      </c>
      <c r="F5" s="42">
        <f t="shared" ref="F5:F21" si="1">F4*B5</f>
        <v>0.84336659999999997</v>
      </c>
      <c r="G5" s="42">
        <f t="shared" ref="G5:G21" si="2">G4*(1+E5)</f>
        <v>1.1610062499999998</v>
      </c>
      <c r="H5" s="6"/>
    </row>
    <row r="6" spans="1:8" x14ac:dyDescent="0.2">
      <c r="A6" s="2" t="s">
        <v>1</v>
      </c>
      <c r="B6" s="7">
        <f t="shared" si="0"/>
        <v>1.0232000000000001</v>
      </c>
      <c r="C6">
        <v>2.3199999999999998E-2</v>
      </c>
      <c r="D6" s="6"/>
      <c r="E6">
        <v>0.08</v>
      </c>
      <c r="F6" s="42">
        <f t="shared" si="1"/>
        <v>0.86293270512000009</v>
      </c>
      <c r="G6" s="42">
        <f t="shared" si="2"/>
        <v>1.2538867499999999</v>
      </c>
      <c r="H6" s="6"/>
    </row>
    <row r="7" spans="1:8" x14ac:dyDescent="0.2">
      <c r="A7" s="2" t="s">
        <v>2</v>
      </c>
      <c r="B7" s="7">
        <f t="shared" si="0"/>
        <v>1.1720999999999999</v>
      </c>
      <c r="C7">
        <v>0.1721</v>
      </c>
      <c r="D7" s="6"/>
      <c r="E7">
        <v>0.08</v>
      </c>
      <c r="F7" s="42">
        <f t="shared" si="1"/>
        <v>1.011443423671152</v>
      </c>
      <c r="G7" s="42">
        <f t="shared" si="2"/>
        <v>1.3541976900000001</v>
      </c>
      <c r="H7" s="6"/>
    </row>
    <row r="8" spans="1:8" x14ac:dyDescent="0.2">
      <c r="A8" s="2" t="s">
        <v>3</v>
      </c>
      <c r="B8" s="7">
        <f t="shared" si="0"/>
        <v>1.119</v>
      </c>
      <c r="C8">
        <v>0.11899999999999999</v>
      </c>
      <c r="D8" s="6"/>
      <c r="E8">
        <v>0.08</v>
      </c>
      <c r="F8" s="42">
        <f t="shared" si="1"/>
        <v>1.1318051910880191</v>
      </c>
      <c r="G8" s="42">
        <f t="shared" si="2"/>
        <v>1.4625335052000001</v>
      </c>
      <c r="H8" s="6"/>
    </row>
    <row r="9" spans="1:8" x14ac:dyDescent="0.2">
      <c r="A9" s="2" t="s">
        <v>4</v>
      </c>
      <c r="B9" s="7">
        <f t="shared" si="0"/>
        <v>1.1351</v>
      </c>
      <c r="C9">
        <v>0.1351</v>
      </c>
      <c r="D9" s="6"/>
      <c r="E9">
        <v>0.08</v>
      </c>
      <c r="F9" s="42">
        <f t="shared" si="1"/>
        <v>1.2847120724040104</v>
      </c>
      <c r="G9" s="42">
        <f t="shared" si="2"/>
        <v>1.5795361856160002</v>
      </c>
      <c r="H9" s="6"/>
    </row>
    <row r="10" spans="1:8" x14ac:dyDescent="0.2">
      <c r="A10" s="2" t="s">
        <v>5</v>
      </c>
      <c r="B10" s="7">
        <f t="shared" si="0"/>
        <v>1.2063999999999999</v>
      </c>
      <c r="C10">
        <v>0.2064</v>
      </c>
      <c r="D10" s="6"/>
      <c r="E10">
        <v>0.08</v>
      </c>
      <c r="F10" s="42">
        <f t="shared" si="1"/>
        <v>1.5498766441481981</v>
      </c>
      <c r="G10" s="42">
        <f t="shared" si="2"/>
        <v>1.7058990804652803</v>
      </c>
      <c r="H10" s="6"/>
    </row>
    <row r="11" spans="1:8" x14ac:dyDescent="0.2">
      <c r="A11" s="2" t="s">
        <v>6</v>
      </c>
      <c r="B11" s="7">
        <f t="shared" si="0"/>
        <v>0.94450000000000001</v>
      </c>
      <c r="C11">
        <v>-5.5500000000000001E-2</v>
      </c>
      <c r="D11" s="6"/>
      <c r="E11">
        <v>0.08</v>
      </c>
      <c r="F11" s="42">
        <f t="shared" si="1"/>
        <v>1.4638584903979732</v>
      </c>
      <c r="G11" s="42">
        <f t="shared" si="2"/>
        <v>1.8423710069025028</v>
      </c>
      <c r="H11" s="6"/>
    </row>
    <row r="12" spans="1:8" x14ac:dyDescent="0.2">
      <c r="A12" s="2" t="s">
        <v>7</v>
      </c>
      <c r="B12" s="7">
        <f t="shared" si="0"/>
        <v>0.78029999999999999</v>
      </c>
      <c r="C12">
        <v>-0.21970000000000001</v>
      </c>
      <c r="D12" s="6"/>
      <c r="E12">
        <v>0.08</v>
      </c>
      <c r="F12" s="42">
        <f t="shared" si="1"/>
        <v>1.1422487800575385</v>
      </c>
      <c r="G12" s="42">
        <f t="shared" si="2"/>
        <v>1.9897606874547031</v>
      </c>
      <c r="H12" s="6"/>
    </row>
    <row r="13" spans="1:8" x14ac:dyDescent="0.2">
      <c r="A13" s="2" t="s">
        <v>8</v>
      </c>
      <c r="B13" s="7">
        <f t="shared" si="0"/>
        <v>1.1348</v>
      </c>
      <c r="C13">
        <v>0.1348</v>
      </c>
      <c r="D13" s="6"/>
      <c r="E13">
        <v>0.08</v>
      </c>
      <c r="F13" s="42">
        <f t="shared" si="1"/>
        <v>1.2962239156092947</v>
      </c>
      <c r="G13" s="42">
        <f t="shared" si="2"/>
        <v>2.1489415424510794</v>
      </c>
      <c r="H13" s="6">
        <f t="shared" ref="H13:H18" si="3">GEOMEAN(B4:B13)-1</f>
        <v>2.6285051095003675E-2</v>
      </c>
    </row>
    <row r="14" spans="1:8" x14ac:dyDescent="0.2">
      <c r="A14" s="2" t="s">
        <v>9</v>
      </c>
      <c r="B14" s="7">
        <f t="shared" si="0"/>
        <v>1.2252000000000001</v>
      </c>
      <c r="C14">
        <v>0.22520000000000001</v>
      </c>
      <c r="D14" s="6"/>
      <c r="E14">
        <v>0.08</v>
      </c>
      <c r="F14" s="42">
        <f t="shared" si="1"/>
        <v>1.5881335414045079</v>
      </c>
      <c r="G14" s="42">
        <f t="shared" si="2"/>
        <v>2.320856865847166</v>
      </c>
      <c r="H14" s="6">
        <f t="shared" si="3"/>
        <v>5.6341722906219305E-2</v>
      </c>
    </row>
    <row r="15" spans="1:8" x14ac:dyDescent="0.2">
      <c r="A15" s="2" t="s">
        <v>10</v>
      </c>
      <c r="B15" s="7">
        <f t="shared" si="0"/>
        <v>1.0168999999999999</v>
      </c>
      <c r="C15">
        <v>1.6899999999999998E-2</v>
      </c>
      <c r="D15" s="6"/>
      <c r="E15">
        <v>7.7499999999999999E-2</v>
      </c>
      <c r="F15" s="42">
        <f t="shared" si="1"/>
        <v>1.614972998254244</v>
      </c>
      <c r="G15" s="42">
        <f t="shared" si="2"/>
        <v>2.5007232729503213</v>
      </c>
      <c r="H15" s="6">
        <f t="shared" si="3"/>
        <v>6.7123998372471849E-2</v>
      </c>
    </row>
    <row r="16" spans="1:8" x14ac:dyDescent="0.2">
      <c r="A16" s="2" t="s">
        <v>11</v>
      </c>
      <c r="B16" s="7">
        <f t="shared" si="0"/>
        <v>1.135</v>
      </c>
      <c r="C16">
        <v>0.13500000000000001</v>
      </c>
      <c r="D16" s="6"/>
      <c r="E16">
        <v>7.7499999999999999E-2</v>
      </c>
      <c r="F16" s="42">
        <f t="shared" si="1"/>
        <v>1.8329943530185671</v>
      </c>
      <c r="G16" s="42">
        <f t="shared" si="2"/>
        <v>2.6945293266039707</v>
      </c>
      <c r="H16" s="6">
        <f t="shared" si="3"/>
        <v>7.8247400498375086E-2</v>
      </c>
    </row>
    <row r="17" spans="1:8" x14ac:dyDescent="0.2">
      <c r="A17" s="2" t="s">
        <v>12</v>
      </c>
      <c r="B17" s="7">
        <f t="shared" si="0"/>
        <v>1.165</v>
      </c>
      <c r="C17">
        <v>0.16500000000000001</v>
      </c>
      <c r="D17" s="6"/>
      <c r="E17">
        <v>7.7499999999999999E-2</v>
      </c>
      <c r="F17" s="42">
        <f t="shared" si="1"/>
        <v>2.1354384212666306</v>
      </c>
      <c r="G17" s="42">
        <f t="shared" si="2"/>
        <v>2.903355349415778</v>
      </c>
      <c r="H17" s="6">
        <f t="shared" si="3"/>
        <v>7.7592464481117895E-2</v>
      </c>
    </row>
    <row r="18" spans="1:8" x14ac:dyDescent="0.2">
      <c r="A18" s="2" t="s">
        <v>13</v>
      </c>
      <c r="B18" s="7">
        <f t="shared" si="0"/>
        <v>1.052</v>
      </c>
      <c r="C18">
        <v>5.1999999999999998E-2</v>
      </c>
      <c r="D18" s="6"/>
      <c r="E18">
        <v>7.7499999999999999E-2</v>
      </c>
      <c r="F18" s="42">
        <f t="shared" si="1"/>
        <v>2.2464812191724954</v>
      </c>
      <c r="G18" s="42">
        <f t="shared" si="2"/>
        <v>3.1283653889955003</v>
      </c>
      <c r="H18" s="6">
        <f t="shared" si="3"/>
        <v>7.0959656458171372E-2</v>
      </c>
    </row>
    <row r="19" spans="1:8" x14ac:dyDescent="0.2">
      <c r="A19" s="2" t="s">
        <v>14</v>
      </c>
      <c r="B19" s="7">
        <f t="shared" si="0"/>
        <v>1.004</v>
      </c>
      <c r="C19">
        <v>4.0000000000000001E-3</v>
      </c>
      <c r="D19" s="6"/>
      <c r="E19">
        <v>7.7499999999999999E-2</v>
      </c>
      <c r="F19" s="42">
        <f t="shared" si="1"/>
        <v>2.2554671440491854</v>
      </c>
      <c r="G19" s="42">
        <f t="shared" si="2"/>
        <v>3.3708137066426511</v>
      </c>
      <c r="H19" s="6">
        <f>GEOMEAN(B10:B19)-1</f>
        <v>5.7896231295695211E-2</v>
      </c>
    </row>
    <row r="20" spans="1:8" x14ac:dyDescent="0.2">
      <c r="A20" s="2" t="s">
        <v>15</v>
      </c>
      <c r="B20" s="7">
        <f t="shared" si="0"/>
        <v>1.141</v>
      </c>
      <c r="C20">
        <v>0.14099999999999999</v>
      </c>
      <c r="D20" s="6"/>
      <c r="E20">
        <v>7.4499999999999997E-2</v>
      </c>
      <c r="F20" s="42">
        <f t="shared" si="1"/>
        <v>2.5734880113601206</v>
      </c>
      <c r="G20" s="42">
        <f t="shared" si="2"/>
        <v>3.6219393277875285</v>
      </c>
      <c r="H20" s="6">
        <f>GEOMEAN(B11:B20)-1</f>
        <v>5.2016379252537881E-2</v>
      </c>
    </row>
    <row r="21" spans="1:8" x14ac:dyDescent="0.2">
      <c r="A21" s="2">
        <v>2018</v>
      </c>
      <c r="B21" s="7">
        <f t="shared" si="0"/>
        <v>1.095</v>
      </c>
      <c r="C21">
        <v>9.5000000000000001E-2</v>
      </c>
      <c r="D21" s="6"/>
      <c r="E21">
        <v>7.4499999999999997E-2</v>
      </c>
      <c r="F21" s="42">
        <f t="shared" si="1"/>
        <v>2.817969372439332</v>
      </c>
      <c r="G21" s="42">
        <f t="shared" si="2"/>
        <v>3.8917738077076995</v>
      </c>
      <c r="H21" s="6">
        <f>GEOMEAN(B12:B21)-1</f>
        <v>6.7686415904580244E-2</v>
      </c>
    </row>
    <row r="22" spans="1:8" x14ac:dyDescent="0.2">
      <c r="A22" s="2">
        <v>2019</v>
      </c>
      <c r="B22" s="7">
        <f t="shared" si="0"/>
        <v>1.0660000000000001</v>
      </c>
      <c r="C22">
        <v>6.6000000000000003E-2</v>
      </c>
      <c r="D22" s="52"/>
      <c r="E22">
        <v>7.4499999999999997E-2</v>
      </c>
      <c r="F22" s="42">
        <f>F21*B22</f>
        <v>3.0039553510203278</v>
      </c>
      <c r="G22" s="42">
        <f>G21*(1+E22)</f>
        <v>4.1817109563819228</v>
      </c>
      <c r="H22" s="6">
        <f>GEOMEAN(B13:B22)-1</f>
        <v>0.10152225763720701</v>
      </c>
    </row>
    <row r="23" spans="1:8" x14ac:dyDescent="0.2">
      <c r="A23" s="2">
        <v>2020</v>
      </c>
      <c r="B23" s="7">
        <f t="shared" si="0"/>
        <v>1.0362</v>
      </c>
      <c r="C23">
        <v>3.6200000000000003E-2</v>
      </c>
      <c r="D23" s="52"/>
      <c r="E23">
        <v>7.4499999999999997E-2</v>
      </c>
      <c r="F23" s="42">
        <f>F22*B23</f>
        <v>3.1126985347272638</v>
      </c>
      <c r="G23" s="42">
        <f>G22*(1+E23)</f>
        <v>4.4932484226323757</v>
      </c>
      <c r="H23" s="6">
        <f>GEOMEAN(B14:B23)-1</f>
        <v>9.155520057437383E-2</v>
      </c>
    </row>
    <row r="24" spans="1:8" x14ac:dyDescent="0.2">
      <c r="A24" s="2">
        <v>2021</v>
      </c>
      <c r="B24" s="7">
        <f t="shared" ref="B24:B25" si="4">1+C24</f>
        <v>1.2904</v>
      </c>
      <c r="C24">
        <v>0.29039999999999999</v>
      </c>
      <c r="D24" s="52"/>
      <c r="E24">
        <v>7.0000000000000007E-2</v>
      </c>
      <c r="F24" s="42"/>
      <c r="G24" s="42"/>
      <c r="H24" s="6"/>
    </row>
    <row r="25" spans="1:8" x14ac:dyDescent="0.2">
      <c r="A25" s="2">
        <v>2022</v>
      </c>
      <c r="B25" s="7">
        <f t="shared" si="4"/>
        <v>0.94599999999999995</v>
      </c>
      <c r="C25" s="6">
        <v>-5.3999999999999999E-2</v>
      </c>
      <c r="D25" s="6"/>
      <c r="E25">
        <v>7.0000000000000007E-2</v>
      </c>
      <c r="F25" s="6"/>
      <c r="G25" s="6"/>
      <c r="H25" s="6"/>
    </row>
    <row r="26" spans="1:8" ht="20" x14ac:dyDescent="0.25">
      <c r="B26" s="7"/>
      <c r="C26" s="65" t="s">
        <v>28</v>
      </c>
      <c r="D26" s="65"/>
      <c r="E26" s="6"/>
      <c r="F26" s="6"/>
      <c r="G26" s="6"/>
      <c r="H26" s="6"/>
    </row>
    <row r="27" spans="1:8" ht="20" x14ac:dyDescent="0.25">
      <c r="B27" s="7"/>
      <c r="C27" s="44" t="s">
        <v>67</v>
      </c>
      <c r="D27" s="45">
        <f>GEOMEAN(B4:B23)-1</f>
        <v>5.8417112859806553E-2</v>
      </c>
      <c r="E27" s="6"/>
      <c r="F27" s="6"/>
      <c r="G27" s="6"/>
      <c r="H27" s="6"/>
    </row>
    <row r="28" spans="1:8" ht="20" x14ac:dyDescent="0.25">
      <c r="B28" s="7"/>
      <c r="C28" s="46" t="s">
        <v>64</v>
      </c>
      <c r="D28" s="47">
        <f>GEOMEAN(B9:B23)-1</f>
        <v>6.9771504259290351E-2</v>
      </c>
      <c r="E28" s="6"/>
      <c r="F28" s="6"/>
      <c r="G28" s="6"/>
      <c r="H28" s="6"/>
    </row>
    <row r="29" spans="1:8" ht="20" x14ac:dyDescent="0.25">
      <c r="B29" s="7"/>
      <c r="C29" s="48" t="s">
        <v>65</v>
      </c>
      <c r="D29" s="49">
        <f>GEOMEAN(B14:B23)-1</f>
        <v>9.155520057437383E-2</v>
      </c>
      <c r="E29" s="6"/>
      <c r="F29" s="6"/>
      <c r="G29" s="6"/>
      <c r="H29" s="6"/>
    </row>
    <row r="30" spans="1:8" ht="20" x14ac:dyDescent="0.25">
      <c r="B30" s="7"/>
      <c r="C30" s="46" t="s">
        <v>66</v>
      </c>
      <c r="D30" s="47">
        <f>GEOMEAN(B19:B23)-1</f>
        <v>6.7399152905634807E-2</v>
      </c>
      <c r="E30" s="6"/>
      <c r="F30" s="6"/>
      <c r="G30" s="6"/>
      <c r="H30" s="6"/>
    </row>
    <row r="31" spans="1:8" x14ac:dyDescent="0.2">
      <c r="B31" s="7"/>
      <c r="C31" s="6"/>
      <c r="D31" s="6"/>
      <c r="E31" s="6"/>
      <c r="F31" s="6"/>
      <c r="G31" s="6"/>
      <c r="H31" s="6"/>
    </row>
  </sheetData>
  <mergeCells count="2">
    <mergeCell ref="B1:H1"/>
    <mergeCell ref="C26:D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4"/>
  <sheetViews>
    <sheetView workbookViewId="0">
      <selection activeCell="B13" sqref="B13"/>
    </sheetView>
  </sheetViews>
  <sheetFormatPr baseColWidth="10" defaultColWidth="10.6640625" defaultRowHeight="15" x14ac:dyDescent="0.2"/>
  <cols>
    <col min="3" max="3" width="11.6640625" bestFit="1" customWidth="1"/>
  </cols>
  <sheetData>
    <row r="1" spans="1:4" x14ac:dyDescent="0.2">
      <c r="A1" s="2">
        <v>0</v>
      </c>
      <c r="B1" s="66" t="s">
        <v>19</v>
      </c>
      <c r="C1" s="66"/>
    </row>
    <row r="2" spans="1:4" s="4" customFormat="1" ht="48" x14ac:dyDescent="0.2">
      <c r="A2" s="4" t="s">
        <v>21</v>
      </c>
      <c r="B2" s="4" t="s">
        <v>29</v>
      </c>
      <c r="C2" s="4" t="s">
        <v>30</v>
      </c>
      <c r="D2" s="1" t="s">
        <v>48</v>
      </c>
    </row>
    <row r="3" spans="1:4" x14ac:dyDescent="0.2">
      <c r="A3" s="2">
        <v>2001</v>
      </c>
      <c r="B3">
        <v>5230628000</v>
      </c>
      <c r="C3">
        <v>0.91200000000000003</v>
      </c>
      <c r="D3">
        <v>1193</v>
      </c>
    </row>
    <row r="4" spans="1:4" x14ac:dyDescent="0.2">
      <c r="A4" s="2" t="s">
        <v>0</v>
      </c>
      <c r="B4">
        <v>14256819000</v>
      </c>
      <c r="C4">
        <v>0.77400000000000002</v>
      </c>
      <c r="D4" s="32">
        <v>993.93480404365062</v>
      </c>
    </row>
    <row r="5" spans="1:4" x14ac:dyDescent="0.2">
      <c r="A5" s="2" t="s">
        <v>1</v>
      </c>
      <c r="B5">
        <v>17037142000</v>
      </c>
      <c r="C5">
        <v>0.74199999999999999</v>
      </c>
      <c r="D5" s="32">
        <v>965.22753979761944</v>
      </c>
    </row>
    <row r="6" spans="1:4" x14ac:dyDescent="0.2">
      <c r="A6" s="2" t="s">
        <v>2</v>
      </c>
      <c r="B6">
        <v>17613627000</v>
      </c>
      <c r="C6">
        <v>0.748</v>
      </c>
      <c r="D6" s="32">
        <v>1130.6494445674607</v>
      </c>
    </row>
    <row r="7" spans="1:4" x14ac:dyDescent="0.2">
      <c r="A7" s="2" t="s">
        <v>3</v>
      </c>
      <c r="B7">
        <v>20051544000</v>
      </c>
      <c r="C7">
        <v>0.72799999999999998</v>
      </c>
      <c r="D7" s="32">
        <v>1207.2294432619055</v>
      </c>
    </row>
    <row r="8" spans="1:4" x14ac:dyDescent="0.2">
      <c r="A8" s="2" t="s">
        <v>4</v>
      </c>
      <c r="B8">
        <v>19362974000</v>
      </c>
      <c r="C8">
        <v>0.75</v>
      </c>
      <c r="D8" s="32">
        <v>1310.461235605577</v>
      </c>
    </row>
    <row r="9" spans="1:4" x14ac:dyDescent="0.2">
      <c r="A9" s="2" t="s">
        <v>5</v>
      </c>
      <c r="B9">
        <v>14455131000</v>
      </c>
      <c r="C9">
        <v>0.82199999999999995</v>
      </c>
      <c r="D9" s="32">
        <v>1477.184342215138</v>
      </c>
    </row>
    <row r="10" spans="1:4" x14ac:dyDescent="0.2">
      <c r="A10" s="2" t="s">
        <v>6</v>
      </c>
      <c r="B10">
        <v>18234340000</v>
      </c>
      <c r="C10">
        <v>0.79100000000000004</v>
      </c>
      <c r="D10" s="32">
        <v>1220.0420556442689</v>
      </c>
    </row>
    <row r="11" spans="1:4" x14ac:dyDescent="0.2">
      <c r="A11" s="2" t="s">
        <v>7</v>
      </c>
      <c r="B11">
        <v>36538096000</v>
      </c>
      <c r="C11">
        <v>0.6</v>
      </c>
      <c r="D11" s="32">
        <v>948.04638791666662</v>
      </c>
    </row>
    <row r="12" spans="1:4" x14ac:dyDescent="0.2">
      <c r="A12" s="2" t="s">
        <v>8</v>
      </c>
      <c r="B12">
        <v>38774410000</v>
      </c>
      <c r="C12">
        <v>0.59099999999999997</v>
      </c>
      <c r="D12" s="32">
        <v>1139.9655124484129</v>
      </c>
    </row>
    <row r="13" spans="1:4" x14ac:dyDescent="0.2">
      <c r="A13" s="2" t="s">
        <v>9</v>
      </c>
      <c r="B13">
        <v>40655709000</v>
      </c>
      <c r="C13">
        <v>0.58799999999999997</v>
      </c>
      <c r="D13" s="32">
        <v>1267.6388094682545</v>
      </c>
    </row>
    <row r="14" spans="1:4" x14ac:dyDescent="0.2">
      <c r="A14" s="2" t="s">
        <v>10</v>
      </c>
      <c r="B14">
        <v>46812333000</v>
      </c>
      <c r="C14">
        <v>0.56000000000000005</v>
      </c>
      <c r="D14" s="32">
        <v>1379.3541596640005</v>
      </c>
    </row>
    <row r="15" spans="1:4" x14ac:dyDescent="0.2">
      <c r="A15" s="2" t="s">
        <v>11</v>
      </c>
      <c r="B15">
        <v>31775907000</v>
      </c>
      <c r="C15">
        <v>0.66300000000000003</v>
      </c>
      <c r="D15" s="32">
        <v>1643.7989681150787</v>
      </c>
    </row>
    <row r="16" spans="1:4" x14ac:dyDescent="0.2">
      <c r="A16" s="2" t="s">
        <v>12</v>
      </c>
      <c r="B16">
        <v>29509882000</v>
      </c>
      <c r="C16">
        <v>0.69299999999999995</v>
      </c>
      <c r="D16" s="32">
        <v>1931.376109746031</v>
      </c>
    </row>
    <row r="17" spans="1:4" x14ac:dyDescent="0.2">
      <c r="A17" s="2" t="s">
        <v>13</v>
      </c>
      <c r="B17">
        <v>30358654000</v>
      </c>
      <c r="C17">
        <v>0.69299999999999995</v>
      </c>
      <c r="D17" s="32">
        <v>2061.0677412420632</v>
      </c>
    </row>
    <row r="18" spans="1:4" x14ac:dyDescent="0.2">
      <c r="A18" s="2" t="s">
        <v>14</v>
      </c>
      <c r="B18">
        <v>30641786000</v>
      </c>
      <c r="C18">
        <v>0.69599999999999995</v>
      </c>
      <c r="D18" s="32">
        <v>2094.6512639880957</v>
      </c>
    </row>
    <row r="19" spans="1:4" x14ac:dyDescent="0.2">
      <c r="A19" s="2" t="s">
        <v>15</v>
      </c>
      <c r="B19">
        <v>23910228000</v>
      </c>
      <c r="C19">
        <v>0.751</v>
      </c>
      <c r="D19" s="32">
        <v>2423.41</v>
      </c>
    </row>
    <row r="20" spans="1:4" x14ac:dyDescent="0.2">
      <c r="A20" s="2">
        <v>2018</v>
      </c>
      <c r="B20">
        <v>23788698000</v>
      </c>
      <c r="C20">
        <v>0.755</v>
      </c>
      <c r="D20" s="51">
        <v>2718.37</v>
      </c>
    </row>
    <row r="21" spans="1:4" ht="16" x14ac:dyDescent="0.2">
      <c r="A21" s="8">
        <v>2019</v>
      </c>
      <c r="B21">
        <v>23429109000</v>
      </c>
      <c r="C21">
        <v>0.76100000000000001</v>
      </c>
      <c r="D21" s="50">
        <v>2937.9616699166672</v>
      </c>
    </row>
    <row r="22" spans="1:4" ht="16" x14ac:dyDescent="0.2">
      <c r="A22" s="8">
        <v>2020</v>
      </c>
      <c r="B22">
        <v>22314607000</v>
      </c>
      <c r="C22">
        <v>0.77400000000000002</v>
      </c>
      <c r="D22" s="51">
        <v>3215.75</v>
      </c>
    </row>
    <row r="23" spans="1:4" ht="16" x14ac:dyDescent="0.2">
      <c r="A23" s="8">
        <v>2021</v>
      </c>
      <c r="B23">
        <v>20830012000</v>
      </c>
      <c r="C23">
        <v>0.80100000000000005</v>
      </c>
    </row>
    <row r="24" spans="1:4" ht="16" x14ac:dyDescent="0.2">
      <c r="A24" s="8">
        <v>2022</v>
      </c>
      <c r="B24" s="53">
        <v>20133479199</v>
      </c>
      <c r="C24" s="41">
        <v>0.80900000000000005</v>
      </c>
    </row>
    <row r="54" spans="11:11" x14ac:dyDescent="0.2">
      <c r="K54" t="s">
        <v>20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53"/>
  <sheetViews>
    <sheetView zoomScale="112" zoomScaleNormal="70" workbookViewId="0">
      <selection activeCell="B2" sqref="B2:D23"/>
    </sheetView>
  </sheetViews>
  <sheetFormatPr baseColWidth="10" defaultColWidth="8.83203125" defaultRowHeight="15" x14ac:dyDescent="0.2"/>
  <cols>
    <col min="2" max="2" width="17.33203125" bestFit="1" customWidth="1"/>
    <col min="3" max="3" width="17.33203125" customWidth="1"/>
    <col min="4" max="4" width="18.33203125" bestFit="1" customWidth="1"/>
    <col min="5" max="5" width="11" bestFit="1" customWidth="1"/>
  </cols>
  <sheetData>
    <row r="1" spans="1:4" x14ac:dyDescent="0.2">
      <c r="A1" t="s">
        <v>21</v>
      </c>
      <c r="B1" t="s">
        <v>101</v>
      </c>
      <c r="C1" t="s">
        <v>102</v>
      </c>
      <c r="D1" t="s">
        <v>103</v>
      </c>
    </row>
    <row r="2" spans="1:4" x14ac:dyDescent="0.2">
      <c r="A2">
        <v>2001</v>
      </c>
      <c r="B2" s="76">
        <v>54194672000</v>
      </c>
      <c r="C2" s="76">
        <v>50078436000</v>
      </c>
      <c r="D2" s="76">
        <v>59425300000</v>
      </c>
    </row>
    <row r="3" spans="1:4" x14ac:dyDescent="0.2">
      <c r="A3">
        <v>2002</v>
      </c>
      <c r="B3" s="76">
        <v>48958824000</v>
      </c>
      <c r="C3" s="76">
        <v>44882124000</v>
      </c>
      <c r="D3" s="76">
        <v>63215643000</v>
      </c>
    </row>
    <row r="4" spans="1:4" x14ac:dyDescent="0.2">
      <c r="A4">
        <v>2003</v>
      </c>
      <c r="B4" s="76">
        <v>48899215000</v>
      </c>
      <c r="C4" s="76">
        <v>44802544000</v>
      </c>
      <c r="D4" s="76">
        <v>65936357000</v>
      </c>
    </row>
    <row r="5" spans="1:4" x14ac:dyDescent="0.2">
      <c r="A5">
        <v>2004</v>
      </c>
      <c r="B5" s="76">
        <v>52253798000</v>
      </c>
      <c r="C5" s="76">
        <v>51411500000</v>
      </c>
      <c r="D5" s="76">
        <v>69867425000</v>
      </c>
    </row>
    <row r="6" spans="1:4" x14ac:dyDescent="0.2">
      <c r="A6">
        <v>2005</v>
      </c>
      <c r="B6" s="76">
        <v>53765570000</v>
      </c>
      <c r="C6" s="76">
        <v>56182480000</v>
      </c>
      <c r="D6" s="76">
        <v>73817114000</v>
      </c>
    </row>
    <row r="7" spans="1:4" x14ac:dyDescent="0.2">
      <c r="A7">
        <v>2006</v>
      </c>
      <c r="B7" s="76">
        <v>58008050000</v>
      </c>
      <c r="C7" s="76">
        <v>62126072000</v>
      </c>
      <c r="D7" s="76">
        <v>77371024000</v>
      </c>
    </row>
    <row r="8" spans="1:4" x14ac:dyDescent="0.2">
      <c r="A8">
        <v>2007</v>
      </c>
      <c r="B8" s="76">
        <v>66671511000</v>
      </c>
      <c r="C8" s="76">
        <v>72935432000</v>
      </c>
      <c r="D8" s="76">
        <v>81126642000</v>
      </c>
    </row>
    <row r="9" spans="1:4" x14ac:dyDescent="0.2">
      <c r="A9">
        <v>2008</v>
      </c>
      <c r="B9" s="76">
        <v>69198008000</v>
      </c>
      <c r="C9" s="76">
        <v>66837412000</v>
      </c>
      <c r="D9" s="76">
        <v>87432348000</v>
      </c>
    </row>
    <row r="10" spans="1:4" x14ac:dyDescent="0.2">
      <c r="A10">
        <v>2009</v>
      </c>
      <c r="B10" s="76">
        <v>54902859000</v>
      </c>
      <c r="C10" s="76">
        <v>50095720000</v>
      </c>
      <c r="D10" s="76">
        <v>91440955000</v>
      </c>
    </row>
    <row r="11" spans="1:4" x14ac:dyDescent="0.2">
      <c r="A11">
        <v>2010</v>
      </c>
      <c r="B11" s="76">
        <v>55946259000</v>
      </c>
      <c r="C11" s="76">
        <v>54140412000</v>
      </c>
      <c r="D11" s="76">
        <v>94720669000</v>
      </c>
    </row>
    <row r="12" spans="1:4" x14ac:dyDescent="0.2">
      <c r="A12">
        <v>2011</v>
      </c>
      <c r="B12" s="76">
        <v>58110495000</v>
      </c>
      <c r="C12" s="76">
        <v>63116712000</v>
      </c>
      <c r="D12" s="76">
        <v>98766204000</v>
      </c>
    </row>
    <row r="13" spans="1:4" x14ac:dyDescent="0.2">
      <c r="A13">
        <v>2012</v>
      </c>
      <c r="B13" s="76">
        <v>59489508000</v>
      </c>
      <c r="C13" s="76">
        <v>60693620000</v>
      </c>
      <c r="D13" s="76">
        <v>106301841000</v>
      </c>
    </row>
    <row r="14" spans="1:4" x14ac:dyDescent="0.2">
      <c r="A14">
        <v>2013</v>
      </c>
      <c r="B14" s="76">
        <v>62590786000</v>
      </c>
      <c r="C14" s="76">
        <v>64705984000</v>
      </c>
      <c r="D14" s="76">
        <v>94366694000</v>
      </c>
    </row>
    <row r="15" spans="1:4" x14ac:dyDescent="0.2">
      <c r="A15">
        <v>2014</v>
      </c>
      <c r="B15" s="76">
        <v>66657175000</v>
      </c>
      <c r="C15" s="76">
        <v>70988656000</v>
      </c>
      <c r="D15" s="76">
        <v>96167057000</v>
      </c>
    </row>
    <row r="16" spans="1:4" x14ac:dyDescent="0.2">
      <c r="A16">
        <v>2015</v>
      </c>
      <c r="B16" s="76">
        <v>68655999000</v>
      </c>
      <c r="C16" s="76">
        <v>70432648000</v>
      </c>
      <c r="D16" s="76">
        <v>99014654000</v>
      </c>
    </row>
    <row r="17" spans="1:27" x14ac:dyDescent="0.2">
      <c r="A17">
        <v>2016</v>
      </c>
      <c r="B17" s="76">
        <v>70114637000</v>
      </c>
      <c r="C17" s="76">
        <v>66250104000</v>
      </c>
      <c r="D17" s="76">
        <v>100756422000</v>
      </c>
    </row>
    <row r="18" spans="1:27" x14ac:dyDescent="0.2">
      <c r="A18">
        <v>2017</v>
      </c>
      <c r="B18" s="76">
        <v>72216212000</v>
      </c>
      <c r="C18" s="76">
        <v>71118704000</v>
      </c>
      <c r="D18" s="76">
        <v>96126440000</v>
      </c>
    </row>
    <row r="19" spans="1:27" x14ac:dyDescent="0.2">
      <c r="A19">
        <v>2018</v>
      </c>
      <c r="B19" s="76">
        <v>73115358000</v>
      </c>
      <c r="C19" s="76">
        <v>73457568000</v>
      </c>
      <c r="D19" s="76">
        <v>96904057000</v>
      </c>
    </row>
    <row r="20" spans="1:27" x14ac:dyDescent="0.2">
      <c r="A20">
        <v>2019</v>
      </c>
      <c r="B20" s="76">
        <v>74411836000</v>
      </c>
      <c r="C20" s="76">
        <v>74096240000</v>
      </c>
      <c r="D20" s="76">
        <v>97840944000</v>
      </c>
    </row>
    <row r="21" spans="1:27" x14ac:dyDescent="0.2">
      <c r="A21">
        <v>2020</v>
      </c>
      <c r="B21" s="76">
        <v>76357681000</v>
      </c>
      <c r="C21" s="76">
        <v>72728360000</v>
      </c>
      <c r="D21" s="76">
        <v>98672288000</v>
      </c>
    </row>
    <row r="22" spans="1:27" x14ac:dyDescent="0.2">
      <c r="A22">
        <v>2021</v>
      </c>
      <c r="B22" s="76">
        <v>83761394000</v>
      </c>
      <c r="C22" s="76">
        <v>89379040000</v>
      </c>
      <c r="D22" s="76">
        <v>104591406000</v>
      </c>
    </row>
    <row r="23" spans="1:27" x14ac:dyDescent="0.2">
      <c r="A23">
        <v>2022</v>
      </c>
      <c r="B23" s="76">
        <v>85141845586</v>
      </c>
      <c r="C23" s="76">
        <v>80860432000</v>
      </c>
      <c r="D23" s="76">
        <v>105264324785</v>
      </c>
    </row>
    <row r="28" spans="1:27" x14ac:dyDescent="0.2">
      <c r="AA28" s="53">
        <v>7000000000</v>
      </c>
    </row>
    <row r="29" spans="1:27" x14ac:dyDescent="0.2">
      <c r="C29" s="90"/>
      <c r="AA29" s="53">
        <v>1000000000</v>
      </c>
    </row>
    <row r="30" spans="1:27" x14ac:dyDescent="0.2">
      <c r="C30" s="90"/>
      <c r="AA30" s="53">
        <v>200000000</v>
      </c>
    </row>
    <row r="31" spans="1:27" x14ac:dyDescent="0.2">
      <c r="C31" s="90"/>
    </row>
    <row r="32" spans="1:27" x14ac:dyDescent="0.2">
      <c r="C32" s="90"/>
    </row>
    <row r="33" spans="3:3" x14ac:dyDescent="0.2">
      <c r="C33" s="90"/>
    </row>
    <row r="34" spans="3:3" x14ac:dyDescent="0.2">
      <c r="C34" s="90"/>
    </row>
    <row r="35" spans="3:3" x14ac:dyDescent="0.2">
      <c r="C35" s="90"/>
    </row>
    <row r="36" spans="3:3" x14ac:dyDescent="0.2">
      <c r="C36" s="90"/>
    </row>
    <row r="37" spans="3:3" x14ac:dyDescent="0.2">
      <c r="C37" s="90"/>
    </row>
    <row r="38" spans="3:3" x14ac:dyDescent="0.2">
      <c r="C38" s="90"/>
    </row>
    <row r="39" spans="3:3" x14ac:dyDescent="0.2">
      <c r="C39" s="90"/>
    </row>
    <row r="40" spans="3:3" x14ac:dyDescent="0.2">
      <c r="C40" s="90"/>
    </row>
    <row r="41" spans="3:3" x14ac:dyDescent="0.2">
      <c r="C41" s="90"/>
    </row>
    <row r="42" spans="3:3" x14ac:dyDescent="0.2">
      <c r="C42" s="90"/>
    </row>
    <row r="43" spans="3:3" x14ac:dyDescent="0.2">
      <c r="C43" s="90"/>
    </row>
    <row r="44" spans="3:3" x14ac:dyDescent="0.2">
      <c r="C44" s="90"/>
    </row>
    <row r="45" spans="3:3" x14ac:dyDescent="0.2">
      <c r="C45" s="90"/>
    </row>
    <row r="46" spans="3:3" x14ac:dyDescent="0.2">
      <c r="C46" s="90"/>
    </row>
    <row r="47" spans="3:3" x14ac:dyDescent="0.2">
      <c r="C47" s="90"/>
    </row>
    <row r="48" spans="3:3" x14ac:dyDescent="0.2">
      <c r="C48" s="90"/>
    </row>
    <row r="49" spans="3:3" x14ac:dyDescent="0.2">
      <c r="C49" s="90"/>
    </row>
    <row r="50" spans="3:3" x14ac:dyDescent="0.2">
      <c r="C50" s="90"/>
    </row>
    <row r="51" spans="3:3" x14ac:dyDescent="0.2">
      <c r="C51" s="90"/>
    </row>
    <row r="52" spans="3:3" x14ac:dyDescent="0.2">
      <c r="C52" s="90"/>
    </row>
    <row r="53" spans="3:3" x14ac:dyDescent="0.2">
      <c r="C53" s="90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8"/>
  <sheetViews>
    <sheetView zoomScale="60" zoomScaleNormal="60" workbookViewId="0">
      <selection activeCell="C2" sqref="C2:C23"/>
    </sheetView>
  </sheetViews>
  <sheetFormatPr baseColWidth="10" defaultColWidth="8.83203125" defaultRowHeight="15" x14ac:dyDescent="0.2"/>
  <cols>
    <col min="2" max="2" width="20" bestFit="1" customWidth="1"/>
    <col min="3" max="3" width="32.5" bestFit="1" customWidth="1"/>
    <col min="4" max="4" width="35.6640625" style="54" bestFit="1" customWidth="1"/>
    <col min="5" max="6" width="35.6640625" style="54" customWidth="1"/>
  </cols>
  <sheetData>
    <row r="1" spans="1:6" x14ac:dyDescent="0.2">
      <c r="A1" t="s">
        <v>21</v>
      </c>
      <c r="B1" t="s">
        <v>61</v>
      </c>
      <c r="C1" t="s">
        <v>62</v>
      </c>
      <c r="D1" s="54" t="s">
        <v>54</v>
      </c>
      <c r="E1" s="54" t="s">
        <v>55</v>
      </c>
      <c r="F1" s="54" t="s">
        <v>63</v>
      </c>
    </row>
    <row r="2" spans="1:6" x14ac:dyDescent="0.2">
      <c r="A2">
        <v>2001</v>
      </c>
      <c r="B2" s="53">
        <f>'TRS_Gain-Loss'!Q13*1000</f>
        <v>8256683000000</v>
      </c>
      <c r="C2">
        <v>777416000</v>
      </c>
      <c r="D2">
        <v>777416000</v>
      </c>
      <c r="E2" s="54">
        <f t="shared" ref="E2:E23" si="0">IF(C2&gt;D2,C2-D2,0)</f>
        <v>0</v>
      </c>
      <c r="F2" s="54">
        <f t="shared" ref="F2:F23" si="1">IF(C2&lt;D2,D2-C2,0)</f>
        <v>0</v>
      </c>
    </row>
    <row r="3" spans="1:6" x14ac:dyDescent="0.2">
      <c r="A3">
        <v>2002</v>
      </c>
      <c r="B3" s="53">
        <f>'TRS_Gain-Loss'!Q14*1000</f>
        <v>8747101000000</v>
      </c>
      <c r="C3">
        <v>814647000</v>
      </c>
      <c r="D3">
        <v>814647000</v>
      </c>
      <c r="E3" s="54">
        <f t="shared" si="0"/>
        <v>0</v>
      </c>
      <c r="F3" s="54">
        <f t="shared" si="1"/>
        <v>0</v>
      </c>
    </row>
    <row r="4" spans="1:6" x14ac:dyDescent="0.2">
      <c r="A4">
        <v>2003</v>
      </c>
      <c r="B4" s="53">
        <f>'TRS_Gain-Loss'!Q15*1000</f>
        <v>9206086000000</v>
      </c>
      <c r="C4">
        <v>1163732000</v>
      </c>
      <c r="D4">
        <v>1163732000</v>
      </c>
      <c r="E4" s="54">
        <f t="shared" si="0"/>
        <v>0</v>
      </c>
      <c r="F4" s="54">
        <f t="shared" si="1"/>
        <v>0</v>
      </c>
    </row>
    <row r="5" spans="1:6" x14ac:dyDescent="0.2">
      <c r="A5">
        <v>2004</v>
      </c>
      <c r="B5" s="53">
        <f>'TRS_Gain-Loss'!Q16*1000</f>
        <v>9565978000000</v>
      </c>
      <c r="C5">
        <v>1206868600</v>
      </c>
      <c r="D5">
        <v>1270388000</v>
      </c>
      <c r="E5" s="54">
        <f t="shared" si="0"/>
        <v>0</v>
      </c>
      <c r="F5" s="54">
        <f t="shared" si="1"/>
        <v>63519400</v>
      </c>
    </row>
    <row r="6" spans="1:6" x14ac:dyDescent="0.2">
      <c r="A6">
        <v>2005</v>
      </c>
      <c r="B6" s="53">
        <f>'TRS_Gain-Loss'!Q17*1000</f>
        <v>9775159000000</v>
      </c>
      <c r="C6">
        <v>1230284160</v>
      </c>
      <c r="D6">
        <v>1281546000</v>
      </c>
      <c r="E6" s="54">
        <f t="shared" si="0"/>
        <v>0</v>
      </c>
      <c r="F6" s="54">
        <f t="shared" si="1"/>
        <v>51261840</v>
      </c>
    </row>
    <row r="7" spans="1:6" x14ac:dyDescent="0.2">
      <c r="A7">
        <v>2006</v>
      </c>
      <c r="B7" s="53">
        <f>'TRS_Gain-Loss'!Q18*1000</f>
        <v>9974061000000</v>
      </c>
      <c r="C7">
        <v>1247486240</v>
      </c>
      <c r="D7">
        <v>1417598000</v>
      </c>
      <c r="E7" s="54">
        <f t="shared" si="0"/>
        <v>0</v>
      </c>
      <c r="F7" s="54">
        <f t="shared" si="1"/>
        <v>170111760</v>
      </c>
    </row>
    <row r="8" spans="1:6" x14ac:dyDescent="0.2">
      <c r="A8">
        <v>2007</v>
      </c>
      <c r="B8" s="53">
        <f>'TRS_Gain-Loss'!Q19*1000</f>
        <v>10199505000000</v>
      </c>
      <c r="C8">
        <v>1278038150</v>
      </c>
      <c r="D8">
        <v>1539805000</v>
      </c>
      <c r="E8" s="54">
        <f t="shared" si="0"/>
        <v>0</v>
      </c>
      <c r="F8" s="54">
        <f t="shared" si="1"/>
        <v>261766850</v>
      </c>
    </row>
    <row r="9" spans="1:6" x14ac:dyDescent="0.2">
      <c r="A9">
        <v>2008</v>
      </c>
      <c r="B9" s="53">
        <f>'TRS_Gain-Loss'!Q20*1000</f>
        <v>10460473000000</v>
      </c>
      <c r="C9">
        <v>1329498000</v>
      </c>
      <c r="D9">
        <v>1329498000</v>
      </c>
      <c r="E9" s="54">
        <f t="shared" si="0"/>
        <v>0</v>
      </c>
      <c r="F9" s="54">
        <f t="shared" si="1"/>
        <v>0</v>
      </c>
    </row>
    <row r="10" spans="1:6" x14ac:dyDescent="0.2">
      <c r="A10">
        <v>2009</v>
      </c>
      <c r="B10" s="53">
        <f>'TRS_Gain-Loss'!Q21*1000</f>
        <v>10800817000000</v>
      </c>
      <c r="C10">
        <v>1336993600</v>
      </c>
      <c r="D10">
        <v>1502240000</v>
      </c>
      <c r="E10" s="54">
        <f t="shared" si="0"/>
        <v>0</v>
      </c>
      <c r="F10" s="54">
        <f t="shared" si="1"/>
        <v>165246400</v>
      </c>
    </row>
    <row r="11" spans="1:6" x14ac:dyDescent="0.2">
      <c r="A11">
        <v>2010</v>
      </c>
      <c r="B11" s="53">
        <f>'TRS_Gain-Loss'!Q22*1000</f>
        <v>11057260000000</v>
      </c>
      <c r="C11">
        <v>1364284480</v>
      </c>
      <c r="D11">
        <v>2623624000</v>
      </c>
      <c r="E11" s="54">
        <f t="shared" si="0"/>
        <v>0</v>
      </c>
      <c r="F11" s="54">
        <f t="shared" si="1"/>
        <v>1259339520</v>
      </c>
    </row>
    <row r="12" spans="1:6" x14ac:dyDescent="0.2">
      <c r="A12">
        <v>2011</v>
      </c>
      <c r="B12" s="53">
        <f>'TRS_Gain-Loss'!Q23*1000</f>
        <v>11097598000000</v>
      </c>
      <c r="C12">
        <v>1384916730</v>
      </c>
      <c r="D12">
        <v>2715523000</v>
      </c>
      <c r="E12" s="54">
        <f t="shared" si="0"/>
        <v>0</v>
      </c>
      <c r="F12" s="54">
        <f t="shared" si="1"/>
        <v>1330606270</v>
      </c>
    </row>
    <row r="13" spans="1:6" x14ac:dyDescent="0.2">
      <c r="A13">
        <v>2012</v>
      </c>
      <c r="B13" s="53">
        <f>'TRS_Gain-Loss'!Q24*1000</f>
        <v>10879075000000</v>
      </c>
      <c r="C13">
        <v>1331946910</v>
      </c>
      <c r="D13">
        <v>3248651000</v>
      </c>
      <c r="E13" s="54">
        <f t="shared" si="0"/>
        <v>0</v>
      </c>
      <c r="F13" s="54">
        <f t="shared" si="1"/>
        <v>1916704090</v>
      </c>
    </row>
    <row r="14" spans="1:6" x14ac:dyDescent="0.2">
      <c r="A14">
        <v>2013</v>
      </c>
      <c r="B14" s="53">
        <f>'TRS_Gain-Loss'!Q25*1000</f>
        <v>10765635000000</v>
      </c>
      <c r="C14">
        <v>1338847020</v>
      </c>
      <c r="D14">
        <v>2910537000</v>
      </c>
      <c r="E14" s="54">
        <f t="shared" si="0"/>
        <v>0</v>
      </c>
      <c r="F14" s="54">
        <f t="shared" si="1"/>
        <v>1571689980</v>
      </c>
    </row>
    <row r="15" spans="1:6" x14ac:dyDescent="0.2">
      <c r="A15">
        <v>2014</v>
      </c>
      <c r="B15" s="53">
        <f>'TRS_Gain-Loss'!Q26*1000</f>
        <v>10725329000000</v>
      </c>
      <c r="C15">
        <v>1353531000</v>
      </c>
      <c r="D15">
        <v>1489734000</v>
      </c>
      <c r="E15" s="54">
        <f t="shared" si="0"/>
        <v>0</v>
      </c>
      <c r="F15" s="54">
        <f t="shared" si="1"/>
        <v>136203000</v>
      </c>
    </row>
    <row r="16" spans="1:6" x14ac:dyDescent="0.2">
      <c r="A16">
        <v>2015</v>
      </c>
      <c r="B16" s="53">
        <f>'TRS_Gain-Loss'!Q27*1000</f>
        <v>10948586000000</v>
      </c>
      <c r="C16">
        <v>1449165000</v>
      </c>
      <c r="D16">
        <v>1368602000</v>
      </c>
      <c r="E16" s="54">
        <f t="shared" si="0"/>
        <v>80563000</v>
      </c>
      <c r="F16" s="54">
        <f t="shared" si="1"/>
        <v>0</v>
      </c>
    </row>
    <row r="17" spans="1:6" x14ac:dyDescent="0.2">
      <c r="A17">
        <v>2016</v>
      </c>
      <c r="B17" s="53">
        <f>'TRS_Gain-Loss'!Q28*1000</f>
        <v>11099607000000</v>
      </c>
      <c r="C17">
        <v>1466938000</v>
      </c>
      <c r="D17">
        <v>1178129000</v>
      </c>
      <c r="E17" s="54">
        <f t="shared" si="0"/>
        <v>288809000</v>
      </c>
      <c r="F17" s="54">
        <f t="shared" si="1"/>
        <v>0</v>
      </c>
    </row>
    <row r="18" spans="1:6" x14ac:dyDescent="0.2">
      <c r="A18">
        <v>2017</v>
      </c>
      <c r="B18" s="53">
        <f>'TRS_Gain-Loss'!Q29*1000</f>
        <v>11557147000000</v>
      </c>
      <c r="C18">
        <v>1514285000</v>
      </c>
      <c r="D18">
        <v>1054862000</v>
      </c>
      <c r="E18" s="54">
        <f t="shared" si="0"/>
        <v>459423000</v>
      </c>
      <c r="F18" s="54">
        <f t="shared" si="1"/>
        <v>0</v>
      </c>
    </row>
    <row r="19" spans="1:6" x14ac:dyDescent="0.2">
      <c r="A19">
        <v>2018</v>
      </c>
      <c r="B19" s="53">
        <f>'TRS_Gain-Loss'!Q30*1000</f>
        <v>10775526239000</v>
      </c>
      <c r="C19">
        <v>1565679000</v>
      </c>
      <c r="D19">
        <v>1056430000</v>
      </c>
      <c r="E19" s="54">
        <f t="shared" si="0"/>
        <v>509249000</v>
      </c>
      <c r="F19" s="54">
        <f t="shared" si="1"/>
        <v>0</v>
      </c>
    </row>
    <row r="20" spans="1:6" x14ac:dyDescent="0.2">
      <c r="A20">
        <v>2019</v>
      </c>
      <c r="B20" s="53">
        <f>'TRS_Gain-Loss'!Q31*1000</f>
        <v>11088784826000</v>
      </c>
      <c r="C20">
        <v>1614188000</v>
      </c>
      <c r="D20">
        <v>1088328000</v>
      </c>
      <c r="E20" s="54">
        <f t="shared" si="0"/>
        <v>525860000</v>
      </c>
      <c r="F20" s="54">
        <f t="shared" si="1"/>
        <v>0</v>
      </c>
    </row>
    <row r="21" spans="1:6" x14ac:dyDescent="0.2">
      <c r="A21">
        <v>2020</v>
      </c>
      <c r="B21" s="53">
        <f>'TRS_Gain-Loss'!Q32*1000</f>
        <v>11392012792000</v>
      </c>
      <c r="C21">
        <v>1662017000</v>
      </c>
      <c r="D21">
        <v>1081662000</v>
      </c>
      <c r="E21" s="54">
        <f t="shared" si="0"/>
        <v>580355000</v>
      </c>
      <c r="F21" s="54">
        <f t="shared" si="1"/>
        <v>0</v>
      </c>
    </row>
    <row r="22" spans="1:6" x14ac:dyDescent="0.2">
      <c r="A22">
        <v>2021</v>
      </c>
      <c r="B22" s="53">
        <f>'TRS_Gain-Loss'!Q33*1000</f>
        <v>11610016164000</v>
      </c>
      <c r="C22">
        <v>1696121000</v>
      </c>
      <c r="D22">
        <v>1028799000</v>
      </c>
      <c r="E22" s="54">
        <f t="shared" si="0"/>
        <v>667322000</v>
      </c>
      <c r="F22" s="54">
        <f t="shared" si="1"/>
        <v>0</v>
      </c>
    </row>
    <row r="23" spans="1:6" x14ac:dyDescent="0.2">
      <c r="A23">
        <v>2022</v>
      </c>
      <c r="B23" s="53">
        <f>'TRS_Gain-Loss'!Q34*1000</f>
        <v>14161720051000</v>
      </c>
      <c r="C23">
        <v>1776074000</v>
      </c>
      <c r="D23" s="61">
        <v>1037935000</v>
      </c>
      <c r="E23" s="54">
        <f t="shared" si="0"/>
        <v>738139000</v>
      </c>
      <c r="F23" s="54">
        <f t="shared" si="1"/>
        <v>0</v>
      </c>
    </row>
    <row r="24" spans="1:6" x14ac:dyDescent="0.2">
      <c r="D24"/>
    </row>
    <row r="25" spans="1:6" x14ac:dyDescent="0.2">
      <c r="D25"/>
    </row>
    <row r="26" spans="1:6" x14ac:dyDescent="0.2">
      <c r="D26"/>
    </row>
    <row r="27" spans="1:6" x14ac:dyDescent="0.2">
      <c r="D27"/>
    </row>
    <row r="28" spans="1:6" x14ac:dyDescent="0.2">
      <c r="D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26"/>
  <sheetViews>
    <sheetView topLeftCell="C1" zoomScale="91" zoomScaleNormal="91" workbookViewId="0">
      <selection activeCell="H31" sqref="H31"/>
    </sheetView>
  </sheetViews>
  <sheetFormatPr baseColWidth="10" defaultColWidth="8.83203125" defaultRowHeight="15" x14ac:dyDescent="0.2"/>
  <cols>
    <col min="1" max="1" width="9" bestFit="1" customWidth="1"/>
    <col min="2" max="2" width="11.33203125" bestFit="1" customWidth="1"/>
    <col min="3" max="3" width="9" bestFit="1" customWidth="1"/>
    <col min="4" max="4" width="16.33203125" bestFit="1" customWidth="1"/>
    <col min="5" max="5" width="32.6640625" bestFit="1" customWidth="1"/>
    <col min="6" max="7" width="20" customWidth="1"/>
    <col min="8" max="8" width="19.83203125" bestFit="1" customWidth="1"/>
    <col min="17" max="17" width="11.6640625" bestFit="1" customWidth="1"/>
  </cols>
  <sheetData>
    <row r="1" spans="1:8" x14ac:dyDescent="0.2">
      <c r="A1" t="s">
        <v>59</v>
      </c>
      <c r="B1" t="s">
        <v>33</v>
      </c>
      <c r="C1" t="s">
        <v>60</v>
      </c>
      <c r="E1" t="s">
        <v>37</v>
      </c>
      <c r="F1" t="s">
        <v>38</v>
      </c>
      <c r="G1" t="s">
        <v>39</v>
      </c>
      <c r="H1" t="s">
        <v>42</v>
      </c>
    </row>
    <row r="2" spans="1:8" x14ac:dyDescent="0.2">
      <c r="A2">
        <v>2001</v>
      </c>
      <c r="B2" s="53">
        <f>'TRS_Gain-Loss'!Q13*1000</f>
        <v>8256683000000</v>
      </c>
      <c r="C2" s="33">
        <f>'TRS_Gain-Loss'!S13</f>
        <v>0.1532</v>
      </c>
      <c r="D2" s="54">
        <f>'TRS_Gain-Loss'!V13</f>
        <v>1251636982.598608</v>
      </c>
      <c r="E2" s="54">
        <f>'TRS_Gain-Loss'!W13</f>
        <v>382248017.4013921</v>
      </c>
      <c r="F2" s="54">
        <f>'TRS_Gain-Loss'!X13</f>
        <v>1599283000</v>
      </c>
      <c r="G2" s="54">
        <f>'TRS_Gain-Loss'!Y13</f>
        <v>347646017.40139198</v>
      </c>
      <c r="H2" s="55">
        <f>G2-E2</f>
        <v>-34602000.000000119</v>
      </c>
    </row>
    <row r="3" spans="1:8" x14ac:dyDescent="0.2">
      <c r="A3">
        <v>2002</v>
      </c>
      <c r="B3" s="53">
        <f>'TRS_Gain-Loss'!Q14*1000</f>
        <v>8747101000000</v>
      </c>
      <c r="C3" s="33">
        <f>'TRS_Gain-Loss'!S14</f>
        <v>0.1532</v>
      </c>
      <c r="D3" s="54">
        <f>'TRS_Gain-Loss'!V14</f>
        <v>1386072053.3642693</v>
      </c>
      <c r="E3" s="54">
        <f>'TRS_Gain-Loss'!W14</f>
        <v>448737946.63573086</v>
      </c>
      <c r="F3" s="54">
        <f>'TRS_Gain-Loss'!X14</f>
        <v>1653066000</v>
      </c>
      <c r="G3" s="54">
        <f>'TRS_Gain-Loss'!Y14</f>
        <v>266993946.63573074</v>
      </c>
      <c r="H3" s="55">
        <f t="shared" ref="H3:H21" si="0">G3-E3</f>
        <v>-181744000.00000012</v>
      </c>
    </row>
    <row r="4" spans="1:8" x14ac:dyDescent="0.2">
      <c r="A4">
        <v>2003</v>
      </c>
      <c r="B4" s="53">
        <f>'TRS_Gain-Loss'!Q15*1000</f>
        <v>9206086000000</v>
      </c>
      <c r="C4" s="33">
        <f>'TRS_Gain-Loss'!S15</f>
        <v>0.1489</v>
      </c>
      <c r="D4" s="54">
        <f>'TRS_Gain-Loss'!V15</f>
        <v>2383549777.7777777</v>
      </c>
      <c r="E4" s="54">
        <f>'TRS_Gain-Loss'!W15</f>
        <v>1249057222.2222223</v>
      </c>
      <c r="F4" s="54">
        <f>'TRS_Gain-Loss'!X15</f>
        <v>2054307000</v>
      </c>
      <c r="G4" s="54">
        <f>'TRS_Gain-Loss'!Y15</f>
        <v>-329242777.77777767</v>
      </c>
      <c r="H4" s="55">
        <f t="shared" si="0"/>
        <v>-1578300000</v>
      </c>
    </row>
    <row r="5" spans="1:8" x14ac:dyDescent="0.2">
      <c r="A5">
        <v>2004</v>
      </c>
      <c r="B5" s="53">
        <f>'TRS_Gain-Loss'!Q16*1000</f>
        <v>9565978000000</v>
      </c>
      <c r="C5" s="33">
        <f>'TRS_Gain-Loss'!S16</f>
        <v>0.14899999999999999</v>
      </c>
      <c r="D5" s="54">
        <f>'TRS_Gain-Loss'!V16</f>
        <v>1219604851.8518517</v>
      </c>
      <c r="E5" s="54">
        <f>'TRS_Gain-Loss'!W16</f>
        <v>1372766148.1481483</v>
      </c>
      <c r="F5" s="54">
        <f>'TRS_Gain-Loss'!X16</f>
        <v>2194340000</v>
      </c>
      <c r="G5" s="54">
        <f>'TRS_Gain-Loss'!Y16</f>
        <v>974735148.1481483</v>
      </c>
      <c r="H5" s="55">
        <f t="shared" si="0"/>
        <v>-398031000</v>
      </c>
    </row>
    <row r="6" spans="1:8" x14ac:dyDescent="0.2">
      <c r="A6">
        <v>2005</v>
      </c>
      <c r="B6" s="53">
        <f>'TRS_Gain-Loss'!Q17*1000</f>
        <v>9775159000000</v>
      </c>
      <c r="C6" s="33">
        <f>'TRS_Gain-Loss'!S17</f>
        <v>0.14899999999999999</v>
      </c>
      <c r="D6" s="54">
        <f>'TRS_Gain-Loss'!V17</f>
        <v>950991740.74074066</v>
      </c>
      <c r="E6" s="54">
        <f>'TRS_Gain-Loss'!W17</f>
        <v>1396288259.2592595</v>
      </c>
      <c r="F6" s="54">
        <f>'TRS_Gain-Loss'!X17</f>
        <v>2222031000</v>
      </c>
      <c r="G6" s="54">
        <f>'TRS_Gain-Loss'!Y17</f>
        <v>1271039259.2592592</v>
      </c>
      <c r="H6" s="55">
        <f t="shared" si="0"/>
        <v>-125249000.00000024</v>
      </c>
    </row>
    <row r="7" spans="1:8" x14ac:dyDescent="0.2">
      <c r="A7">
        <v>2006</v>
      </c>
      <c r="B7" s="53">
        <f>'TRS_Gain-Loss'!Q18*1000</f>
        <v>9974061000000</v>
      </c>
      <c r="C7" s="33">
        <f>'TRS_Gain-Loss'!S18</f>
        <v>0.1482</v>
      </c>
      <c r="D7" s="54">
        <f>'TRS_Gain-Loss'!V18</f>
        <v>942028296.29629624</v>
      </c>
      <c r="E7" s="54">
        <f>'TRS_Gain-Loss'!W18</f>
        <v>1589008703.7037036</v>
      </c>
      <c r="F7" s="54">
        <f>'TRS_Gain-Loss'!X18</f>
        <v>2261927000</v>
      </c>
      <c r="G7" s="54">
        <f>'TRS_Gain-Loss'!Y18</f>
        <v>1319898703.7037039</v>
      </c>
      <c r="H7" s="55">
        <f t="shared" si="0"/>
        <v>-269109999.99999976</v>
      </c>
    </row>
    <row r="8" spans="1:8" x14ac:dyDescent="0.2">
      <c r="A8">
        <v>2007</v>
      </c>
      <c r="B8" s="53">
        <f>'TRS_Gain-Loss'!Q19*1000</f>
        <v>10199505000000</v>
      </c>
      <c r="C8" s="33">
        <f>'TRS_Gain-Loss'!S19</f>
        <v>0.14810000000000001</v>
      </c>
      <c r="D8" s="54">
        <f>'TRS_Gain-Loss'!V19</f>
        <v>1094265740.7407408</v>
      </c>
      <c r="E8" s="54">
        <f>'TRS_Gain-Loss'!W19</f>
        <v>1544109259.2592595</v>
      </c>
      <c r="F8" s="54">
        <f>'TRS_Gain-Loss'!X19</f>
        <v>2311748000</v>
      </c>
      <c r="G8" s="54">
        <f>'TRS_Gain-Loss'!Y19</f>
        <v>1217482259.2592592</v>
      </c>
      <c r="H8" s="55">
        <f t="shared" si="0"/>
        <v>-326627000.00000024</v>
      </c>
    </row>
    <row r="9" spans="1:8" x14ac:dyDescent="0.2">
      <c r="A9">
        <v>2008</v>
      </c>
      <c r="B9" s="53">
        <f>'TRS_Gain-Loss'!Q20*1000</f>
        <v>10460473000000</v>
      </c>
      <c r="C9" s="33">
        <f>'TRS_Gain-Loss'!S20</f>
        <v>0.14230000000000001</v>
      </c>
      <c r="D9" s="54">
        <f>'TRS_Gain-Loss'!V20</f>
        <v>2873534444.4444442</v>
      </c>
      <c r="E9" s="54">
        <f>'TRS_Gain-Loss'!W20</f>
        <v>1292441555.5555553</v>
      </c>
      <c r="F9" s="54">
        <f>'TRS_Gain-Loss'!X20</f>
        <v>2346292000</v>
      </c>
      <c r="G9" s="54">
        <f>'TRS_Gain-Loss'!Y20</f>
        <v>-527242444.44444418</v>
      </c>
      <c r="H9" s="55">
        <f t="shared" si="0"/>
        <v>-1819683999.9999995</v>
      </c>
    </row>
    <row r="10" spans="1:8" x14ac:dyDescent="0.2">
      <c r="A10">
        <v>2009</v>
      </c>
      <c r="B10" s="53">
        <f>'TRS_Gain-Loss'!Q21*1000</f>
        <v>10800817000000</v>
      </c>
      <c r="C10" s="33">
        <f>'TRS_Gain-Loss'!S21</f>
        <v>0.14330000000000001</v>
      </c>
      <c r="D10" s="54">
        <f>'TRS_Gain-Loss'!V21</f>
        <v>1434895000</v>
      </c>
      <c r="E10" s="54">
        <f>'TRS_Gain-Loss'!W21</f>
        <v>1477152000</v>
      </c>
      <c r="F10" s="54">
        <f>'TRS_Gain-Loss'!X21</f>
        <v>2409670000</v>
      </c>
      <c r="G10" s="54">
        <f>'TRS_Gain-Loss'!Y21</f>
        <v>974775000</v>
      </c>
      <c r="H10" s="55">
        <f t="shared" si="0"/>
        <v>-502377000</v>
      </c>
    </row>
    <row r="11" spans="1:8" x14ac:dyDescent="0.2">
      <c r="A11">
        <v>2010</v>
      </c>
      <c r="B11" s="53">
        <f>'TRS_Gain-Loss'!Q22*1000</f>
        <v>11057260000000</v>
      </c>
      <c r="C11" s="33">
        <f>'TRS_Gain-Loss'!S22</f>
        <v>0.1429</v>
      </c>
      <c r="D11" s="54">
        <f>'TRS_Gain-Loss'!V22</f>
        <v>1478572962.9629629</v>
      </c>
      <c r="E11" s="54">
        <f>'TRS_Gain-Loss'!W22</f>
        <v>2942770037.0370369</v>
      </c>
      <c r="F11" s="54">
        <f>'TRS_Gain-Loss'!X22</f>
        <v>2464087000</v>
      </c>
      <c r="G11" s="54">
        <f>'TRS_Gain-Loss'!Y22</f>
        <v>985514037.03703713</v>
      </c>
      <c r="H11" s="55">
        <f t="shared" si="0"/>
        <v>-1957255999.9999998</v>
      </c>
    </row>
    <row r="12" spans="1:8" x14ac:dyDescent="0.2">
      <c r="A12">
        <v>2011</v>
      </c>
      <c r="B12" s="53">
        <f>'TRS_Gain-Loss'!Q23*1000</f>
        <v>11097598000000</v>
      </c>
      <c r="C12" s="33">
        <f>'TRS_Gain-Loss'!S23</f>
        <v>0.13969999999999999</v>
      </c>
      <c r="D12" s="54">
        <f>'TRS_Gain-Loss'!V23</f>
        <v>1435797703.7037036</v>
      </c>
      <c r="E12" s="54">
        <f>'TRS_Gain-Loss'!W23</f>
        <v>3117188296.2962966</v>
      </c>
      <c r="F12" s="54">
        <f>'TRS_Gain-Loss'!X23</f>
        <v>2490708000</v>
      </c>
      <c r="G12" s="54">
        <f>'TRS_Gain-Loss'!Y23</f>
        <v>1054910296.2962964</v>
      </c>
      <c r="H12" s="55">
        <f t="shared" si="0"/>
        <v>-2062278000.0000002</v>
      </c>
    </row>
    <row r="13" spans="1:8" x14ac:dyDescent="0.2">
      <c r="A13">
        <v>2012</v>
      </c>
      <c r="B13" s="53">
        <f>'TRS_Gain-Loss'!Q24*1000</f>
        <v>10879075000000</v>
      </c>
      <c r="C13" s="33">
        <f>'TRS_Gain-Loss'!S24</f>
        <v>0.1598</v>
      </c>
      <c r="D13" s="54">
        <f>'TRS_Gain-Loss'!V24</f>
        <v>1439366716.937355</v>
      </c>
      <c r="E13" s="54">
        <f>'TRS_Gain-Loss'!W24</f>
        <v>3168096283.062645</v>
      </c>
      <c r="F13" s="54">
        <f>'TRS_Gain-Loss'!X24</f>
        <v>2432828000</v>
      </c>
      <c r="G13" s="54">
        <f>'TRS_Gain-Loss'!Y24</f>
        <v>993461283.06264496</v>
      </c>
      <c r="H13" s="55">
        <f t="shared" si="0"/>
        <v>-2174635000</v>
      </c>
    </row>
    <row r="14" spans="1:8" x14ac:dyDescent="0.2">
      <c r="A14">
        <v>2013</v>
      </c>
      <c r="B14" s="53">
        <f>'TRS_Gain-Loss'!Q25*1000</f>
        <v>10765635000000</v>
      </c>
      <c r="C14" s="33">
        <f>'TRS_Gain-Loss'!S25</f>
        <v>0.1197</v>
      </c>
      <c r="D14" s="54">
        <f>'TRS_Gain-Loss'!V25</f>
        <v>1494081000</v>
      </c>
      <c r="E14" s="54">
        <f>'TRS_Gain-Loss'!W25</f>
        <v>3649758882.5</v>
      </c>
      <c r="F14" s="54">
        <f>'TRS_Gain-Loss'!X25</f>
        <v>2425502000</v>
      </c>
      <c r="G14" s="54">
        <f>'TRS_Gain-Loss'!Y25</f>
        <v>931421000</v>
      </c>
      <c r="H14" s="55">
        <f t="shared" si="0"/>
        <v>-2718337882.5</v>
      </c>
    </row>
    <row r="15" spans="1:8" x14ac:dyDescent="0.2">
      <c r="A15">
        <v>2014</v>
      </c>
      <c r="B15" s="53">
        <f>'TRS_Gain-Loss'!Q26*1000</f>
        <v>10725329000000</v>
      </c>
      <c r="C15" s="33">
        <f>'TRS_Gain-Loss'!S26</f>
        <v>0.1174</v>
      </c>
      <c r="D15" s="54">
        <f>'TRS_Gain-Loss'!V26</f>
        <v>1094986000</v>
      </c>
      <c r="E15" s="54">
        <f>'TRS_Gain-Loss'!W26</f>
        <v>2445649000</v>
      </c>
      <c r="F15" s="54">
        <f>'TRS_Gain-Loss'!X26</f>
        <v>2628290000</v>
      </c>
      <c r="G15" s="54">
        <f>'TRS_Gain-Loss'!Y26</f>
        <v>1533304000</v>
      </c>
      <c r="H15" s="55">
        <f t="shared" si="0"/>
        <v>-912345000</v>
      </c>
    </row>
    <row r="16" spans="1:8" x14ac:dyDescent="0.2">
      <c r="A16">
        <v>2015</v>
      </c>
      <c r="B16" s="53">
        <f>'TRS_Gain-Loss'!Q27*1000</f>
        <v>10948586000000</v>
      </c>
      <c r="C16" s="33">
        <f>'TRS_Gain-Loss'!S27</f>
        <v>0.1134</v>
      </c>
      <c r="D16" s="54">
        <f>'TRS_Gain-Loss'!V27</f>
        <v>1111078000</v>
      </c>
      <c r="E16" s="54">
        <f>'TRS_Gain-Loss'!W27</f>
        <v>2266144000</v>
      </c>
      <c r="F16" s="54">
        <f>'TRS_Gain-Loss'!X27</f>
        <v>2760785000</v>
      </c>
      <c r="G16" s="54">
        <f>'TRS_Gain-Loss'!Y27</f>
        <v>1649707000</v>
      </c>
      <c r="H16" s="55">
        <f t="shared" si="0"/>
        <v>-616437000</v>
      </c>
    </row>
    <row r="17" spans="1:8" x14ac:dyDescent="0.2">
      <c r="A17">
        <v>2016</v>
      </c>
      <c r="B17" s="53">
        <f>'TRS_Gain-Loss'!Q28*1000</f>
        <v>11099607000000</v>
      </c>
      <c r="C17" s="33">
        <f>'TRS_Gain-Loss'!S28</f>
        <v>0.10780000000000001</v>
      </c>
      <c r="D17" s="54">
        <f>'TRS_Gain-Loss'!V28</f>
        <v>1058986000</v>
      </c>
      <c r="E17" s="54">
        <f>'TRS_Gain-Loss'!W28</f>
        <v>2325895000</v>
      </c>
      <c r="F17" s="54">
        <f>'TRS_Gain-Loss'!X28</f>
        <v>2812188000</v>
      </c>
      <c r="G17" s="54">
        <f>'TRS_Gain-Loss'!Y28</f>
        <v>1753202000</v>
      </c>
      <c r="H17" s="55">
        <f t="shared" si="0"/>
        <v>-572693000</v>
      </c>
    </row>
    <row r="18" spans="1:8" x14ac:dyDescent="0.2">
      <c r="A18">
        <v>2017</v>
      </c>
      <c r="B18" s="53">
        <f>'TRS_Gain-Loss'!Q29*1000</f>
        <v>11557147000000</v>
      </c>
      <c r="C18" s="33">
        <f>'TRS_Gain-Loss'!S29</f>
        <v>0.1065</v>
      </c>
      <c r="D18" s="54">
        <f>'TRS_Gain-Loss'!V29</f>
        <v>1067687000</v>
      </c>
      <c r="E18" s="54">
        <f>'TRS_Gain-Loss'!W29</f>
        <v>2340757000</v>
      </c>
      <c r="F18" s="54">
        <f>'TRS_Gain-Loss'!X29</f>
        <v>3012308000</v>
      </c>
      <c r="G18" s="54">
        <f>'TRS_Gain-Loss'!Y29</f>
        <v>1944621000</v>
      </c>
      <c r="H18" s="55">
        <f t="shared" si="0"/>
        <v>-396136000</v>
      </c>
    </row>
    <row r="19" spans="1:8" x14ac:dyDescent="0.2">
      <c r="A19">
        <v>2018</v>
      </c>
      <c r="B19" s="53">
        <f>'TRS_Gain-Loss'!Q30*1000</f>
        <v>10775526239000</v>
      </c>
      <c r="C19" s="33">
        <f>'TRS_Gain-Loss'!S30</f>
        <v>0.1091</v>
      </c>
      <c r="D19" s="54">
        <f>'TRS_Gain-Loss'!V30</f>
        <v>1129449183</v>
      </c>
      <c r="E19" s="54">
        <f>'TRS_Gain-Loss'!W30</f>
        <v>1709274693.0895</v>
      </c>
      <c r="F19" s="54">
        <f>'TRS_Gain-Loss'!X30</f>
        <v>3063336507</v>
      </c>
      <c r="G19" s="54">
        <f>'TRS_Gain-Loss'!Y30</f>
        <v>1933887324</v>
      </c>
      <c r="H19" s="55">
        <f t="shared" si="0"/>
        <v>224612630.91050005</v>
      </c>
    </row>
    <row r="20" spans="1:8" x14ac:dyDescent="0.2">
      <c r="A20">
        <v>2019</v>
      </c>
      <c r="B20" s="53">
        <f>'TRS_Gain-Loss'!Q31*1000</f>
        <v>11088784826000</v>
      </c>
      <c r="C20" s="33">
        <f>'TRS_Gain-Loss'!S31</f>
        <v>0.10829999999999999</v>
      </c>
      <c r="D20" s="54">
        <f>'TRS_Gain-Loss'!V31</f>
        <v>1150526294</v>
      </c>
      <c r="E20" s="54">
        <f>'TRS_Gain-Loss'!W31</f>
        <v>1698056513.6345</v>
      </c>
      <c r="F20" s="54">
        <f>'TRS_Gain-Loss'!X31</f>
        <v>3142512532</v>
      </c>
      <c r="G20" s="54">
        <f>'TRS_Gain-Loss'!Y31</f>
        <v>1991986238</v>
      </c>
      <c r="H20" s="55">
        <f t="shared" si="0"/>
        <v>293929724.36549997</v>
      </c>
    </row>
    <row r="21" spans="1:8" x14ac:dyDescent="0.2">
      <c r="A21">
        <v>2020</v>
      </c>
      <c r="B21" s="53">
        <f>'TRS_Gain-Loss'!Q32*1000</f>
        <v>11392012792000</v>
      </c>
      <c r="C21" s="33">
        <f>'TRS_Gain-Loss'!S32</f>
        <v>0.1086</v>
      </c>
      <c r="D21" s="54">
        <f>'TRS_Gain-Loss'!V32</f>
        <v>1189663517</v>
      </c>
      <c r="E21" s="54">
        <f>'TRS_Gain-Loss'!W32</f>
        <v>1669028293.7024999</v>
      </c>
      <c r="F21" s="54">
        <f>'TRS_Gain-Loss'!X32</f>
        <v>3241752137</v>
      </c>
      <c r="G21" s="54">
        <f>'TRS_Gain-Loss'!Y32</f>
        <v>2052088620</v>
      </c>
      <c r="H21" s="55">
        <f t="shared" si="0"/>
        <v>383060326.29750013</v>
      </c>
    </row>
    <row r="22" spans="1:8" x14ac:dyDescent="0.2">
      <c r="A22">
        <v>2021</v>
      </c>
      <c r="B22" s="53">
        <f>'TRS_Gain-Loss'!Q33*1000</f>
        <v>11610016164000</v>
      </c>
      <c r="C22" s="33">
        <f>'TRS_Gain-Loss'!S33</f>
        <v>0.1206</v>
      </c>
      <c r="D22" s="54">
        <f>'TRS_Gain-Loss'!V33</f>
        <v>1344766774</v>
      </c>
      <c r="E22" s="54">
        <f>'TRS_Gain-Loss'!W33</f>
        <v>1493782068.6600003</v>
      </c>
      <c r="F22" s="54">
        <f>'TRS_Gain-Loss'!X33</f>
        <v>3294493098</v>
      </c>
      <c r="G22" s="54">
        <f>'TRS_Gain-Loss'!Y33</f>
        <v>1949726324</v>
      </c>
      <c r="H22" s="55">
        <f t="shared" ref="H22:H23" si="1">G22-E22</f>
        <v>455944255.33999968</v>
      </c>
    </row>
    <row r="23" spans="1:8" x14ac:dyDescent="0.2">
      <c r="A23">
        <v>2022</v>
      </c>
      <c r="B23" s="53">
        <f>'TRS_Gain-Loss'!Q34*1000</f>
        <v>14161720051000</v>
      </c>
      <c r="C23" s="33">
        <f>'TRS_Gain-Loss'!S34</f>
        <v>0.106</v>
      </c>
      <c r="D23" s="54">
        <f>'TRS_Gain-Loss'!V34</f>
        <v>1272649684</v>
      </c>
      <c r="E23" s="54">
        <f>'TRS_Gain-Loss'!W34</f>
        <v>1381376277.7850003</v>
      </c>
      <c r="F23" s="54">
        <f>'TRS_Gain-Loss'!X34</f>
        <v>3464780033</v>
      </c>
      <c r="G23" s="54">
        <f>'TRS_Gain-Loss'!Y34</f>
        <v>2192130349</v>
      </c>
      <c r="H23" s="55">
        <f t="shared" si="1"/>
        <v>810754071.21499968</v>
      </c>
    </row>
    <row r="24" spans="1:8" x14ac:dyDescent="0.2">
      <c r="D24" s="54"/>
      <c r="E24" s="54"/>
      <c r="F24" s="54"/>
      <c r="G24" s="54"/>
      <c r="H24" s="55"/>
    </row>
    <row r="25" spans="1:8" x14ac:dyDescent="0.2">
      <c r="D25" s="54"/>
      <c r="E25" s="54"/>
      <c r="F25" s="54"/>
      <c r="G25" s="54"/>
      <c r="H25" s="55"/>
    </row>
    <row r="26" spans="1:8" x14ac:dyDescent="0.2">
      <c r="D26" s="54"/>
      <c r="E26" s="54"/>
      <c r="F26" s="54"/>
      <c r="G26" s="54"/>
      <c r="H26" s="55"/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C9C9-3FD4-4F83-A553-7E65357148D5}">
  <dimension ref="A2:E24"/>
  <sheetViews>
    <sheetView tabSelected="1" topLeftCell="C1" workbookViewId="0">
      <selection activeCell="F29" sqref="F29"/>
    </sheetView>
  </sheetViews>
  <sheetFormatPr baseColWidth="10" defaultColWidth="8.83203125" defaultRowHeight="15" x14ac:dyDescent="0.2"/>
  <cols>
    <col min="2" max="2" width="14.6640625" bestFit="1" customWidth="1"/>
    <col min="3" max="3" width="14.1640625" bestFit="1" customWidth="1"/>
    <col min="4" max="5" width="14.6640625" bestFit="1" customWidth="1"/>
  </cols>
  <sheetData>
    <row r="2" spans="1:5" ht="48" x14ac:dyDescent="0.2">
      <c r="A2" s="58" t="s">
        <v>17</v>
      </c>
      <c r="B2" s="59" t="s">
        <v>70</v>
      </c>
      <c r="C2" s="59" t="s">
        <v>18</v>
      </c>
      <c r="D2" s="59" t="s">
        <v>71</v>
      </c>
      <c r="E2" s="58" t="s">
        <v>100</v>
      </c>
    </row>
    <row r="3" spans="1:5" x14ac:dyDescent="0.2">
      <c r="A3" s="2">
        <v>2001</v>
      </c>
      <c r="B3" s="60">
        <f>'TRS_Gain-Loss'!AC13</f>
        <v>5230628000</v>
      </c>
      <c r="C3" s="60">
        <f>'TRS_Gain-Loss'!AA13</f>
        <v>-34602000</v>
      </c>
      <c r="D3" s="60">
        <f>IF(E3&gt;0,B3-E3,B3)</f>
        <v>5196026000</v>
      </c>
      <c r="E3" s="60">
        <f>-C3</f>
        <v>34602000</v>
      </c>
    </row>
    <row r="4" spans="1:5" x14ac:dyDescent="0.2">
      <c r="A4" s="2">
        <v>2002</v>
      </c>
      <c r="B4" s="60">
        <f>'TRS_Gain-Loss'!AC14</f>
        <v>14256819000</v>
      </c>
      <c r="C4" s="60">
        <f>'TRS_Gain-Loss'!AA14</f>
        <v>-181744000</v>
      </c>
      <c r="D4" s="60">
        <f>IF(E4&gt;0,B4-E4,B4)</f>
        <v>14040473000</v>
      </c>
      <c r="E4" s="60">
        <f t="shared" ref="E3:E22" si="0">MAX(0,(E3-C4))</f>
        <v>216346000</v>
      </c>
    </row>
    <row r="5" spans="1:5" x14ac:dyDescent="0.2">
      <c r="A5" s="2">
        <v>2003</v>
      </c>
      <c r="B5" s="60">
        <f>'TRS_Gain-Loss'!AC15</f>
        <v>17037142000</v>
      </c>
      <c r="C5" s="60">
        <f>'TRS_Gain-Loss'!AA15</f>
        <v>-1578300000</v>
      </c>
      <c r="D5" s="60">
        <f t="shared" ref="D3:D22" si="1">IF(E5&gt;0,B5-E5,B5)</f>
        <v>15242496000</v>
      </c>
      <c r="E5" s="60">
        <f t="shared" si="0"/>
        <v>1794646000</v>
      </c>
    </row>
    <row r="6" spans="1:5" x14ac:dyDescent="0.2">
      <c r="A6" s="57">
        <v>2004</v>
      </c>
      <c r="B6" s="60">
        <f>'TRS_Gain-Loss'!AC16</f>
        <v>17613627000</v>
      </c>
      <c r="C6" s="60">
        <f>'TRS_Gain-Loss'!AA16</f>
        <v>-398031000</v>
      </c>
      <c r="D6" s="60">
        <f t="shared" si="1"/>
        <v>15420950000</v>
      </c>
      <c r="E6" s="60">
        <f t="shared" si="0"/>
        <v>2192677000</v>
      </c>
    </row>
    <row r="7" spans="1:5" x14ac:dyDescent="0.2">
      <c r="A7" s="2">
        <v>2005</v>
      </c>
      <c r="B7" s="60">
        <f>'TRS_Gain-Loss'!AC17</f>
        <v>20051544000</v>
      </c>
      <c r="C7" s="60">
        <f>'TRS_Gain-Loss'!AA17</f>
        <v>-125249000</v>
      </c>
      <c r="D7" s="60">
        <f t="shared" si="1"/>
        <v>17733618000</v>
      </c>
      <c r="E7" s="60">
        <f t="shared" si="0"/>
        <v>2317926000</v>
      </c>
    </row>
    <row r="8" spans="1:5" x14ac:dyDescent="0.2">
      <c r="A8" s="2">
        <v>2006</v>
      </c>
      <c r="B8" s="60">
        <f>'TRS_Gain-Loss'!AC18</f>
        <v>19362974000</v>
      </c>
      <c r="C8" s="60">
        <f>'TRS_Gain-Loss'!AA18</f>
        <v>-269110000</v>
      </c>
      <c r="D8" s="60">
        <f t="shared" si="1"/>
        <v>16775938000</v>
      </c>
      <c r="E8" s="60">
        <f t="shared" si="0"/>
        <v>2587036000</v>
      </c>
    </row>
    <row r="9" spans="1:5" x14ac:dyDescent="0.2">
      <c r="A9" s="57">
        <v>2007</v>
      </c>
      <c r="B9" s="60">
        <f>'TRS_Gain-Loss'!AC19</f>
        <v>14455131000</v>
      </c>
      <c r="C9" s="60">
        <f>'TRS_Gain-Loss'!AA19</f>
        <v>-326627000</v>
      </c>
      <c r="D9" s="60">
        <f t="shared" si="1"/>
        <v>11541468000</v>
      </c>
      <c r="E9" s="60">
        <f t="shared" si="0"/>
        <v>2913663000</v>
      </c>
    </row>
    <row r="10" spans="1:5" x14ac:dyDescent="0.2">
      <c r="A10" s="2">
        <v>2008</v>
      </c>
      <c r="B10" s="60">
        <f>'TRS_Gain-Loss'!AC20</f>
        <v>18234340000</v>
      </c>
      <c r="C10" s="60">
        <f>'TRS_Gain-Loss'!AA20</f>
        <v>-1819684000</v>
      </c>
      <c r="D10" s="60">
        <f t="shared" si="1"/>
        <v>13500993000</v>
      </c>
      <c r="E10" s="60">
        <f t="shared" si="0"/>
        <v>4733347000</v>
      </c>
    </row>
    <row r="11" spans="1:5" x14ac:dyDescent="0.2">
      <c r="A11" s="2">
        <v>2009</v>
      </c>
      <c r="B11" s="60">
        <f>'TRS_Gain-Loss'!AC21</f>
        <v>36538096000</v>
      </c>
      <c r="C11" s="60">
        <f>'TRS_Gain-Loss'!AA21</f>
        <v>-502377000</v>
      </c>
      <c r="D11" s="60">
        <f t="shared" si="1"/>
        <v>31302372000</v>
      </c>
      <c r="E11" s="60">
        <f t="shared" si="0"/>
        <v>5235724000</v>
      </c>
    </row>
    <row r="12" spans="1:5" x14ac:dyDescent="0.2">
      <c r="A12" s="57">
        <v>2010</v>
      </c>
      <c r="B12" s="60">
        <f>'TRS_Gain-Loss'!AC22</f>
        <v>38774410000</v>
      </c>
      <c r="C12" s="60">
        <f>'TRS_Gain-Loss'!AA22</f>
        <v>-1957256000</v>
      </c>
      <c r="D12" s="60">
        <f t="shared" si="1"/>
        <v>31581430000</v>
      </c>
      <c r="E12" s="60">
        <f t="shared" si="0"/>
        <v>7192980000</v>
      </c>
    </row>
    <row r="13" spans="1:5" x14ac:dyDescent="0.2">
      <c r="A13" s="2">
        <v>2011</v>
      </c>
      <c r="B13" s="60">
        <f>'TRS_Gain-Loss'!AC23</f>
        <v>40655709000</v>
      </c>
      <c r="C13" s="60">
        <f>'TRS_Gain-Loss'!AA23</f>
        <v>-2062278000</v>
      </c>
      <c r="D13" s="60">
        <f t="shared" si="1"/>
        <v>31400451000</v>
      </c>
      <c r="E13" s="60">
        <f t="shared" si="0"/>
        <v>9255258000</v>
      </c>
    </row>
    <row r="14" spans="1:5" x14ac:dyDescent="0.2">
      <c r="A14" s="2">
        <v>2012</v>
      </c>
      <c r="B14" s="60">
        <f>'TRS_Gain-Loss'!AC24</f>
        <v>46812333000</v>
      </c>
      <c r="C14" s="60">
        <f>'TRS_Gain-Loss'!AA24</f>
        <v>-2174635000</v>
      </c>
      <c r="D14" s="60">
        <f t="shared" si="1"/>
        <v>35382440000</v>
      </c>
      <c r="E14" s="60">
        <f t="shared" si="0"/>
        <v>11429893000</v>
      </c>
    </row>
    <row r="15" spans="1:5" x14ac:dyDescent="0.2">
      <c r="A15" s="57">
        <v>2013</v>
      </c>
      <c r="B15" s="60">
        <f>'TRS_Gain-Loss'!AC25</f>
        <v>31775907000</v>
      </c>
      <c r="C15" s="60">
        <f>'TRS_Gain-Loss'!AA25</f>
        <v>-2718337882.5</v>
      </c>
      <c r="D15" s="60">
        <f t="shared" si="1"/>
        <v>17627676117.5</v>
      </c>
      <c r="E15" s="60">
        <f t="shared" si="0"/>
        <v>14148230882.5</v>
      </c>
    </row>
    <row r="16" spans="1:5" x14ac:dyDescent="0.2">
      <c r="A16" s="57">
        <v>2014</v>
      </c>
      <c r="B16" s="60">
        <f>'TRS_Gain-Loss'!AC26</f>
        <v>29509882000</v>
      </c>
      <c r="C16" s="60">
        <f>'TRS_Gain-Loss'!AA26</f>
        <v>-912345000</v>
      </c>
      <c r="D16" s="60">
        <f t="shared" si="1"/>
        <v>14449306117.5</v>
      </c>
      <c r="E16" s="60">
        <f t="shared" si="0"/>
        <v>15060575882.5</v>
      </c>
    </row>
    <row r="17" spans="1:5" x14ac:dyDescent="0.2">
      <c r="A17" s="2">
        <v>2015</v>
      </c>
      <c r="B17" s="60">
        <f>'TRS_Gain-Loss'!AC27</f>
        <v>30358654000</v>
      </c>
      <c r="C17" s="60">
        <f>'TRS_Gain-Loss'!AA27</f>
        <v>-616437000</v>
      </c>
      <c r="D17" s="60">
        <f t="shared" si="1"/>
        <v>14681641117.5</v>
      </c>
      <c r="E17" s="60">
        <f t="shared" si="0"/>
        <v>15677012882.5</v>
      </c>
    </row>
    <row r="18" spans="1:5" x14ac:dyDescent="0.2">
      <c r="A18" s="57">
        <v>2016</v>
      </c>
      <c r="B18" s="60">
        <f>'TRS_Gain-Loss'!AC28</f>
        <v>30641786000</v>
      </c>
      <c r="C18" s="60">
        <f>'TRS_Gain-Loss'!AA28</f>
        <v>-572693000</v>
      </c>
      <c r="D18" s="60">
        <f t="shared" si="1"/>
        <v>14392080117.5</v>
      </c>
      <c r="E18" s="60">
        <f t="shared" si="0"/>
        <v>16249705882.5</v>
      </c>
    </row>
    <row r="19" spans="1:5" ht="16" x14ac:dyDescent="0.2">
      <c r="A19" s="8">
        <v>2017</v>
      </c>
      <c r="B19" s="60">
        <f>'TRS_Gain-Loss'!AC29</f>
        <v>23910228133</v>
      </c>
      <c r="C19" s="60">
        <f>'TRS_Gain-Loss'!AA29</f>
        <v>-396136000</v>
      </c>
      <c r="D19" s="60">
        <f t="shared" si="1"/>
        <v>7264386250.5</v>
      </c>
      <c r="E19" s="60">
        <f t="shared" si="0"/>
        <v>16645841882.5</v>
      </c>
    </row>
    <row r="20" spans="1:5" x14ac:dyDescent="0.2">
      <c r="A20" s="57">
        <v>2018</v>
      </c>
      <c r="B20" s="60">
        <f>'TRS_Gain-Loss'!AC30</f>
        <v>23788698000</v>
      </c>
      <c r="C20" s="60">
        <f>'TRS_Gain-Loss'!AA30</f>
        <v>224612630.91050005</v>
      </c>
      <c r="D20" s="60">
        <f t="shared" si="1"/>
        <v>7367468748.4104996</v>
      </c>
      <c r="E20" s="60">
        <f t="shared" si="0"/>
        <v>16421229251.5895</v>
      </c>
    </row>
    <row r="21" spans="1:5" ht="16" x14ac:dyDescent="0.2">
      <c r="A21" s="8">
        <v>2019</v>
      </c>
      <c r="B21" s="60">
        <f>'TRS_Gain-Loss'!AC31</f>
        <v>23429108655</v>
      </c>
      <c r="C21" s="60">
        <f>'TRS_Gain-Loss'!AA31</f>
        <v>293929724.36549997</v>
      </c>
      <c r="D21" s="60">
        <f t="shared" si="1"/>
        <v>7301809127.7759991</v>
      </c>
      <c r="E21" s="60">
        <f t="shared" si="0"/>
        <v>16127299527.224001</v>
      </c>
    </row>
    <row r="22" spans="1:5" ht="16" x14ac:dyDescent="0.2">
      <c r="A22" s="8">
        <v>2020</v>
      </c>
      <c r="B22" s="60">
        <f>'TRS_Gain-Loss'!AC32</f>
        <v>22314607000</v>
      </c>
      <c r="C22" s="60">
        <f>'TRS_Gain-Loss'!AA32</f>
        <v>383060326.29750013</v>
      </c>
      <c r="D22" s="60">
        <f t="shared" si="1"/>
        <v>6570367799.0734997</v>
      </c>
      <c r="E22" s="60">
        <f t="shared" si="0"/>
        <v>15744239200.9265</v>
      </c>
    </row>
    <row r="23" spans="1:5" ht="16" x14ac:dyDescent="0.2">
      <c r="A23" s="8">
        <v>2021</v>
      </c>
      <c r="B23" s="60">
        <f>'TRS_Gain-Loss'!AC33</f>
        <v>20830012000</v>
      </c>
      <c r="C23" s="60">
        <f>'TRS_Gain-Loss'!AA33</f>
        <v>455944255.33999968</v>
      </c>
      <c r="D23" s="60">
        <f t="shared" ref="D23:D24" si="2">IF(E23&gt;0,B23-E23,B23)</f>
        <v>5541717054.4134998</v>
      </c>
      <c r="E23" s="60">
        <f t="shared" ref="E23:E24" si="3">MAX(0,(E22-C23))</f>
        <v>15288294945.5865</v>
      </c>
    </row>
    <row r="24" spans="1:5" ht="16" x14ac:dyDescent="0.2">
      <c r="A24" s="8">
        <v>2022</v>
      </c>
      <c r="B24" s="60">
        <f>'TRS_Gain-Loss'!AC34</f>
        <v>20122479199</v>
      </c>
      <c r="C24" s="60">
        <f>'TRS_Gain-Loss'!AA34</f>
        <v>810754071.21499968</v>
      </c>
      <c r="D24" s="60">
        <f t="shared" si="2"/>
        <v>5644938324.6285</v>
      </c>
      <c r="E24" s="60">
        <f t="shared" si="3"/>
        <v>14477540874.3715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T60"/>
  <sheetViews>
    <sheetView zoomScaleNormal="80" workbookViewId="0">
      <pane xSplit="1" ySplit="2" topLeftCell="W8" activePane="bottomRight" state="frozen"/>
      <selection pane="topRight" activeCell="C1" sqref="C1"/>
      <selection pane="bottomLeft" activeCell="A3" sqref="A3"/>
      <selection pane="bottomRight" activeCell="AB13" sqref="AB13"/>
    </sheetView>
  </sheetViews>
  <sheetFormatPr baseColWidth="10" defaultColWidth="10.83203125" defaultRowHeight="16" x14ac:dyDescent="0.2"/>
  <cols>
    <col min="1" max="1" width="14.83203125" style="29" customWidth="1"/>
    <col min="2" max="2" width="18.6640625" style="18" customWidth="1"/>
    <col min="3" max="3" width="18.6640625" style="19" customWidth="1"/>
    <col min="4" max="4" width="21" style="19" customWidth="1"/>
    <col min="5" max="6" width="21.1640625" style="19" customWidth="1"/>
    <col min="7" max="7" width="25.33203125" style="19" bestFit="1" customWidth="1"/>
    <col min="8" max="14" width="25.33203125" style="19" customWidth="1"/>
    <col min="15" max="15" width="12.83203125" style="19" customWidth="1"/>
    <col min="16" max="16" width="1" style="18" customWidth="1"/>
    <col min="17" max="17" width="22.1640625" style="18" customWidth="1"/>
    <col min="18" max="20" width="11.83203125" style="18" customWidth="1"/>
    <col min="21" max="21" width="20.83203125" style="74" customWidth="1"/>
    <col min="22" max="22" width="15.83203125" style="18" bestFit="1" customWidth="1"/>
    <col min="23" max="23" width="17.33203125" style="18" bestFit="1" customWidth="1"/>
    <col min="24" max="24" width="16.33203125" style="18" bestFit="1" customWidth="1"/>
    <col min="25" max="25" width="16.6640625" style="18" bestFit="1" customWidth="1"/>
    <col min="26" max="26" width="12.33203125" style="18" customWidth="1"/>
    <col min="27" max="27" width="18" style="18" bestFit="1" customWidth="1"/>
    <col min="28" max="28" width="17.1640625" style="18" bestFit="1" customWidth="1"/>
    <col min="29" max="29" width="17.6640625" style="18" bestFit="1" customWidth="1"/>
    <col min="30" max="30" width="15.6640625" style="18" bestFit="1" customWidth="1"/>
    <col min="31" max="31" width="10.83203125" style="18"/>
    <col min="32" max="32" width="16.6640625" style="18" bestFit="1" customWidth="1"/>
    <col min="33" max="36" width="10.83203125" style="18"/>
    <col min="37" max="37" width="21.6640625" style="18" bestFit="1" customWidth="1"/>
    <col min="38" max="38" width="29" style="18" bestFit="1" customWidth="1"/>
    <col min="39" max="39" width="14.5" style="18" bestFit="1" customWidth="1"/>
    <col min="40" max="40" width="21.6640625" style="18" bestFit="1" customWidth="1"/>
    <col min="41" max="41" width="21.6640625" style="18" customWidth="1"/>
    <col min="42" max="42" width="19" style="18" customWidth="1"/>
    <col min="43" max="43" width="15" style="18" bestFit="1" customWidth="1"/>
    <col min="44" max="45" width="10.83203125" style="18"/>
    <col min="46" max="46" width="11.5" style="18" bestFit="1" customWidth="1"/>
    <col min="47" max="16384" width="10.83203125" style="18"/>
  </cols>
  <sheetData>
    <row r="1" spans="1:42" s="13" customFormat="1" ht="17" customHeight="1" thickBot="1" x14ac:dyDescent="0.25">
      <c r="A1" s="9"/>
      <c r="B1" s="10"/>
      <c r="C1" s="67" t="s">
        <v>31</v>
      </c>
      <c r="D1" s="67"/>
      <c r="E1" s="67"/>
      <c r="F1" s="11"/>
      <c r="G1" s="11"/>
      <c r="H1" s="11"/>
      <c r="I1" s="11"/>
      <c r="J1" s="11"/>
      <c r="K1" s="11"/>
      <c r="L1" s="11"/>
      <c r="M1" s="11"/>
      <c r="N1" s="11"/>
      <c r="O1" s="12"/>
      <c r="P1" s="10"/>
      <c r="Q1" s="10"/>
      <c r="R1" s="10"/>
      <c r="S1" s="10"/>
      <c r="T1" s="10"/>
      <c r="U1" s="68" t="s">
        <v>32</v>
      </c>
      <c r="V1" s="68"/>
      <c r="W1" s="68"/>
      <c r="X1" s="68"/>
      <c r="Y1" s="68"/>
      <c r="Z1" s="68"/>
      <c r="AA1" s="68"/>
      <c r="AB1" s="68"/>
    </row>
    <row r="2" spans="1:42" s="16" customFormat="1" ht="51" x14ac:dyDescent="0.2">
      <c r="A2" s="14" t="s">
        <v>17</v>
      </c>
      <c r="B2" s="80" t="s">
        <v>93</v>
      </c>
      <c r="C2" t="s">
        <v>72</v>
      </c>
      <c r="D2" t="s">
        <v>73</v>
      </c>
      <c r="E2" t="s">
        <v>74</v>
      </c>
      <c r="F2" t="s">
        <v>69</v>
      </c>
      <c r="G2" t="s">
        <v>75</v>
      </c>
      <c r="H2" t="s">
        <v>76</v>
      </c>
      <c r="I2" s="63" t="s">
        <v>77</v>
      </c>
      <c r="J2" s="63" t="s">
        <v>78</v>
      </c>
      <c r="K2" s="63" t="s">
        <v>79</v>
      </c>
      <c r="L2" s="63" t="s">
        <v>80</v>
      </c>
      <c r="M2" s="63" t="s">
        <v>81</v>
      </c>
      <c r="N2" s="63" t="s">
        <v>82</v>
      </c>
      <c r="O2" s="63" t="s">
        <v>83</v>
      </c>
      <c r="P2" s="15"/>
      <c r="Q2" s="15" t="s">
        <v>33</v>
      </c>
      <c r="R2" s="56" t="s">
        <v>68</v>
      </c>
      <c r="S2" s="15" t="s">
        <v>34</v>
      </c>
      <c r="T2" s="15"/>
      <c r="U2" s="73" t="s">
        <v>35</v>
      </c>
      <c r="V2" s="15" t="s">
        <v>36</v>
      </c>
      <c r="W2" s="15" t="s">
        <v>37</v>
      </c>
      <c r="X2" s="15" t="s">
        <v>38</v>
      </c>
      <c r="Y2" s="15" t="s">
        <v>39</v>
      </c>
      <c r="Z2" s="15" t="s">
        <v>40</v>
      </c>
      <c r="AA2" s="15" t="s">
        <v>18</v>
      </c>
      <c r="AB2" s="15" t="s">
        <v>41</v>
      </c>
      <c r="AE2" s="84" t="s">
        <v>94</v>
      </c>
    </row>
    <row r="3" spans="1:42" x14ac:dyDescent="0.2">
      <c r="A3" s="17">
        <v>1991</v>
      </c>
      <c r="O3" s="20"/>
    </row>
    <row r="4" spans="1:42" x14ac:dyDescent="0.2">
      <c r="A4" s="21">
        <v>1992</v>
      </c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0"/>
      <c r="P4" s="22"/>
      <c r="Q4" s="22"/>
      <c r="R4" s="22"/>
      <c r="S4" s="22"/>
      <c r="T4" s="22"/>
      <c r="U4" s="75"/>
      <c r="V4" s="22"/>
      <c r="W4" s="22"/>
      <c r="X4" s="22"/>
      <c r="Y4" s="22"/>
      <c r="Z4" s="22"/>
      <c r="AA4" s="22"/>
      <c r="AB4" s="22"/>
    </row>
    <row r="5" spans="1:42" x14ac:dyDescent="0.2">
      <c r="A5" s="17">
        <v>1993</v>
      </c>
      <c r="O5" s="20"/>
    </row>
    <row r="6" spans="1:42" x14ac:dyDescent="0.2">
      <c r="A6" s="17">
        <v>1994</v>
      </c>
      <c r="O6" s="20"/>
    </row>
    <row r="7" spans="1:42" x14ac:dyDescent="0.2">
      <c r="A7" s="21">
        <v>1995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4"/>
      <c r="P7" s="22"/>
      <c r="Q7" s="22"/>
      <c r="R7" s="22"/>
      <c r="S7" s="22"/>
      <c r="T7" s="22"/>
      <c r="U7" s="75"/>
      <c r="V7" s="22"/>
      <c r="W7" s="22"/>
      <c r="X7" s="22"/>
      <c r="Y7" s="22"/>
      <c r="Z7" s="22"/>
      <c r="AA7" s="22"/>
      <c r="AB7" s="22"/>
    </row>
    <row r="8" spans="1:42" x14ac:dyDescent="0.2">
      <c r="A8" s="17">
        <v>1996</v>
      </c>
      <c r="O8" s="24"/>
    </row>
    <row r="9" spans="1:42" x14ac:dyDescent="0.2">
      <c r="A9" s="17">
        <v>1997</v>
      </c>
      <c r="O9" s="24"/>
    </row>
    <row r="10" spans="1:42" x14ac:dyDescent="0.2">
      <c r="A10" s="21">
        <v>1998</v>
      </c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  <c r="P10" s="22"/>
      <c r="Q10" s="22"/>
      <c r="R10" s="22"/>
      <c r="S10" s="22"/>
      <c r="T10" s="22"/>
      <c r="U10" s="75"/>
      <c r="V10" s="22"/>
      <c r="W10" s="22"/>
      <c r="X10" s="22"/>
      <c r="Y10" s="22"/>
      <c r="Z10" s="22"/>
      <c r="AA10" s="22"/>
      <c r="AB10" s="22"/>
    </row>
    <row r="11" spans="1:42" x14ac:dyDescent="0.2">
      <c r="A11" s="17">
        <v>1999</v>
      </c>
      <c r="O11" s="24"/>
    </row>
    <row r="12" spans="1:42" x14ac:dyDescent="0.2">
      <c r="A12" s="17">
        <v>2000</v>
      </c>
      <c r="B12" s="81">
        <f t="shared" ref="B12:B21" si="0">SUM(C12:F12,H12:I12)</f>
        <v>-2656964</v>
      </c>
      <c r="C12" s="54">
        <v>-2656964</v>
      </c>
      <c r="D12" s="54"/>
      <c r="E12" s="54"/>
      <c r="F12" s="54"/>
      <c r="G12" s="54"/>
      <c r="H12" s="54"/>
      <c r="I12" s="62"/>
      <c r="J12" s="54">
        <f>-138966+472983</f>
        <v>334017</v>
      </c>
      <c r="K12" s="54">
        <v>64386</v>
      </c>
      <c r="L12" s="54">
        <v>150951</v>
      </c>
      <c r="M12" s="54"/>
      <c r="N12" s="54"/>
      <c r="O12" s="54"/>
      <c r="Y12" s="25"/>
      <c r="Z12" s="26"/>
      <c r="AA12" s="25"/>
      <c r="AB12" s="25"/>
      <c r="AK12" s="88" t="s">
        <v>95</v>
      </c>
      <c r="AL12" s="88" t="s">
        <v>96</v>
      </c>
      <c r="AM12" s="88" t="s">
        <v>97</v>
      </c>
      <c r="AN12" s="88" t="s">
        <v>98</v>
      </c>
      <c r="AO12" s="88" t="s">
        <v>99</v>
      </c>
      <c r="AP12" s="88" t="s">
        <v>18</v>
      </c>
    </row>
    <row r="13" spans="1:42" x14ac:dyDescent="0.2">
      <c r="A13" s="17">
        <v>2001</v>
      </c>
      <c r="B13" s="81">
        <f t="shared" si="0"/>
        <v>715789</v>
      </c>
      <c r="C13" s="54">
        <v>52901</v>
      </c>
      <c r="D13" s="54"/>
      <c r="E13" s="54">
        <v>70159</v>
      </c>
      <c r="F13" s="54"/>
      <c r="G13" s="54"/>
      <c r="H13" s="54"/>
      <c r="I13" s="62">
        <f>SUM(J13:O13)</f>
        <v>592729</v>
      </c>
      <c r="J13" s="54">
        <f>-32051+554162</f>
        <v>522111</v>
      </c>
      <c r="K13" s="54">
        <v>-184272</v>
      </c>
      <c r="L13" s="54">
        <v>254890</v>
      </c>
      <c r="M13" s="54"/>
      <c r="N13" s="54"/>
      <c r="O13" s="54"/>
      <c r="Q13" s="76">
        <v>8256683000</v>
      </c>
      <c r="R13">
        <v>7.7499999999999999E-2</v>
      </c>
      <c r="S13">
        <v>0.1532</v>
      </c>
      <c r="T13" s="85">
        <f t="shared" ref="T13:T20" si="1">V13/Q13</f>
        <v>0.15159077593249104</v>
      </c>
      <c r="U13" s="76">
        <v>4480237000</v>
      </c>
      <c r="V13" s="31">
        <f t="shared" ref="V13:V18" si="2">(X13+R13*(X13*0.5-U13)-AA13)/(1+R13)</f>
        <v>1251636982.598608</v>
      </c>
      <c r="W13" s="25">
        <f t="shared" ref="W13:W20" si="3">(U13+V13)*R13-X13*R13*0.5</f>
        <v>382248017.4013921</v>
      </c>
      <c r="X13" s="76">
        <v>1599283000</v>
      </c>
      <c r="Y13" s="25">
        <f>X13-V13</f>
        <v>347646017.40139198</v>
      </c>
      <c r="Z13" s="26">
        <f>Y13/Q13</f>
        <v>4.2104803757319009E-2</v>
      </c>
      <c r="AA13" s="25">
        <f t="shared" ref="AA13:AA18" si="4">U13-AB13</f>
        <v>-34602000</v>
      </c>
      <c r="AB13" s="25">
        <v>4514839000</v>
      </c>
      <c r="AC13" s="76">
        <f t="shared" ref="AC13:AC18" si="5">U14</f>
        <v>5230628000</v>
      </c>
      <c r="AD13" s="79">
        <f t="shared" ref="AD13:AD18" si="6">AC13-AB13</f>
        <v>715789000</v>
      </c>
      <c r="AE13" s="83">
        <f t="shared" ref="AE13:AE18" si="7">B13*1000/AD13</f>
        <v>1</v>
      </c>
      <c r="AF13" s="79">
        <f t="shared" ref="AF13:AF18" si="8">B13*1000-AD13</f>
        <v>0</v>
      </c>
      <c r="AK13" s="74">
        <f t="shared" ref="AK13:AK34" si="9">C13</f>
        <v>52901</v>
      </c>
      <c r="AL13" s="74">
        <f t="shared" ref="AL13:AL34" si="10">SUM(D13,F13)</f>
        <v>0</v>
      </c>
      <c r="AM13" s="74">
        <f t="shared" ref="AM13:AM34" si="11">E13</f>
        <v>70159</v>
      </c>
      <c r="AN13" s="74">
        <f t="shared" ref="AN13:AN34" si="12">SUM(H13,J13:M13)</f>
        <v>592729</v>
      </c>
      <c r="AO13" s="74">
        <f t="shared" ref="AO13:AO34" si="13">SUM(N13:O13)</f>
        <v>0</v>
      </c>
      <c r="AP13" s="74">
        <f t="shared" ref="AP13:AP34" si="14">-AA13/1000</f>
        <v>34602</v>
      </c>
    </row>
    <row r="14" spans="1:42" x14ac:dyDescent="0.2">
      <c r="A14" s="17">
        <v>2002</v>
      </c>
      <c r="B14" s="81">
        <f t="shared" si="0"/>
        <v>8844447</v>
      </c>
      <c r="C14" s="54">
        <v>8336907</v>
      </c>
      <c r="D14" s="54"/>
      <c r="E14" s="54"/>
      <c r="F14" s="54"/>
      <c r="G14" s="54"/>
      <c r="H14" s="54"/>
      <c r="I14" s="62">
        <f>SUM(J14:O14)</f>
        <v>507540</v>
      </c>
      <c r="J14" s="54">
        <f>-80926+564621</f>
        <v>483695</v>
      </c>
      <c r="K14" s="54">
        <v>378242</v>
      </c>
      <c r="L14" s="54">
        <v>-359922</v>
      </c>
      <c r="M14" s="54"/>
      <c r="N14" s="54">
        <v>5525</v>
      </c>
      <c r="O14" s="54"/>
      <c r="Q14" s="76">
        <v>8747101000</v>
      </c>
      <c r="R14">
        <v>7.7499999999999999E-2</v>
      </c>
      <c r="S14">
        <v>0.1532</v>
      </c>
      <c r="T14" s="85">
        <f t="shared" si="1"/>
        <v>0.15846073497542434</v>
      </c>
      <c r="U14" s="76">
        <v>5230628000</v>
      </c>
      <c r="V14" s="31">
        <f t="shared" si="2"/>
        <v>1386072053.3642693</v>
      </c>
      <c r="W14" s="25">
        <f t="shared" si="3"/>
        <v>448737946.63573086</v>
      </c>
      <c r="X14" s="76">
        <v>1653066000</v>
      </c>
      <c r="Y14" s="25">
        <f>X14-V14</f>
        <v>266993946.63573074</v>
      </c>
      <c r="Z14" s="26">
        <f>Y14/Q14</f>
        <v>3.0523706841355868E-2</v>
      </c>
      <c r="AA14" s="25">
        <f t="shared" si="4"/>
        <v>-181744000</v>
      </c>
      <c r="AB14" s="25">
        <v>5412372000</v>
      </c>
      <c r="AC14" s="76">
        <f t="shared" si="5"/>
        <v>14256819000</v>
      </c>
      <c r="AD14" s="79">
        <f t="shared" si="6"/>
        <v>8844447000</v>
      </c>
      <c r="AE14" s="83">
        <f t="shared" si="7"/>
        <v>1</v>
      </c>
      <c r="AF14" s="79">
        <f t="shared" si="8"/>
        <v>0</v>
      </c>
      <c r="AK14" s="74">
        <f t="shared" si="9"/>
        <v>8336907</v>
      </c>
      <c r="AL14" s="74">
        <f t="shared" si="10"/>
        <v>0</v>
      </c>
      <c r="AM14" s="74">
        <f t="shared" si="11"/>
        <v>0</v>
      </c>
      <c r="AN14" s="74">
        <f t="shared" si="12"/>
        <v>502015</v>
      </c>
      <c r="AO14" s="74">
        <f t="shared" si="13"/>
        <v>5525</v>
      </c>
      <c r="AP14" s="74">
        <f t="shared" si="14"/>
        <v>181744</v>
      </c>
    </row>
    <row r="15" spans="1:42" x14ac:dyDescent="0.2">
      <c r="A15" s="17">
        <v>2003</v>
      </c>
      <c r="B15" s="81">
        <f t="shared" si="0"/>
        <v>1202023</v>
      </c>
      <c r="C15" s="54">
        <v>2976966</v>
      </c>
      <c r="D15" s="54"/>
      <c r="E15" s="54"/>
      <c r="F15" s="54">
        <f>-212184+821343-1954904</f>
        <v>-1345745</v>
      </c>
      <c r="G15" s="54"/>
      <c r="H15" s="54"/>
      <c r="I15" s="62">
        <f>SUM(J15:O15)</f>
        <v>-429198</v>
      </c>
      <c r="J15" s="54">
        <f>-71967+285789</f>
        <v>213822</v>
      </c>
      <c r="K15" s="54">
        <v>-766258</v>
      </c>
      <c r="L15" s="54">
        <v>117031</v>
      </c>
      <c r="M15" s="54"/>
      <c r="N15" s="54">
        <v>6207</v>
      </c>
      <c r="O15" s="54"/>
      <c r="Q15" s="76">
        <v>9206086000</v>
      </c>
      <c r="R15">
        <v>0.08</v>
      </c>
      <c r="S15">
        <v>0.1489</v>
      </c>
      <c r="T15" s="85">
        <f t="shared" si="1"/>
        <v>0.2589102228436469</v>
      </c>
      <c r="U15" s="76">
        <v>14256819000</v>
      </c>
      <c r="V15" s="86">
        <f t="shared" si="2"/>
        <v>2383549777.7777777</v>
      </c>
      <c r="W15" s="25">
        <f t="shared" si="3"/>
        <v>1249057222.2222223</v>
      </c>
      <c r="X15" s="76">
        <v>2054307000</v>
      </c>
      <c r="Y15" s="25">
        <f>X15-V15</f>
        <v>-329242777.77777767</v>
      </c>
      <c r="Z15" s="26">
        <f>Y15/Q15</f>
        <v>-3.5763600055200184E-2</v>
      </c>
      <c r="AA15" s="25">
        <f t="shared" si="4"/>
        <v>-1578300000</v>
      </c>
      <c r="AB15" s="25">
        <v>15835119000</v>
      </c>
      <c r="AC15" s="76">
        <f t="shared" si="5"/>
        <v>17037142000</v>
      </c>
      <c r="AD15" s="79">
        <f t="shared" si="6"/>
        <v>1202023000</v>
      </c>
      <c r="AE15" s="83">
        <f t="shared" si="7"/>
        <v>1</v>
      </c>
      <c r="AF15" s="79">
        <f t="shared" si="8"/>
        <v>0</v>
      </c>
      <c r="AK15" s="74">
        <f t="shared" si="9"/>
        <v>2976966</v>
      </c>
      <c r="AL15" s="74">
        <f t="shared" si="10"/>
        <v>-1345745</v>
      </c>
      <c r="AM15" s="74">
        <f t="shared" si="11"/>
        <v>0</v>
      </c>
      <c r="AN15" s="74">
        <f t="shared" si="12"/>
        <v>-435405</v>
      </c>
      <c r="AO15" s="74">
        <f t="shared" si="13"/>
        <v>6207</v>
      </c>
      <c r="AP15" s="74">
        <f t="shared" si="14"/>
        <v>1578300</v>
      </c>
    </row>
    <row r="16" spans="1:42" x14ac:dyDescent="0.2">
      <c r="A16" s="21">
        <v>2004</v>
      </c>
      <c r="B16" s="81">
        <f t="shared" si="0"/>
        <v>178454</v>
      </c>
      <c r="C16" s="54">
        <v>-458527</v>
      </c>
      <c r="D16" s="54"/>
      <c r="E16" s="54"/>
      <c r="F16" s="54"/>
      <c r="G16" s="54"/>
      <c r="H16" s="54"/>
      <c r="I16" s="62">
        <f>SUM(J16:O16)</f>
        <v>636981</v>
      </c>
      <c r="J16" s="54">
        <f>173960+129322</f>
        <v>303282</v>
      </c>
      <c r="K16" s="54">
        <v>221112</v>
      </c>
      <c r="L16" s="54">
        <v>105826</v>
      </c>
      <c r="M16" s="54"/>
      <c r="N16" s="54">
        <v>6761</v>
      </c>
      <c r="O16" s="54"/>
      <c r="Q16" s="76">
        <v>9565978000</v>
      </c>
      <c r="R16">
        <v>0.08</v>
      </c>
      <c r="S16">
        <v>0.14899999999999999</v>
      </c>
      <c r="T16" s="85">
        <f t="shared" si="1"/>
        <v>0.12749400551118262</v>
      </c>
      <c r="U16" s="76">
        <v>17037142000</v>
      </c>
      <c r="V16" s="31">
        <f t="shared" si="2"/>
        <v>1219604851.8518517</v>
      </c>
      <c r="W16" s="25">
        <f t="shared" si="3"/>
        <v>1372766148.1481483</v>
      </c>
      <c r="X16" s="76">
        <v>2194340000</v>
      </c>
      <c r="Y16" s="25">
        <f>X16-V16</f>
        <v>974735148.1481483</v>
      </c>
      <c r="Z16" s="26">
        <f>Y16/Q16</f>
        <v>0.10189602653781435</v>
      </c>
      <c r="AA16" s="25">
        <f t="shared" si="4"/>
        <v>-398031000</v>
      </c>
      <c r="AB16" s="25">
        <v>17435173000</v>
      </c>
      <c r="AC16" s="76">
        <f t="shared" si="5"/>
        <v>17613627000</v>
      </c>
      <c r="AD16" s="79">
        <f t="shared" si="6"/>
        <v>178454000</v>
      </c>
      <c r="AE16" s="83">
        <f t="shared" si="7"/>
        <v>1</v>
      </c>
      <c r="AF16" s="79">
        <f t="shared" si="8"/>
        <v>0</v>
      </c>
      <c r="AK16" s="74">
        <f t="shared" si="9"/>
        <v>-458527</v>
      </c>
      <c r="AL16" s="74">
        <f t="shared" si="10"/>
        <v>0</v>
      </c>
      <c r="AM16" s="74">
        <f t="shared" si="11"/>
        <v>0</v>
      </c>
      <c r="AN16" s="74">
        <f t="shared" si="12"/>
        <v>630220</v>
      </c>
      <c r="AO16" s="74">
        <f t="shared" si="13"/>
        <v>6761</v>
      </c>
      <c r="AP16" s="74">
        <f t="shared" si="14"/>
        <v>398031</v>
      </c>
    </row>
    <row r="17" spans="1:46" x14ac:dyDescent="0.2">
      <c r="A17" s="17">
        <v>2005</v>
      </c>
      <c r="B17" s="81">
        <f t="shared" si="0"/>
        <v>2312668</v>
      </c>
      <c r="C17" s="54">
        <v>1389574</v>
      </c>
      <c r="D17" s="54"/>
      <c r="E17" s="54"/>
      <c r="F17" s="54"/>
      <c r="G17" s="54"/>
      <c r="H17" s="54"/>
      <c r="I17" s="62">
        <f>SUM(J17:O17)</f>
        <v>923094</v>
      </c>
      <c r="J17" s="54">
        <f>469877-60217</f>
        <v>409660</v>
      </c>
      <c r="K17" s="54">
        <v>262267</v>
      </c>
      <c r="L17" s="54">
        <v>246023</v>
      </c>
      <c r="M17" s="54"/>
      <c r="N17" s="54">
        <v>5144</v>
      </c>
      <c r="O17" s="54"/>
      <c r="Q17" s="76">
        <v>9775159000</v>
      </c>
      <c r="R17">
        <v>0.08</v>
      </c>
      <c r="S17">
        <v>0.14899999999999999</v>
      </c>
      <c r="T17" s="85">
        <f t="shared" si="1"/>
        <v>9.7286575158597483E-2</v>
      </c>
      <c r="U17" s="76">
        <v>17613627000</v>
      </c>
      <c r="V17" s="31">
        <f t="shared" si="2"/>
        <v>950991740.74074066</v>
      </c>
      <c r="W17" s="25">
        <f t="shared" si="3"/>
        <v>1396288259.2592595</v>
      </c>
      <c r="X17" s="76">
        <v>2222031000</v>
      </c>
      <c r="Y17" s="25">
        <f>X17-V17</f>
        <v>1271039259.2592592</v>
      </c>
      <c r="Z17" s="26">
        <f>Y17/Q17</f>
        <v>0.13002747671513673</v>
      </c>
      <c r="AA17" s="25">
        <f t="shared" si="4"/>
        <v>-125249000</v>
      </c>
      <c r="AB17" s="25">
        <v>17738876000</v>
      </c>
      <c r="AC17" s="76">
        <f t="shared" si="5"/>
        <v>20051544000</v>
      </c>
      <c r="AD17" s="79">
        <f t="shared" si="6"/>
        <v>2312668000</v>
      </c>
      <c r="AE17" s="83">
        <f t="shared" si="7"/>
        <v>1</v>
      </c>
      <c r="AF17" s="79">
        <f t="shared" si="8"/>
        <v>0</v>
      </c>
      <c r="AK17" s="74">
        <f t="shared" si="9"/>
        <v>1389574</v>
      </c>
      <c r="AL17" s="74">
        <f t="shared" si="10"/>
        <v>0</v>
      </c>
      <c r="AM17" s="74">
        <f t="shared" si="11"/>
        <v>0</v>
      </c>
      <c r="AN17" s="74">
        <f t="shared" si="12"/>
        <v>917950</v>
      </c>
      <c r="AO17" s="74">
        <f t="shared" si="13"/>
        <v>5144</v>
      </c>
      <c r="AP17" s="74">
        <f t="shared" si="14"/>
        <v>125249</v>
      </c>
    </row>
    <row r="18" spans="1:46" x14ac:dyDescent="0.2">
      <c r="A18" s="17">
        <v>2006</v>
      </c>
      <c r="B18" s="81">
        <f t="shared" si="0"/>
        <v>-957680</v>
      </c>
      <c r="C18" s="54">
        <v>-1492303</v>
      </c>
      <c r="D18" s="54"/>
      <c r="E18" s="54">
        <v>-127300</v>
      </c>
      <c r="F18" s="54"/>
      <c r="G18" s="54"/>
      <c r="H18" s="54"/>
      <c r="I18" s="62">
        <f>SUM(J18:O18)</f>
        <v>661923</v>
      </c>
      <c r="J18" s="54">
        <f>456690-57775</f>
        <v>398915</v>
      </c>
      <c r="K18" s="54">
        <v>197519</v>
      </c>
      <c r="L18" s="54">
        <v>64720</v>
      </c>
      <c r="M18" s="54"/>
      <c r="N18" s="54">
        <v>3642</v>
      </c>
      <c r="O18" s="54">
        <v>-2873</v>
      </c>
      <c r="Q18" s="76">
        <v>9974061000</v>
      </c>
      <c r="R18">
        <v>0.08</v>
      </c>
      <c r="S18">
        <v>0.1482</v>
      </c>
      <c r="T18" s="85">
        <f t="shared" si="1"/>
        <v>9.4447817824284033E-2</v>
      </c>
      <c r="U18" s="76">
        <v>20051544000</v>
      </c>
      <c r="V18" s="31">
        <f t="shared" si="2"/>
        <v>942028296.29629624</v>
      </c>
      <c r="W18" s="25">
        <f t="shared" si="3"/>
        <v>1589008703.7037036</v>
      </c>
      <c r="X18" s="76">
        <v>2261927000</v>
      </c>
      <c r="Y18" s="25">
        <f>X18-V18</f>
        <v>1319898703.7037039</v>
      </c>
      <c r="Z18" s="26">
        <f>Y18/Q18</f>
        <v>0.13233312927439525</v>
      </c>
      <c r="AA18" s="25">
        <f t="shared" si="4"/>
        <v>-269110000</v>
      </c>
      <c r="AB18" s="25">
        <v>20320654000</v>
      </c>
      <c r="AC18" s="76">
        <f t="shared" si="5"/>
        <v>19362974000</v>
      </c>
      <c r="AD18" s="79">
        <f t="shared" si="6"/>
        <v>-957680000</v>
      </c>
      <c r="AE18" s="83">
        <f t="shared" si="7"/>
        <v>1</v>
      </c>
      <c r="AF18" s="79">
        <f t="shared" si="8"/>
        <v>0</v>
      </c>
      <c r="AK18" s="74">
        <f t="shared" si="9"/>
        <v>-1492303</v>
      </c>
      <c r="AL18" s="74">
        <f t="shared" si="10"/>
        <v>0</v>
      </c>
      <c r="AM18" s="74">
        <f t="shared" si="11"/>
        <v>-127300</v>
      </c>
      <c r="AN18" s="74">
        <f t="shared" si="12"/>
        <v>661154</v>
      </c>
      <c r="AO18" s="74">
        <f t="shared" si="13"/>
        <v>769</v>
      </c>
      <c r="AP18" s="74">
        <f t="shared" si="14"/>
        <v>269110</v>
      </c>
    </row>
    <row r="19" spans="1:46" ht="16" customHeight="1" x14ac:dyDescent="0.2">
      <c r="A19" s="21">
        <v>2007</v>
      </c>
      <c r="B19" s="81">
        <f t="shared" si="0"/>
        <v>-5234471</v>
      </c>
      <c r="C19" s="54">
        <v>-5865787</v>
      </c>
      <c r="D19" s="54"/>
      <c r="E19" s="54"/>
      <c r="F19" s="54"/>
      <c r="G19" s="54"/>
      <c r="H19" s="54"/>
      <c r="I19" s="62">
        <f>SUM(J19:O19)</f>
        <v>631316</v>
      </c>
      <c r="J19" s="54">
        <f>312644-54930</f>
        <v>257714</v>
      </c>
      <c r="K19" s="54">
        <f>329777</f>
        <v>329777</v>
      </c>
      <c r="L19" s="54">
        <v>46727</v>
      </c>
      <c r="M19" s="54"/>
      <c r="N19" s="54"/>
      <c r="O19" s="54">
        <f>-2951+49</f>
        <v>-2902</v>
      </c>
      <c r="Q19" s="76">
        <v>10199505000</v>
      </c>
      <c r="R19">
        <v>0.08</v>
      </c>
      <c r="S19">
        <v>0.14810000000000001</v>
      </c>
      <c r="T19" s="85">
        <f t="shared" si="1"/>
        <v>0.10728616150889095</v>
      </c>
      <c r="U19" s="76">
        <v>19362974000</v>
      </c>
      <c r="V19" s="31">
        <f>(X19+R19*(X19*0.5-U19)-AA19)/(1+R19)</f>
        <v>1094265740.7407408</v>
      </c>
      <c r="W19" s="25">
        <f t="shared" si="3"/>
        <v>1544109259.2592595</v>
      </c>
      <c r="X19" s="76">
        <v>2311748000</v>
      </c>
      <c r="Y19" s="25">
        <f>X19-V19</f>
        <v>1217482259.2592592</v>
      </c>
      <c r="Z19" s="26">
        <f>Y19/Q19</f>
        <v>0.1193667986102521</v>
      </c>
      <c r="AA19" s="25">
        <f>U19-AB19</f>
        <v>-326627000</v>
      </c>
      <c r="AB19" s="25">
        <v>19689601000</v>
      </c>
      <c r="AC19" s="76">
        <f>U20</f>
        <v>14455131000</v>
      </c>
      <c r="AD19" s="79">
        <f>AC19-AB19</f>
        <v>-5234470000</v>
      </c>
      <c r="AE19" s="83">
        <f>B19*1000/AD19</f>
        <v>1.0000001910413088</v>
      </c>
      <c r="AF19" s="79">
        <f>B19*1000-AD19</f>
        <v>-1000</v>
      </c>
      <c r="AK19" s="74">
        <f t="shared" si="9"/>
        <v>-5865787</v>
      </c>
      <c r="AL19" s="74">
        <f t="shared" si="10"/>
        <v>0</v>
      </c>
      <c r="AM19" s="74">
        <f t="shared" si="11"/>
        <v>0</v>
      </c>
      <c r="AN19" s="74">
        <f t="shared" si="12"/>
        <v>634218</v>
      </c>
      <c r="AO19" s="74">
        <f t="shared" si="13"/>
        <v>-2902</v>
      </c>
      <c r="AP19" s="74">
        <f t="shared" si="14"/>
        <v>326627</v>
      </c>
    </row>
    <row r="20" spans="1:46" x14ac:dyDescent="0.2">
      <c r="A20" s="17">
        <v>2008</v>
      </c>
      <c r="B20" s="81">
        <f t="shared" si="0"/>
        <v>1959525</v>
      </c>
      <c r="C20" s="54">
        <v>593933</v>
      </c>
      <c r="D20" s="54"/>
      <c r="E20" s="54"/>
      <c r="F20" s="54">
        <f>1753739-688213</f>
        <v>1065526</v>
      </c>
      <c r="G20" s="54"/>
      <c r="H20" s="54"/>
      <c r="I20" s="62">
        <f>SUM(J20:O20)</f>
        <v>300066</v>
      </c>
      <c r="J20" s="54">
        <f>55621-327750</f>
        <v>-272129</v>
      </c>
      <c r="K20" s="54">
        <v>410771</v>
      </c>
      <c r="L20" s="54">
        <v>136493</v>
      </c>
      <c r="M20" s="54">
        <v>25752</v>
      </c>
      <c r="N20" s="54"/>
      <c r="O20" s="54">
        <v>-821</v>
      </c>
      <c r="Q20" s="76">
        <v>10460473000</v>
      </c>
      <c r="R20">
        <v>0.08</v>
      </c>
      <c r="S20">
        <v>0.14230000000000001</v>
      </c>
      <c r="T20" s="85">
        <f t="shared" si="1"/>
        <v>0.27470406399829572</v>
      </c>
      <c r="U20" s="76">
        <v>14455131000</v>
      </c>
      <c r="V20" s="86">
        <f>(X20+R20*(X20*0.5-U20)-AA20)/(1+R20)</f>
        <v>2873534444.4444442</v>
      </c>
      <c r="W20" s="25">
        <f t="shared" si="3"/>
        <v>1292441555.5555553</v>
      </c>
      <c r="X20" s="76">
        <v>2346292000</v>
      </c>
      <c r="Y20" s="25">
        <f>X20-V20</f>
        <v>-527242444.44444418</v>
      </c>
      <c r="Z20" s="26">
        <f>Y20/Q20</f>
        <v>-5.0403308191173016E-2</v>
      </c>
      <c r="AA20" s="25">
        <f>U20-AB20</f>
        <v>-1819684000</v>
      </c>
      <c r="AB20" s="25">
        <v>16274815000</v>
      </c>
      <c r="AC20" s="76">
        <f>U21</f>
        <v>18234340000</v>
      </c>
      <c r="AD20" s="79">
        <f>AC20-AB20</f>
        <v>1959525000</v>
      </c>
      <c r="AE20" s="83">
        <f>B20*1000/AD20</f>
        <v>1</v>
      </c>
      <c r="AF20" s="79">
        <f>B20*1000-AD20</f>
        <v>0</v>
      </c>
      <c r="AK20" s="74">
        <f t="shared" si="9"/>
        <v>593933</v>
      </c>
      <c r="AL20" s="74">
        <f t="shared" si="10"/>
        <v>1065526</v>
      </c>
      <c r="AM20" s="74">
        <f t="shared" si="11"/>
        <v>0</v>
      </c>
      <c r="AN20" s="74">
        <f t="shared" si="12"/>
        <v>300887</v>
      </c>
      <c r="AO20" s="74">
        <f t="shared" si="13"/>
        <v>-821</v>
      </c>
      <c r="AP20" s="74">
        <f t="shared" si="14"/>
        <v>1819684</v>
      </c>
    </row>
    <row r="21" spans="1:46" x14ac:dyDescent="0.2">
      <c r="A21" s="17">
        <v>2009</v>
      </c>
      <c r="B21" s="81">
        <f t="shared" si="0"/>
        <v>17801379</v>
      </c>
      <c r="C21" s="54">
        <v>17353396</v>
      </c>
      <c r="D21" s="54"/>
      <c r="E21" s="54"/>
      <c r="F21" s="54"/>
      <c r="G21" s="54"/>
      <c r="H21" s="54"/>
      <c r="I21" s="62">
        <f>SUM(J21:O21)</f>
        <v>447983</v>
      </c>
      <c r="J21" s="54">
        <f>35590-133050</f>
        <v>-97460</v>
      </c>
      <c r="K21" s="54">
        <v>458962</v>
      </c>
      <c r="L21" s="54">
        <v>66627</v>
      </c>
      <c r="M21" s="54">
        <v>34392</v>
      </c>
      <c r="N21" s="54"/>
      <c r="O21" s="54">
        <v>-14538</v>
      </c>
      <c r="Q21" s="76">
        <v>10800817000</v>
      </c>
      <c r="R21">
        <v>0.08</v>
      </c>
      <c r="S21">
        <v>0.14330000000000001</v>
      </c>
      <c r="T21" s="85">
        <f t="shared" ref="T20:T34" si="15">V21/Q21</f>
        <v>0.13285059824641043</v>
      </c>
      <c r="U21" s="76">
        <v>18234340000</v>
      </c>
      <c r="V21" s="31">
        <f>(X21+R21*(X21*0.5-U21)-AA21)/(1+R21)</f>
        <v>1434895000</v>
      </c>
      <c r="W21" s="25">
        <f>(U21+V21)*R21-X21*R21*0.5</f>
        <v>1477152000</v>
      </c>
      <c r="X21" s="76">
        <v>2409670000</v>
      </c>
      <c r="Y21" s="25">
        <f>X21-V21</f>
        <v>974775000</v>
      </c>
      <c r="Z21" s="26">
        <f>Y21/Q21</f>
        <v>9.0250117190208853E-2</v>
      </c>
      <c r="AA21" s="25">
        <f>U21-AB21</f>
        <v>-502377000</v>
      </c>
      <c r="AB21" s="25">
        <v>18736717000</v>
      </c>
      <c r="AC21" s="76">
        <f>U22</f>
        <v>36538096000</v>
      </c>
      <c r="AD21" s="79">
        <f>AC21-AB21</f>
        <v>17801379000</v>
      </c>
      <c r="AE21" s="83">
        <f>B21*1000/AD21</f>
        <v>1</v>
      </c>
      <c r="AF21" s="79">
        <f>B21*1000-AD21</f>
        <v>0</v>
      </c>
      <c r="AK21" s="74">
        <f t="shared" si="9"/>
        <v>17353396</v>
      </c>
      <c r="AL21" s="74">
        <f t="shared" si="10"/>
        <v>0</v>
      </c>
      <c r="AM21" s="74">
        <f t="shared" si="11"/>
        <v>0</v>
      </c>
      <c r="AN21" s="74">
        <f t="shared" si="12"/>
        <v>462521</v>
      </c>
      <c r="AO21" s="74">
        <f t="shared" si="13"/>
        <v>-14538</v>
      </c>
      <c r="AP21" s="74">
        <f t="shared" si="14"/>
        <v>502377</v>
      </c>
    </row>
    <row r="22" spans="1:46" x14ac:dyDescent="0.2">
      <c r="A22" s="21">
        <v>2010</v>
      </c>
      <c r="B22" s="81">
        <f>SUM(C22:F22,H22:I22)</f>
        <v>279058</v>
      </c>
      <c r="C22" s="54">
        <v>731414</v>
      </c>
      <c r="D22" s="54"/>
      <c r="E22" s="54"/>
      <c r="F22" s="54"/>
      <c r="G22" s="54"/>
      <c r="H22" s="54"/>
      <c r="I22" s="62">
        <f>SUM(J22:O22)</f>
        <v>-452356</v>
      </c>
      <c r="J22" s="54">
        <f>30530-404084</f>
        <v>-373554</v>
      </c>
      <c r="K22" s="54">
        <v>634378</v>
      </c>
      <c r="L22" s="54">
        <v>-744522</v>
      </c>
      <c r="M22" s="54">
        <v>30281</v>
      </c>
      <c r="N22" s="54"/>
      <c r="O22" s="54">
        <v>1061</v>
      </c>
      <c r="Q22" s="76">
        <v>11057260000</v>
      </c>
      <c r="R22">
        <v>0.08</v>
      </c>
      <c r="S22">
        <v>0.1429</v>
      </c>
      <c r="T22" s="85">
        <f t="shared" si="15"/>
        <v>0.13371965233366701</v>
      </c>
      <c r="U22" s="76">
        <v>36538096000</v>
      </c>
      <c r="V22" s="31">
        <f>(X22+R22*(X22*0.5-U22)-AA22)/(1+R22)</f>
        <v>1478572962.9629629</v>
      </c>
      <c r="W22" s="25">
        <f>(U22+V22)*R22-X22*R22*0.5</f>
        <v>2942770037.0370369</v>
      </c>
      <c r="X22" s="76">
        <v>2464087000</v>
      </c>
      <c r="Y22" s="25">
        <f>X22-V22</f>
        <v>985514037.03703713</v>
      </c>
      <c r="Z22" s="26">
        <f>Y22/Q22</f>
        <v>8.9128232223628381E-2</v>
      </c>
      <c r="AA22" s="25">
        <f>U22-AB22</f>
        <v>-1957256000</v>
      </c>
      <c r="AB22" s="25">
        <v>38495352000</v>
      </c>
      <c r="AC22" s="76">
        <f>U23</f>
        <v>38774410000</v>
      </c>
      <c r="AD22" s="79">
        <f>AC22-AB22</f>
        <v>279058000</v>
      </c>
      <c r="AE22" s="83">
        <f>B22*1000/AD22</f>
        <v>1</v>
      </c>
      <c r="AF22" s="79">
        <f>B22*1000-AD22</f>
        <v>0</v>
      </c>
      <c r="AK22" s="74">
        <f t="shared" si="9"/>
        <v>731414</v>
      </c>
      <c r="AL22" s="74">
        <f t="shared" si="10"/>
        <v>0</v>
      </c>
      <c r="AM22" s="74">
        <f t="shared" si="11"/>
        <v>0</v>
      </c>
      <c r="AN22" s="74">
        <f t="shared" si="12"/>
        <v>-453417</v>
      </c>
      <c r="AO22" s="74">
        <f t="shared" si="13"/>
        <v>1061</v>
      </c>
      <c r="AP22" s="74">
        <f t="shared" si="14"/>
        <v>1957256</v>
      </c>
    </row>
    <row r="23" spans="1:46" x14ac:dyDescent="0.2">
      <c r="A23" s="17">
        <v>2011</v>
      </c>
      <c r="B23" s="81">
        <f>SUM(C23:F23,H23:I23)</f>
        <v>-180979</v>
      </c>
      <c r="C23" s="54">
        <v>-588454</v>
      </c>
      <c r="D23" s="54"/>
      <c r="E23" s="54"/>
      <c r="F23" s="54"/>
      <c r="G23" s="54"/>
      <c r="H23" s="54"/>
      <c r="I23" s="62">
        <f>SUM(J23:O23)</f>
        <v>407475</v>
      </c>
      <c r="J23" s="54">
        <f>-(-77193+680760)</f>
        <v>-603567</v>
      </c>
      <c r="K23" s="54">
        <v>509972</v>
      </c>
      <c r="L23" s="54">
        <v>488586</v>
      </c>
      <c r="M23" s="54">
        <v>25857</v>
      </c>
      <c r="N23" s="54"/>
      <c r="O23" s="54">
        <v>-13373</v>
      </c>
      <c r="Q23" s="76">
        <v>11097598000</v>
      </c>
      <c r="R23">
        <v>0.08</v>
      </c>
      <c r="S23">
        <v>0.13969999999999999</v>
      </c>
      <c r="T23" s="85">
        <f t="shared" si="15"/>
        <v>0.12937914165783476</v>
      </c>
      <c r="U23" s="76">
        <v>38774410000</v>
      </c>
      <c r="V23" s="31">
        <f>(X23+R23*(X23*0.5-U23)-AA23)/(1+R23)</f>
        <v>1435797703.7037036</v>
      </c>
      <c r="W23" s="25">
        <f>(U23+V23)*R23-X23*R23*0.5</f>
        <v>3117188296.2962966</v>
      </c>
      <c r="X23" s="76">
        <v>2490708000</v>
      </c>
      <c r="Y23" s="25">
        <f>X23-V23</f>
        <v>1054910296.2962964</v>
      </c>
      <c r="Z23" s="26">
        <f>Y23/Q23</f>
        <v>9.5057533738048205E-2</v>
      </c>
      <c r="AA23" s="25">
        <v>-2062278000</v>
      </c>
      <c r="AB23" s="25">
        <f>U23-AA23</f>
        <v>40836688000</v>
      </c>
      <c r="AC23" s="76">
        <f>U24</f>
        <v>40655709000</v>
      </c>
      <c r="AD23" s="79">
        <f>AC23-AB23</f>
        <v>-180979000</v>
      </c>
      <c r="AE23" s="83">
        <f>B23*1000/AD23</f>
        <v>1</v>
      </c>
      <c r="AF23" s="79">
        <f>B23*1000-AD23</f>
        <v>0</v>
      </c>
      <c r="AK23" s="74">
        <f t="shared" si="9"/>
        <v>-588454</v>
      </c>
      <c r="AL23" s="74">
        <f t="shared" si="10"/>
        <v>0</v>
      </c>
      <c r="AM23" s="74">
        <f t="shared" si="11"/>
        <v>0</v>
      </c>
      <c r="AN23" s="74">
        <f t="shared" si="12"/>
        <v>420848</v>
      </c>
      <c r="AO23" s="74">
        <f t="shared" si="13"/>
        <v>-13373</v>
      </c>
      <c r="AP23" s="74">
        <f t="shared" si="14"/>
        <v>2062278</v>
      </c>
    </row>
    <row r="24" spans="1:46" x14ac:dyDescent="0.2">
      <c r="A24" s="17">
        <v>2012</v>
      </c>
      <c r="B24" s="81">
        <f>SUM(C24:F24,H24:I24)</f>
        <v>3981989</v>
      </c>
      <c r="C24" s="54">
        <v>-324840</v>
      </c>
      <c r="D24" s="54"/>
      <c r="E24" s="54"/>
      <c r="F24" s="54">
        <v>4178741</v>
      </c>
      <c r="G24" s="54"/>
      <c r="H24" s="54"/>
      <c r="I24" s="62">
        <f>SUM(J24:O24)</f>
        <v>128088</v>
      </c>
      <c r="J24" s="54">
        <f>-(-69993+1030921)</f>
        <v>-960928</v>
      </c>
      <c r="K24" s="54">
        <f>969794</f>
        <v>969794</v>
      </c>
      <c r="L24" s="54">
        <v>80989</v>
      </c>
      <c r="M24" s="54">
        <v>25575</v>
      </c>
      <c r="N24"/>
      <c r="O24" s="54">
        <v>12658</v>
      </c>
      <c r="Q24" s="76">
        <v>10879075000</v>
      </c>
      <c r="R24">
        <v>7.7499999999999999E-2</v>
      </c>
      <c r="S24">
        <v>0.1598</v>
      </c>
      <c r="T24" s="85">
        <f t="shared" si="15"/>
        <v>0.13230598345331335</v>
      </c>
      <c r="U24" s="76">
        <v>40655709000</v>
      </c>
      <c r="V24" s="31">
        <f>(X24+R24*(X24*0.5-U24)-AA24)/(1+R24)</f>
        <v>1439366716.937355</v>
      </c>
      <c r="W24" s="25">
        <f>(U24+V24)*R24-X24*R24*0.5</f>
        <v>3168096283.062645</v>
      </c>
      <c r="X24" s="76">
        <v>2432828000</v>
      </c>
      <c r="Y24" s="25">
        <f>X24-V24</f>
        <v>993461283.06264496</v>
      </c>
      <c r="Z24" s="26">
        <f>Y24/Q24</f>
        <v>9.1318543448100586E-2</v>
      </c>
      <c r="AA24" s="25">
        <f>-2174635000</f>
        <v>-2174635000</v>
      </c>
      <c r="AB24" s="25">
        <f>U24-AA24</f>
        <v>42830344000</v>
      </c>
      <c r="AC24" s="76">
        <f>U25</f>
        <v>46812333000</v>
      </c>
      <c r="AD24" s="79">
        <f>AC24-AB24</f>
        <v>3981989000</v>
      </c>
      <c r="AE24" s="83">
        <f>B24*1000/AD24</f>
        <v>1</v>
      </c>
      <c r="AF24" s="79">
        <f>B24*1000-AD24</f>
        <v>0</v>
      </c>
      <c r="AK24" s="74">
        <f t="shared" si="9"/>
        <v>-324840</v>
      </c>
      <c r="AL24" s="74">
        <f t="shared" si="10"/>
        <v>4178741</v>
      </c>
      <c r="AM24" s="74">
        <f t="shared" si="11"/>
        <v>0</v>
      </c>
      <c r="AN24" s="74">
        <f t="shared" si="12"/>
        <v>115430</v>
      </c>
      <c r="AO24" s="74">
        <f t="shared" si="13"/>
        <v>12658</v>
      </c>
      <c r="AP24" s="74">
        <f t="shared" si="14"/>
        <v>2174635</v>
      </c>
    </row>
    <row r="25" spans="1:46" x14ac:dyDescent="0.2">
      <c r="A25" s="21">
        <v>2013</v>
      </c>
      <c r="B25" s="81">
        <f>SUM(C25:F25,H25:I25)</f>
        <v>-17754764</v>
      </c>
      <c r="C25" s="54">
        <v>-2483140</v>
      </c>
      <c r="D25" s="54"/>
      <c r="E25" s="54">
        <v>-15662266</v>
      </c>
      <c r="F25" s="54"/>
      <c r="G25" s="54"/>
      <c r="H25" s="54">
        <v>390642</v>
      </c>
      <c r="I25" s="62">
        <f>SUM(J25:O25)</f>
        <v>0</v>
      </c>
      <c r="J25" s="54"/>
      <c r="K25" s="54"/>
      <c r="L25" s="54"/>
      <c r="M25" s="54"/>
      <c r="N25" s="54"/>
      <c r="O25" s="54"/>
      <c r="Q25" s="76">
        <v>10765635000</v>
      </c>
      <c r="R25">
        <v>7.7499999999999999E-2</v>
      </c>
      <c r="S25">
        <v>0.1197</v>
      </c>
      <c r="T25" s="85">
        <f t="shared" si="15"/>
        <v>0.13878243131965742</v>
      </c>
      <c r="U25" s="76">
        <v>46812333000</v>
      </c>
      <c r="V25" s="31">
        <v>1494081000</v>
      </c>
      <c r="W25" s="25">
        <f>(U25+V25)*R25-X25*R25*0.5</f>
        <v>3649758882.5</v>
      </c>
      <c r="X25" s="76">
        <v>2425502000</v>
      </c>
      <c r="Y25" s="25">
        <f>X25-V25</f>
        <v>931421000</v>
      </c>
      <c r="Z25" s="26">
        <f>Y25/Q25</f>
        <v>8.6517980592877242E-2</v>
      </c>
      <c r="AA25" s="25">
        <f>Y25-W25</f>
        <v>-2718337882.5</v>
      </c>
      <c r="AB25" s="25">
        <f>U25-AA25</f>
        <v>49530670882.5</v>
      </c>
      <c r="AC25" s="76">
        <f>U26</f>
        <v>31775907000</v>
      </c>
      <c r="AD25" s="79">
        <f>AC25-AB25</f>
        <v>-17754763882.5</v>
      </c>
      <c r="AE25" s="83">
        <f>B25*1000/AD25</f>
        <v>1.0000000066179422</v>
      </c>
      <c r="AF25" s="81">
        <f>B25*1000-AD25</f>
        <v>-117.5</v>
      </c>
      <c r="AK25" s="74">
        <f t="shared" si="9"/>
        <v>-2483140</v>
      </c>
      <c r="AL25" s="74">
        <f t="shared" si="10"/>
        <v>0</v>
      </c>
      <c r="AM25" s="74">
        <f t="shared" si="11"/>
        <v>-15662266</v>
      </c>
      <c r="AN25" s="74">
        <f t="shared" si="12"/>
        <v>390642</v>
      </c>
      <c r="AO25" s="74">
        <f t="shared" si="13"/>
        <v>0</v>
      </c>
      <c r="AP25" s="74">
        <f t="shared" si="14"/>
        <v>2718337.8824999998</v>
      </c>
    </row>
    <row r="26" spans="1:46" x14ac:dyDescent="0.2">
      <c r="A26" s="21">
        <v>2014</v>
      </c>
      <c r="B26" s="81">
        <f>SUM(C26:F26,H26:I26)</f>
        <v>-3178370</v>
      </c>
      <c r="C26" s="54">
        <v>-3333931</v>
      </c>
      <c r="D26" s="54"/>
      <c r="E26" s="54"/>
      <c r="F26" s="54"/>
      <c r="G26" s="54"/>
      <c r="H26" s="54">
        <v>155561</v>
      </c>
      <c r="I26" s="62">
        <f>SUM(J26:O26)</f>
        <v>0</v>
      </c>
      <c r="J26" s="54"/>
      <c r="K26" s="54"/>
      <c r="L26" s="54"/>
      <c r="M26" s="54"/>
      <c r="N26" s="54"/>
      <c r="O26" s="54"/>
      <c r="Q26" s="76">
        <v>10725329000</v>
      </c>
      <c r="R26">
        <v>7.7499999999999999E-2</v>
      </c>
      <c r="S26">
        <v>0.1174</v>
      </c>
      <c r="T26" s="85">
        <f t="shared" si="15"/>
        <v>0.10209346491841882</v>
      </c>
      <c r="U26" s="76">
        <v>31775907000</v>
      </c>
      <c r="V26" s="31">
        <v>1094986000</v>
      </c>
      <c r="W26" s="25">
        <v>2445649000</v>
      </c>
      <c r="X26" s="76">
        <v>2628290000</v>
      </c>
      <c r="Y26" s="25">
        <f>X26-V26</f>
        <v>1533304000</v>
      </c>
      <c r="Z26" s="26">
        <f>Y26/Q26</f>
        <v>0.14296102245441608</v>
      </c>
      <c r="AA26" s="25">
        <f>Y26-W26</f>
        <v>-912345000</v>
      </c>
      <c r="AB26" s="25">
        <f>U26-AA26</f>
        <v>32688252000</v>
      </c>
      <c r="AC26" s="76">
        <f>U27</f>
        <v>29509882000</v>
      </c>
      <c r="AD26" s="79">
        <f>AC26-AB26</f>
        <v>-3178370000</v>
      </c>
      <c r="AE26" s="83">
        <f>B26*1000/AD26</f>
        <v>1</v>
      </c>
      <c r="AF26" s="81">
        <f>B26*1000-AD26</f>
        <v>0</v>
      </c>
      <c r="AK26" s="74">
        <f t="shared" si="9"/>
        <v>-3333931</v>
      </c>
      <c r="AL26" s="74">
        <f t="shared" si="10"/>
        <v>0</v>
      </c>
      <c r="AM26" s="74">
        <f t="shared" si="11"/>
        <v>0</v>
      </c>
      <c r="AN26" s="74">
        <f t="shared" si="12"/>
        <v>155561</v>
      </c>
      <c r="AO26" s="74">
        <f t="shared" si="13"/>
        <v>0</v>
      </c>
      <c r="AP26" s="74">
        <f t="shared" si="14"/>
        <v>912345</v>
      </c>
    </row>
    <row r="27" spans="1:46" x14ac:dyDescent="0.2">
      <c r="A27" s="17">
        <v>2015</v>
      </c>
      <c r="B27" s="81">
        <f>SUM(C27:F27,H27:I27)</f>
        <v>232335</v>
      </c>
      <c r="C27" s="54">
        <v>-1068184</v>
      </c>
      <c r="D27" s="54"/>
      <c r="E27" s="54"/>
      <c r="F27" s="54"/>
      <c r="G27" s="54"/>
      <c r="H27" s="54">
        <v>1300519</v>
      </c>
      <c r="I27" s="62">
        <f>SUM(J27:O27)</f>
        <v>0</v>
      </c>
      <c r="J27" s="54"/>
      <c r="K27" s="54"/>
      <c r="L27" s="54"/>
      <c r="M27" s="54"/>
      <c r="N27" s="54"/>
      <c r="O27" s="54"/>
      <c r="Q27" s="76">
        <v>10948586000</v>
      </c>
      <c r="R27">
        <v>7.7499999999999999E-2</v>
      </c>
      <c r="S27">
        <v>0.1134</v>
      </c>
      <c r="T27" s="85">
        <f t="shared" si="15"/>
        <v>0.1014814150430019</v>
      </c>
      <c r="U27" s="76">
        <v>29509882000</v>
      </c>
      <c r="V27" s="31">
        <v>1111078000</v>
      </c>
      <c r="W27" s="25">
        <v>2266144000</v>
      </c>
      <c r="X27" s="76">
        <v>2760785000</v>
      </c>
      <c r="Y27" s="25">
        <f>X27-V27</f>
        <v>1649707000</v>
      </c>
      <c r="Z27" s="26">
        <f>Y27/Q27</f>
        <v>0.15067763088311129</v>
      </c>
      <c r="AA27" s="25">
        <f>Y27-W27</f>
        <v>-616437000</v>
      </c>
      <c r="AB27" s="25">
        <f>U27-AA27</f>
        <v>30126319000</v>
      </c>
      <c r="AC27" s="76">
        <f>U28</f>
        <v>30358654000</v>
      </c>
      <c r="AD27" s="79">
        <f>AC27-AB27</f>
        <v>232335000</v>
      </c>
      <c r="AE27" s="83">
        <f>B27*1000/AD27</f>
        <v>1</v>
      </c>
      <c r="AF27" s="81">
        <f>B27*1000-AD27</f>
        <v>0</v>
      </c>
      <c r="AK27" s="74">
        <f t="shared" si="9"/>
        <v>-1068184</v>
      </c>
      <c r="AL27" s="74">
        <f t="shared" si="10"/>
        <v>0</v>
      </c>
      <c r="AM27" s="74">
        <f t="shared" si="11"/>
        <v>0</v>
      </c>
      <c r="AN27" s="74">
        <f t="shared" si="12"/>
        <v>1300519</v>
      </c>
      <c r="AO27" s="74">
        <f t="shared" si="13"/>
        <v>0</v>
      </c>
      <c r="AP27" s="74">
        <f t="shared" si="14"/>
        <v>616437</v>
      </c>
      <c r="AT27" s="79"/>
    </row>
    <row r="28" spans="1:46" x14ac:dyDescent="0.2">
      <c r="A28" s="21">
        <v>2016</v>
      </c>
      <c r="B28" s="81">
        <f>SUM(C28:F28,H28:I28)</f>
        <v>-289562</v>
      </c>
      <c r="C28" s="54">
        <v>-774260</v>
      </c>
      <c r="D28" s="54"/>
      <c r="E28" s="54">
        <v>0</v>
      </c>
      <c r="F28" s="54"/>
      <c r="G28" s="54"/>
      <c r="H28" s="54">
        <v>484698</v>
      </c>
      <c r="I28" s="62">
        <f>SUM(J28:O28)</f>
        <v>0</v>
      </c>
      <c r="J28" s="54"/>
      <c r="K28" s="54"/>
      <c r="L28" s="54"/>
      <c r="M28" s="54"/>
      <c r="N28" s="54"/>
      <c r="O28" s="54"/>
      <c r="Q28" s="76">
        <v>11099607000</v>
      </c>
      <c r="R28">
        <v>7.7499999999999999E-2</v>
      </c>
      <c r="S28">
        <v>0.10780000000000001</v>
      </c>
      <c r="T28" s="85">
        <f t="shared" si="15"/>
        <v>9.5407522086142324E-2</v>
      </c>
      <c r="U28" s="76">
        <v>30358654000</v>
      </c>
      <c r="V28" s="31">
        <v>1058986000</v>
      </c>
      <c r="W28" s="25">
        <v>2325895000</v>
      </c>
      <c r="X28" s="76">
        <v>2812188000</v>
      </c>
      <c r="Y28" s="25">
        <f>X28-V28</f>
        <v>1753202000</v>
      </c>
      <c r="Z28" s="26">
        <f>Y28/Q28</f>
        <v>0.15795171847075307</v>
      </c>
      <c r="AA28" s="25">
        <f>Y28-W28</f>
        <v>-572693000</v>
      </c>
      <c r="AB28" s="25">
        <f>U28-AA28</f>
        <v>30931347000</v>
      </c>
      <c r="AC28" s="76">
        <f>U29</f>
        <v>30641786000</v>
      </c>
      <c r="AD28" s="79">
        <f>AC28-AB28</f>
        <v>-289561000</v>
      </c>
      <c r="AE28" s="83">
        <f>B28*1000/AD28</f>
        <v>1.0000034535037523</v>
      </c>
      <c r="AF28" s="81">
        <f>B28*1000-AD28</f>
        <v>-1000</v>
      </c>
      <c r="AK28" s="74">
        <f t="shared" si="9"/>
        <v>-774260</v>
      </c>
      <c r="AL28" s="74">
        <f t="shared" si="10"/>
        <v>0</v>
      </c>
      <c r="AM28" s="74">
        <f t="shared" si="11"/>
        <v>0</v>
      </c>
      <c r="AN28" s="74">
        <f t="shared" si="12"/>
        <v>484698</v>
      </c>
      <c r="AO28" s="74">
        <f t="shared" si="13"/>
        <v>0</v>
      </c>
      <c r="AP28" s="74">
        <f t="shared" si="14"/>
        <v>572693</v>
      </c>
    </row>
    <row r="29" spans="1:46" x14ac:dyDescent="0.2">
      <c r="A29" s="27">
        <v>2017</v>
      </c>
      <c r="B29" s="81">
        <f>SUM(C29:F29,H29:I29)</f>
        <v>-7127694</v>
      </c>
      <c r="C29" s="54">
        <v>-857418</v>
      </c>
      <c r="D29" s="54"/>
      <c r="E29" s="54">
        <v>-12353691</v>
      </c>
      <c r="F29" s="54">
        <v>6494408</v>
      </c>
      <c r="G29" s="54"/>
      <c r="H29" s="54">
        <v>-410993</v>
      </c>
      <c r="I29" s="62">
        <f>SUM(J29:O29)</f>
        <v>0</v>
      </c>
      <c r="J29" s="54"/>
      <c r="K29" s="54"/>
      <c r="L29" s="54"/>
      <c r="M29" s="54"/>
      <c r="N29" s="54"/>
      <c r="O29" s="54"/>
      <c r="Q29" s="76">
        <v>11557147000</v>
      </c>
      <c r="R29">
        <v>7.4499999999999997E-2</v>
      </c>
      <c r="S29">
        <v>0.1065</v>
      </c>
      <c r="T29" s="85">
        <f t="shared" si="15"/>
        <v>9.2383267254453019E-2</v>
      </c>
      <c r="U29" s="76">
        <v>30641786000</v>
      </c>
      <c r="V29" s="31">
        <v>1067687000</v>
      </c>
      <c r="W29" s="25">
        <v>2340757000</v>
      </c>
      <c r="X29" s="76">
        <v>3012308000</v>
      </c>
      <c r="Y29" s="25">
        <f>X29-V29</f>
        <v>1944621000</v>
      </c>
      <c r="Z29" s="26">
        <f>Y29/Q29</f>
        <v>0.16826133646997826</v>
      </c>
      <c r="AA29" s="25">
        <f>Y29-W29</f>
        <v>-396136000</v>
      </c>
      <c r="AB29" s="25">
        <f>U29-AA29</f>
        <v>31037922000</v>
      </c>
      <c r="AC29" s="76">
        <f>U30</f>
        <v>23910228133</v>
      </c>
      <c r="AD29" s="79">
        <f>AC29-AB29</f>
        <v>-7127693867</v>
      </c>
      <c r="AE29" s="83">
        <f>B29*1000/AD29</f>
        <v>1.0000000186596116</v>
      </c>
      <c r="AF29" s="81">
        <f>B29*1000-AD29</f>
        <v>-133</v>
      </c>
      <c r="AK29" s="74">
        <f t="shared" si="9"/>
        <v>-857418</v>
      </c>
      <c r="AL29" s="74">
        <f t="shared" si="10"/>
        <v>6494408</v>
      </c>
      <c r="AM29" s="74">
        <f t="shared" si="11"/>
        <v>-12353691</v>
      </c>
      <c r="AN29" s="74">
        <f t="shared" si="12"/>
        <v>-410993</v>
      </c>
      <c r="AO29" s="74">
        <f t="shared" si="13"/>
        <v>0</v>
      </c>
      <c r="AP29" s="74">
        <f t="shared" si="14"/>
        <v>396136</v>
      </c>
    </row>
    <row r="30" spans="1:46" x14ac:dyDescent="0.2">
      <c r="A30" s="21">
        <v>2018</v>
      </c>
      <c r="B30" s="81">
        <f>SUM(C30:F30,H30:I30)</f>
        <v>131611.81</v>
      </c>
      <c r="C30" s="54">
        <v>253993</v>
      </c>
      <c r="D30" s="54">
        <v>-236418.30900000001</v>
      </c>
      <c r="E30" s="54">
        <v>0</v>
      </c>
      <c r="F30" s="54">
        <v>0</v>
      </c>
      <c r="G30" s="54">
        <v>693781.43900000001</v>
      </c>
      <c r="H30" s="54"/>
      <c r="I30" s="62">
        <f>SUM(J30:O30)</f>
        <v>114037.11899999999</v>
      </c>
      <c r="J30" s="62">
        <v>-180810.46100000001</v>
      </c>
      <c r="K30" s="62">
        <v>120603.65300000001</v>
      </c>
      <c r="L30" s="62">
        <v>9495.0640000000003</v>
      </c>
      <c r="M30" s="62">
        <v>37954.417000000001</v>
      </c>
      <c r="N30" s="62"/>
      <c r="O30" s="62">
        <v>126794.446</v>
      </c>
      <c r="Q30" s="76">
        <v>10775526239</v>
      </c>
      <c r="R30">
        <v>7.4499999999999997E-2</v>
      </c>
      <c r="S30">
        <v>0.1091</v>
      </c>
      <c r="T30" s="85">
        <f t="shared" si="15"/>
        <v>0.10481615077991924</v>
      </c>
      <c r="U30" s="76">
        <v>23910228133</v>
      </c>
      <c r="V30" s="31">
        <v>1129449183</v>
      </c>
      <c r="W30" s="25">
        <f>U30*R30-Y30*R30*0.5</f>
        <v>1709274693.0895</v>
      </c>
      <c r="X30" s="76">
        <f>V30+Y30</f>
        <v>3063336507</v>
      </c>
      <c r="Y30" s="25">
        <v>1933887324</v>
      </c>
      <c r="Z30" s="26">
        <f>Y30/Q30</f>
        <v>0.17947033686398134</v>
      </c>
      <c r="AA30" s="25">
        <f>Y30-W30</f>
        <v>224612630.91050005</v>
      </c>
      <c r="AB30" s="25">
        <f>U30-AA30</f>
        <v>23685615502.0895</v>
      </c>
      <c r="AC30" s="76">
        <f>U31</f>
        <v>23788698000</v>
      </c>
      <c r="AD30" s="79">
        <f>AC30-AB30</f>
        <v>103082497.91049957</v>
      </c>
      <c r="AE30" s="83">
        <f>B30*1000/AD30</f>
        <v>1.276761939881111</v>
      </c>
      <c r="AF30" s="81">
        <f>B30*1000-AD30</f>
        <v>28529312.089500427</v>
      </c>
      <c r="AK30" s="74">
        <f t="shared" si="9"/>
        <v>253993</v>
      </c>
      <c r="AL30" s="74">
        <f t="shared" si="10"/>
        <v>-236418.30900000001</v>
      </c>
      <c r="AM30" s="74">
        <f t="shared" si="11"/>
        <v>0</v>
      </c>
      <c r="AN30" s="74">
        <f t="shared" si="12"/>
        <v>-12757.327000000005</v>
      </c>
      <c r="AO30" s="74">
        <f t="shared" si="13"/>
        <v>126794.446</v>
      </c>
      <c r="AP30" s="74">
        <f t="shared" si="14"/>
        <v>-224612.63091050004</v>
      </c>
    </row>
    <row r="31" spans="1:46" x14ac:dyDescent="0.2">
      <c r="A31" s="21">
        <v>2019</v>
      </c>
      <c r="B31" s="81">
        <f>SUM(C31:F31,H31:I31)</f>
        <v>-38287.201000000001</v>
      </c>
      <c r="C31" s="54">
        <v>-3515</v>
      </c>
      <c r="D31" s="54">
        <v>0</v>
      </c>
      <c r="E31" s="54">
        <v>0</v>
      </c>
      <c r="F31" s="54">
        <v>0</v>
      </c>
      <c r="G31" s="54">
        <v>800089.33400000003</v>
      </c>
      <c r="H31" s="54"/>
      <c r="I31" s="62">
        <f>SUM(J31:O31)</f>
        <v>-34772.201000000001</v>
      </c>
      <c r="J31" s="62">
        <v>-207875.24100000001</v>
      </c>
      <c r="K31" s="62">
        <v>206548.58900000001</v>
      </c>
      <c r="L31" s="62">
        <v>-152787.76800000001</v>
      </c>
      <c r="M31" s="62">
        <v>36472.067000000003</v>
      </c>
      <c r="N31" s="62"/>
      <c r="O31" s="62">
        <v>82870.152000000002</v>
      </c>
      <c r="Q31" s="76">
        <v>11088784826</v>
      </c>
      <c r="R31">
        <v>7.4499999999999997E-2</v>
      </c>
      <c r="S31">
        <v>0.10829999999999999</v>
      </c>
      <c r="T31" s="85">
        <f t="shared" si="15"/>
        <v>0.10375584990181683</v>
      </c>
      <c r="U31" s="76">
        <v>23788698000</v>
      </c>
      <c r="V31" s="31">
        <v>1150526294</v>
      </c>
      <c r="W31" s="25">
        <f>U31*R31-Y31*R31*0.5</f>
        <v>1698056513.6345</v>
      </c>
      <c r="X31" s="76">
        <f>V31+Y31</f>
        <v>3142512532</v>
      </c>
      <c r="Y31" s="25">
        <v>1991986238</v>
      </c>
      <c r="Z31" s="26">
        <f>Y31/Q31</f>
        <v>0.17963972331119341</v>
      </c>
      <c r="AA31" s="25">
        <f>Y31-W31</f>
        <v>293929724.36549997</v>
      </c>
      <c r="AB31" s="25">
        <f>U31-AA31</f>
        <v>23494768275.634499</v>
      </c>
      <c r="AC31" s="76">
        <f>U32</f>
        <v>23429108655</v>
      </c>
      <c r="AD31" s="79">
        <f>AC31-AB31</f>
        <v>-65659620.634498596</v>
      </c>
      <c r="AE31" s="83">
        <f>B31*1000/AD31</f>
        <v>0.58311639071340149</v>
      </c>
      <c r="AF31" s="81">
        <f>B31*1000-AD31</f>
        <v>27372419.634498596</v>
      </c>
      <c r="AK31" s="74">
        <f t="shared" si="9"/>
        <v>-3515</v>
      </c>
      <c r="AL31" s="74">
        <f t="shared" si="10"/>
        <v>0</v>
      </c>
      <c r="AM31" s="74">
        <f t="shared" si="11"/>
        <v>0</v>
      </c>
      <c r="AN31" s="74">
        <f t="shared" si="12"/>
        <v>-117642.353</v>
      </c>
      <c r="AO31" s="74">
        <f t="shared" si="13"/>
        <v>82870.152000000002</v>
      </c>
      <c r="AP31" s="74">
        <f t="shared" si="14"/>
        <v>-293929.72436549998</v>
      </c>
    </row>
    <row r="32" spans="1:46" x14ac:dyDescent="0.2">
      <c r="A32" s="22">
        <v>2020</v>
      </c>
      <c r="B32" s="81">
        <f>SUM(C32:F32,H32:I32)</f>
        <v>-707988.98399999994</v>
      </c>
      <c r="C32" s="54">
        <v>-532022</v>
      </c>
      <c r="D32" s="54">
        <v>0</v>
      </c>
      <c r="E32" s="54">
        <v>0</v>
      </c>
      <c r="F32" s="54">
        <v>0</v>
      </c>
      <c r="G32" s="54">
        <v>890130.03099999996</v>
      </c>
      <c r="H32" s="54"/>
      <c r="I32" s="62">
        <f>SUM(J32:O32)</f>
        <v>-175966.984</v>
      </c>
      <c r="J32" s="62">
        <v>-177622.22399999999</v>
      </c>
      <c r="K32" s="62">
        <v>83829.718999999997</v>
      </c>
      <c r="L32" s="62">
        <v>-110832.798</v>
      </c>
      <c r="M32" s="62">
        <v>37834.199000000001</v>
      </c>
      <c r="N32" s="62"/>
      <c r="O32" s="62">
        <v>-9175.8799999999992</v>
      </c>
      <c r="Q32" s="76">
        <v>11392012792</v>
      </c>
      <c r="R32">
        <v>7.4499999999999997E-2</v>
      </c>
      <c r="S32">
        <v>0.1086</v>
      </c>
      <c r="T32" s="85">
        <f t="shared" si="15"/>
        <v>0.10442961561941336</v>
      </c>
      <c r="U32" s="76">
        <v>23429108655</v>
      </c>
      <c r="V32" s="31">
        <v>1189663517</v>
      </c>
      <c r="W32" s="25">
        <f>U32*R32-Y32*R32*0.5</f>
        <v>1669028293.7024999</v>
      </c>
      <c r="X32" s="76">
        <f>V32+Y32</f>
        <v>3241752137</v>
      </c>
      <c r="Y32" s="25">
        <v>2052088620</v>
      </c>
      <c r="Z32" s="26">
        <f>Y32/Q32</f>
        <v>0.18013398136640715</v>
      </c>
      <c r="AA32" s="25">
        <f>Y32-W32</f>
        <v>383060326.29750013</v>
      </c>
      <c r="AB32" s="25">
        <f>U32-AA32</f>
        <v>23046048328.702499</v>
      </c>
      <c r="AC32" s="76">
        <f>U33</f>
        <v>22314607000</v>
      </c>
      <c r="AD32" s="79">
        <f>AC32-AB32</f>
        <v>-731441328.70249939</v>
      </c>
      <c r="AE32" s="83">
        <f>B32*1000/AD32</f>
        <v>0.96793680670997695</v>
      </c>
      <c r="AF32" s="81">
        <f>B32*1000-AD32</f>
        <v>23452344.702499509</v>
      </c>
      <c r="AK32" s="74">
        <f t="shared" si="9"/>
        <v>-532022</v>
      </c>
      <c r="AL32" s="74">
        <f t="shared" si="10"/>
        <v>0</v>
      </c>
      <c r="AM32" s="74">
        <f t="shared" si="11"/>
        <v>0</v>
      </c>
      <c r="AN32" s="74">
        <f t="shared" si="12"/>
        <v>-166791.10399999999</v>
      </c>
      <c r="AO32" s="74">
        <f t="shared" si="13"/>
        <v>-9175.8799999999992</v>
      </c>
      <c r="AP32" s="74">
        <f t="shared" si="14"/>
        <v>-383060.32629750011</v>
      </c>
    </row>
    <row r="33" spans="1:45" x14ac:dyDescent="0.2">
      <c r="A33" s="21">
        <v>2021</v>
      </c>
      <c r="B33" s="81">
        <f>SUM(C33:F33,H33:I33)</f>
        <v>-940165.03600000008</v>
      </c>
      <c r="C33" s="82">
        <v>-5216481</v>
      </c>
      <c r="D33" s="54">
        <v>0</v>
      </c>
      <c r="E33" s="54">
        <v>0</v>
      </c>
      <c r="F33" s="54">
        <v>4433796.926</v>
      </c>
      <c r="G33" s="54">
        <v>963818.71100000001</v>
      </c>
      <c r="H33" s="54"/>
      <c r="I33" s="62">
        <f>SUM(J33:O33)</f>
        <v>-157480.962</v>
      </c>
      <c r="J33" s="62">
        <v>-236538.83799999999</v>
      </c>
      <c r="K33" s="62">
        <v>202877.67300000001</v>
      </c>
      <c r="L33" s="62">
        <v>-208368.64600000001</v>
      </c>
      <c r="M33" s="62">
        <v>32503.826000000001</v>
      </c>
      <c r="N33" s="62"/>
      <c r="O33" s="62">
        <v>52045.023000000001</v>
      </c>
      <c r="Q33" s="76">
        <v>11610016164</v>
      </c>
      <c r="R33">
        <v>7.0000000000000007E-2</v>
      </c>
      <c r="S33">
        <v>0.1206</v>
      </c>
      <c r="T33" s="85">
        <f t="shared" si="15"/>
        <v>0.11582815691246096</v>
      </c>
      <c r="U33" s="76">
        <v>22314607000</v>
      </c>
      <c r="V33" s="31">
        <v>1344766774</v>
      </c>
      <c r="W33" s="25">
        <f>U33*R33-Y33*R33*0.5</f>
        <v>1493782068.6600003</v>
      </c>
      <c r="X33" s="76">
        <f>V33+Y33</f>
        <v>3294493098</v>
      </c>
      <c r="Y33" s="25">
        <v>1949726324</v>
      </c>
      <c r="Z33" s="26">
        <f>Y33/Q33</f>
        <v>0.16793485008622594</v>
      </c>
      <c r="AA33" s="25">
        <f>Y33-W33</f>
        <v>455944255.33999968</v>
      </c>
      <c r="AB33" s="25">
        <f>U33-AA33</f>
        <v>21858662744.66</v>
      </c>
      <c r="AC33" s="76">
        <f>U34</f>
        <v>20830012000</v>
      </c>
      <c r="AD33" s="79">
        <f>AC33-AB33</f>
        <v>-1028650744.6599998</v>
      </c>
      <c r="AE33" s="83">
        <f>B33*1000/AD33</f>
        <v>0.91397886102804804</v>
      </c>
      <c r="AF33" s="81">
        <f>B33*1000-AD33</f>
        <v>88485708.659999728</v>
      </c>
      <c r="AK33" s="74">
        <f t="shared" si="9"/>
        <v>-5216481</v>
      </c>
      <c r="AL33" s="74">
        <f t="shared" si="10"/>
        <v>4433796.926</v>
      </c>
      <c r="AM33" s="74">
        <f t="shared" si="11"/>
        <v>0</v>
      </c>
      <c r="AN33" s="74">
        <f t="shared" si="12"/>
        <v>-209525.98499999999</v>
      </c>
      <c r="AO33" s="74">
        <f t="shared" si="13"/>
        <v>52045.023000000001</v>
      </c>
      <c r="AP33" s="74">
        <f t="shared" si="14"/>
        <v>-455944.25533999968</v>
      </c>
    </row>
    <row r="34" spans="1:45" x14ac:dyDescent="0.2">
      <c r="A34" s="22">
        <v>2022</v>
      </c>
      <c r="B34" s="81">
        <f>SUM(C34:F34,H34:I34)</f>
        <v>92933.663999999932</v>
      </c>
      <c r="C34" s="54">
        <v>136350</v>
      </c>
      <c r="D34" s="54"/>
      <c r="E34" s="54">
        <v>2348518.165</v>
      </c>
      <c r="F34" s="54">
        <v>-2669899.6740000001</v>
      </c>
      <c r="G34" s="54">
        <v>969039.14399999997</v>
      </c>
      <c r="H34" s="54"/>
      <c r="I34" s="62">
        <f>SUM(J34:O34)</f>
        <v>277965.17300000001</v>
      </c>
      <c r="J34" s="77">
        <v>103250.36199999999</v>
      </c>
      <c r="K34" s="77">
        <v>208556.383</v>
      </c>
      <c r="L34" s="77">
        <v>-269161.53999999998</v>
      </c>
      <c r="M34" s="62">
        <v>47707.235999999997</v>
      </c>
      <c r="N34" s="62"/>
      <c r="O34" s="62">
        <v>187612.73199999999</v>
      </c>
      <c r="Q34" s="76">
        <f>12719286424+569489445+872944182</f>
        <v>14161720051</v>
      </c>
      <c r="R34" s="18">
        <v>7.0000000000000007E-2</v>
      </c>
      <c r="S34">
        <v>0.106</v>
      </c>
      <c r="T34" s="85">
        <f t="shared" si="15"/>
        <v>8.9865473926674225E-2</v>
      </c>
      <c r="U34" s="76">
        <v>20830012000</v>
      </c>
      <c r="V34" s="31">
        <v>1272649684</v>
      </c>
      <c r="W34" s="25">
        <f>U34*R34-Y34*R34*0.5</f>
        <v>1381376277.7850003</v>
      </c>
      <c r="X34" s="76">
        <f>V34+Y34</f>
        <v>3464780033</v>
      </c>
      <c r="Y34" s="25">
        <v>2192130349</v>
      </c>
      <c r="Z34" s="26">
        <f>Y34/Q34</f>
        <v>0.15479266226881863</v>
      </c>
      <c r="AA34" s="25">
        <f>Y34-W34</f>
        <v>810754071.21499968</v>
      </c>
      <c r="AB34" s="25">
        <f>U34-AA34</f>
        <v>20019257928.785</v>
      </c>
      <c r="AC34" s="76">
        <f>U35</f>
        <v>20122479199</v>
      </c>
      <c r="AD34" s="79">
        <f>AC34-AB34</f>
        <v>103221270.21500015</v>
      </c>
      <c r="AE34" s="83">
        <f>B34*1000/AD34</f>
        <v>0.90033443500964372</v>
      </c>
      <c r="AF34" s="81">
        <f>B34*1000-AD34</f>
        <v>-10287606.215000227</v>
      </c>
      <c r="AK34" s="74">
        <f t="shared" si="9"/>
        <v>136350</v>
      </c>
      <c r="AL34" s="74">
        <f t="shared" si="10"/>
        <v>-2669899.6740000001</v>
      </c>
      <c r="AM34" s="74">
        <f t="shared" si="11"/>
        <v>2348518.165</v>
      </c>
      <c r="AN34" s="74">
        <f t="shared" si="12"/>
        <v>90352.441000000021</v>
      </c>
      <c r="AO34" s="74">
        <f t="shared" si="13"/>
        <v>187612.73199999999</v>
      </c>
      <c r="AP34" s="74">
        <f t="shared" si="14"/>
        <v>-810754.07121499965</v>
      </c>
    </row>
    <row r="35" spans="1:45" x14ac:dyDescent="0.2">
      <c r="A35" s="28"/>
      <c r="B35" s="81">
        <f>SUM(B25:B34)</f>
        <v>-29579950.747000001</v>
      </c>
      <c r="O35" s="24"/>
      <c r="U35" s="76">
        <v>20122479199</v>
      </c>
      <c r="AD35" s="79">
        <f>SUM(AD13:AD34)</f>
        <v>1164701324.6285019</v>
      </c>
      <c r="AE35" s="18">
        <f>B35*1000/AD35</f>
        <v>-25.39702679262853</v>
      </c>
      <c r="AF35" s="74">
        <f>SUM(AF13:AF34)</f>
        <v>157549928.37149805</v>
      </c>
      <c r="AH35" s="87">
        <f>B35*1000/AD35</f>
        <v>-25.39702679262853</v>
      </c>
      <c r="AK35" s="89">
        <f>SUM(AK13:AK34)</f>
        <v>8826572</v>
      </c>
      <c r="AL35" s="89">
        <f>SUM(AL13:AL34)</f>
        <v>11920408.942999998</v>
      </c>
      <c r="AM35" s="89">
        <f>SUM(AM13:AM34)</f>
        <v>-25724579.835000001</v>
      </c>
      <c r="AN35" s="89">
        <f>SUM(AN13:AN34)</f>
        <v>5853212.6719999993</v>
      </c>
      <c r="AO35" s="89">
        <f>SUM(AO13:AO34)</f>
        <v>446637.473</v>
      </c>
      <c r="AP35" s="89">
        <f>SUM(AP13:AP34)</f>
        <v>14477540.874371499</v>
      </c>
      <c r="AQ35" s="79">
        <f>SUM(AK35:AP35)</f>
        <v>15799792.127371494</v>
      </c>
    </row>
    <row r="36" spans="1:45" x14ac:dyDescent="0.2">
      <c r="A36" s="28"/>
      <c r="G36" s="19">
        <f>SUM(I34,C34)</f>
        <v>414315.17300000001</v>
      </c>
      <c r="I36" s="19">
        <f>I34+F34+E34+C34</f>
        <v>92933.663999999873</v>
      </c>
      <c r="K36" s="19">
        <f>SUM(K34,M34:O34)</f>
        <v>443876.35100000002</v>
      </c>
      <c r="O36" s="24"/>
      <c r="X36" s="34"/>
      <c r="Y36" s="25"/>
      <c r="AQ36" s="79">
        <f>U13/1000+AQ35</f>
        <v>20280029.127371494</v>
      </c>
    </row>
    <row r="37" spans="1:45" x14ac:dyDescent="0.2">
      <c r="A37" s="28"/>
      <c r="E37" s="19">
        <f>E34+F34</f>
        <v>-321381.50900000008</v>
      </c>
      <c r="W37" s="78">
        <f>V34/10.61%</f>
        <v>11994813232.799246</v>
      </c>
      <c r="X37" s="34"/>
      <c r="Y37" s="25"/>
      <c r="Z37" s="79"/>
    </row>
    <row r="38" spans="1:45" x14ac:dyDescent="0.2">
      <c r="A38" s="28"/>
      <c r="J38" s="19">
        <v>103250362</v>
      </c>
      <c r="X38" s="34"/>
      <c r="Y38" s="25"/>
      <c r="AQ38" s="79">
        <f>(AC34-U13)/1000</f>
        <v>15642242.198999999</v>
      </c>
      <c r="AS38" s="18">
        <f>AQ35/AQ38</f>
        <v>1.0100720808671257</v>
      </c>
    </row>
    <row r="39" spans="1:45" x14ac:dyDescent="0.2">
      <c r="A39" s="28"/>
      <c r="J39" s="19">
        <v>208556383</v>
      </c>
      <c r="X39" s="34"/>
      <c r="Y39" s="25"/>
      <c r="AQ39" s="79">
        <f>U13/1000+AQ38</f>
        <v>20122479.199000001</v>
      </c>
    </row>
    <row r="40" spans="1:45" x14ac:dyDescent="0.2">
      <c r="A40" s="28"/>
      <c r="J40" s="19">
        <v>-269161540</v>
      </c>
      <c r="K40" s="19">
        <f>J39+J41+J42</f>
        <v>443876240</v>
      </c>
    </row>
    <row r="41" spans="1:45" x14ac:dyDescent="0.2">
      <c r="A41" s="28"/>
      <c r="C41" s="24" t="s">
        <v>43</v>
      </c>
      <c r="D41" s="24" t="s">
        <v>44</v>
      </c>
      <c r="E41" s="24" t="s">
        <v>45</v>
      </c>
      <c r="F41" s="24"/>
      <c r="G41" s="24"/>
      <c r="H41" s="24"/>
      <c r="I41" s="24"/>
      <c r="J41" s="24">
        <v>47707125</v>
      </c>
      <c r="K41" s="24"/>
      <c r="L41" s="24"/>
      <c r="M41" s="24"/>
      <c r="N41" s="24"/>
    </row>
    <row r="42" spans="1:45" x14ac:dyDescent="0.2">
      <c r="A42" s="28"/>
      <c r="C42" s="24"/>
      <c r="D42" s="24"/>
      <c r="E42" s="24"/>
      <c r="F42" s="24"/>
      <c r="G42" s="24"/>
      <c r="H42" s="24"/>
      <c r="I42" s="24"/>
      <c r="J42" s="24">
        <v>187612732</v>
      </c>
      <c r="K42" s="24"/>
      <c r="L42" s="24"/>
      <c r="M42" s="24"/>
      <c r="N42" s="24"/>
    </row>
    <row r="43" spans="1:45" x14ac:dyDescent="0.2">
      <c r="A43" s="28"/>
      <c r="C43" s="24" t="s">
        <v>46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</row>
    <row r="44" spans="1:45" x14ac:dyDescent="0.2">
      <c r="A44" s="28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</row>
    <row r="45" spans="1:45" x14ac:dyDescent="0.2"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</row>
    <row r="60" spans="3:14" x14ac:dyDescent="0.2">
      <c r="C60" s="30" t="s">
        <v>47</v>
      </c>
      <c r="D60" s="30" t="s">
        <v>47</v>
      </c>
      <c r="E60" s="30" t="s">
        <v>47</v>
      </c>
      <c r="F60" s="30"/>
      <c r="G60" s="30"/>
      <c r="H60" s="30"/>
      <c r="I60" s="30"/>
      <c r="J60" s="30"/>
      <c r="K60" s="30"/>
      <c r="L60" s="30"/>
      <c r="M60" s="30"/>
      <c r="N60" s="30"/>
    </row>
  </sheetData>
  <mergeCells count="2">
    <mergeCell ref="C1:E1"/>
    <mergeCell ref="U1:AB1"/>
  </mergeCells>
  <pageMargins left="0.75" right="0.75" top="1" bottom="1" header="0.5" footer="0.5"/>
  <pageSetup orientation="portrait" horizontalDpi="4294967292" verticalDpi="4294967292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24"/>
  <sheetViews>
    <sheetView topLeftCell="L1" zoomScale="97" zoomScaleNormal="97" workbookViewId="0">
      <selection activeCell="L3" sqref="L3:U24"/>
    </sheetView>
  </sheetViews>
  <sheetFormatPr baseColWidth="10" defaultColWidth="10.6640625" defaultRowHeight="15" x14ac:dyDescent="0.2"/>
  <cols>
    <col min="9" max="12" width="10.83203125"/>
    <col min="13" max="13" width="12" customWidth="1"/>
    <col min="14" max="19" width="10.83203125"/>
  </cols>
  <sheetData>
    <row r="1" spans="1:21" ht="36" customHeight="1" x14ac:dyDescent="0.2">
      <c r="A1" s="35"/>
      <c r="B1" s="36"/>
      <c r="C1" s="37" t="s">
        <v>49</v>
      </c>
      <c r="D1" s="37" t="s">
        <v>50</v>
      </c>
      <c r="E1" s="37" t="s">
        <v>51</v>
      </c>
      <c r="F1" s="37" t="s">
        <v>52</v>
      </c>
      <c r="G1" s="38" t="s">
        <v>53</v>
      </c>
      <c r="H1" s="3" t="s">
        <v>16</v>
      </c>
      <c r="I1" s="3"/>
      <c r="J1" s="3"/>
      <c r="K1" s="3"/>
      <c r="L1" s="3"/>
      <c r="M1" s="64" t="s">
        <v>19</v>
      </c>
      <c r="N1" s="64"/>
      <c r="O1" s="64"/>
      <c r="P1" s="64"/>
      <c r="Q1" s="64"/>
      <c r="R1" s="64"/>
      <c r="S1" s="71"/>
      <c r="T1" s="72"/>
      <c r="U1" s="72"/>
    </row>
    <row r="2" spans="1:21" x14ac:dyDescent="0.2">
      <c r="A2" s="69" t="s">
        <v>19</v>
      </c>
      <c r="B2">
        <v>2001</v>
      </c>
      <c r="C2" s="5">
        <v>3.5299999999999998E-2</v>
      </c>
      <c r="D2" s="5">
        <v>0.38819999999999999</v>
      </c>
      <c r="E2" s="5">
        <v>0.49390000000000001</v>
      </c>
      <c r="F2" s="5">
        <v>2.5000000000000001E-3</v>
      </c>
      <c r="G2" s="5">
        <v>7.9899999999999999E-2</v>
      </c>
      <c r="H2" s="5">
        <f>SUM(C2:G2)</f>
        <v>0.99979999999999991</v>
      </c>
      <c r="I2" s="41"/>
      <c r="J2" s="41"/>
      <c r="K2" s="33"/>
      <c r="L2" t="s">
        <v>21</v>
      </c>
      <c r="M2" t="s">
        <v>84</v>
      </c>
      <c r="N2" t="s">
        <v>85</v>
      </c>
      <c r="O2" t="s">
        <v>86</v>
      </c>
      <c r="P2" t="s">
        <v>87</v>
      </c>
      <c r="Q2" t="s">
        <v>88</v>
      </c>
      <c r="R2" t="s">
        <v>89</v>
      </c>
      <c r="S2" t="s">
        <v>90</v>
      </c>
      <c r="T2" t="s">
        <v>91</v>
      </c>
      <c r="U2" t="s">
        <v>92</v>
      </c>
    </row>
    <row r="3" spans="1:21" x14ac:dyDescent="0.2">
      <c r="A3" s="69"/>
      <c r="B3">
        <v>2017</v>
      </c>
      <c r="C3" s="5">
        <v>3.1799999999999995E-2</v>
      </c>
      <c r="D3" s="5">
        <v>0.24479999999999999</v>
      </c>
      <c r="E3" s="5">
        <v>0.53869999999999996</v>
      </c>
      <c r="F3" s="5">
        <v>7.7399999999999997E-2</v>
      </c>
      <c r="G3" s="5">
        <v>0.1072</v>
      </c>
      <c r="H3" s="5">
        <f>SUM(C3:G3)</f>
        <v>0.9998999999999999</v>
      </c>
      <c r="I3" s="41"/>
      <c r="J3" s="41"/>
      <c r="K3" s="33"/>
      <c r="L3">
        <v>2001</v>
      </c>
      <c r="M3">
        <v>1.7000000000000001E-2</v>
      </c>
      <c r="N3">
        <v>0.12</v>
      </c>
      <c r="O3">
        <v>0</v>
      </c>
      <c r="P3">
        <v>0</v>
      </c>
      <c r="Q3">
        <v>0</v>
      </c>
      <c r="R3">
        <v>0.66</v>
      </c>
      <c r="S3">
        <v>0.191</v>
      </c>
      <c r="T3">
        <v>1.2E-2</v>
      </c>
      <c r="U3">
        <v>1</v>
      </c>
    </row>
    <row r="4" spans="1:21" x14ac:dyDescent="0.2">
      <c r="A4" s="69" t="s">
        <v>20</v>
      </c>
      <c r="B4">
        <v>2001</v>
      </c>
      <c r="C4" s="5">
        <v>3.5299999999999998E-2</v>
      </c>
      <c r="D4" s="5">
        <v>0.41249999999999998</v>
      </c>
      <c r="E4" s="5">
        <v>0.49390000000000001</v>
      </c>
      <c r="F4" s="5">
        <v>2.5000000000000001E-3</v>
      </c>
      <c r="G4" s="5">
        <v>5.5599999999999997E-2</v>
      </c>
      <c r="H4" s="5">
        <f>SUM(C4:G4)</f>
        <v>0.99979999999999991</v>
      </c>
      <c r="I4" s="41"/>
      <c r="J4" s="41"/>
      <c r="K4" s="41"/>
      <c r="L4">
        <v>2002</v>
      </c>
      <c r="M4">
        <v>1.9E-2</v>
      </c>
      <c r="N4">
        <v>0.122</v>
      </c>
      <c r="O4">
        <v>0</v>
      </c>
      <c r="P4">
        <v>0</v>
      </c>
      <c r="Q4">
        <v>0</v>
      </c>
      <c r="R4">
        <v>0.66300000000000003</v>
      </c>
      <c r="S4">
        <v>0.187</v>
      </c>
      <c r="T4">
        <v>8.9999999999999993E-3</v>
      </c>
      <c r="U4">
        <v>1</v>
      </c>
    </row>
    <row r="5" spans="1:21" x14ac:dyDescent="0.2">
      <c r="A5" s="70"/>
      <c r="B5" s="39">
        <v>2017</v>
      </c>
      <c r="C5" s="40">
        <v>2.0299999999999999E-2</v>
      </c>
      <c r="D5" s="40">
        <v>0.27360000000000001</v>
      </c>
      <c r="E5" s="40">
        <v>0.52590000000000003</v>
      </c>
      <c r="F5" s="40">
        <v>7.5600000000000001E-2</v>
      </c>
      <c r="G5" s="40">
        <v>0.1046</v>
      </c>
      <c r="H5" s="5">
        <f>SUM(C5:G5)</f>
        <v>1</v>
      </c>
      <c r="I5" s="41"/>
      <c r="J5" s="41"/>
      <c r="K5" s="41"/>
      <c r="L5">
        <v>2003</v>
      </c>
      <c r="M5">
        <v>2.1000000000000001E-2</v>
      </c>
      <c r="N5">
        <v>0.109</v>
      </c>
      <c r="O5">
        <v>0</v>
      </c>
      <c r="P5">
        <v>0</v>
      </c>
      <c r="Q5">
        <v>0</v>
      </c>
      <c r="R5">
        <v>0.66600000000000004</v>
      </c>
      <c r="S5">
        <v>0.16900000000000001</v>
      </c>
      <c r="T5">
        <v>3.5000000000000003E-2</v>
      </c>
      <c r="U5">
        <v>1</v>
      </c>
    </row>
    <row r="6" spans="1:21" x14ac:dyDescent="0.2">
      <c r="L6">
        <v>2004</v>
      </c>
      <c r="M6">
        <v>2.1999999999999999E-2</v>
      </c>
      <c r="N6">
        <v>9.1999999999999998E-2</v>
      </c>
      <c r="O6">
        <v>0</v>
      </c>
      <c r="P6">
        <v>0</v>
      </c>
      <c r="Q6">
        <v>0</v>
      </c>
      <c r="R6">
        <v>0.67700000000000005</v>
      </c>
      <c r="S6">
        <v>0.184</v>
      </c>
      <c r="T6">
        <v>2.5000000000000001E-2</v>
      </c>
      <c r="U6">
        <v>1</v>
      </c>
    </row>
    <row r="7" spans="1:21" x14ac:dyDescent="0.2">
      <c r="L7">
        <v>2005</v>
      </c>
      <c r="M7">
        <v>2.5999999999999999E-2</v>
      </c>
      <c r="N7">
        <v>8.5000000000000006E-2</v>
      </c>
      <c r="O7">
        <v>0</v>
      </c>
      <c r="P7">
        <v>0</v>
      </c>
      <c r="Q7">
        <v>0</v>
      </c>
      <c r="R7">
        <v>0.63300000000000001</v>
      </c>
      <c r="S7">
        <v>0.215</v>
      </c>
      <c r="T7">
        <v>4.1000000000000002E-2</v>
      </c>
      <c r="U7">
        <v>1</v>
      </c>
    </row>
    <row r="8" spans="1:21" x14ac:dyDescent="0.2">
      <c r="L8">
        <v>2006</v>
      </c>
      <c r="M8">
        <v>2.87E-2</v>
      </c>
      <c r="N8">
        <v>0.1051</v>
      </c>
      <c r="O8">
        <v>0</v>
      </c>
      <c r="P8">
        <v>0</v>
      </c>
      <c r="Q8">
        <v>0</v>
      </c>
      <c r="R8">
        <v>0.62050000000000005</v>
      </c>
      <c r="S8">
        <v>0.22700000000000001</v>
      </c>
      <c r="T8">
        <v>1.8700000000000001E-2</v>
      </c>
      <c r="U8">
        <v>1</v>
      </c>
    </row>
    <row r="9" spans="1:21" x14ac:dyDescent="0.2">
      <c r="H9" s="5"/>
      <c r="L9">
        <v>2007</v>
      </c>
      <c r="M9">
        <v>3.4189999999999998E-2</v>
      </c>
      <c r="N9">
        <v>0.10675</v>
      </c>
      <c r="O9">
        <v>0</v>
      </c>
      <c r="P9">
        <v>0</v>
      </c>
      <c r="Q9">
        <v>0</v>
      </c>
      <c r="R9">
        <v>0.59952000000000005</v>
      </c>
      <c r="S9">
        <v>0.22256999999999999</v>
      </c>
      <c r="T9">
        <v>3.6979999999999999E-2</v>
      </c>
      <c r="U9">
        <v>1.0000100000000001</v>
      </c>
    </row>
    <row r="10" spans="1:21" x14ac:dyDescent="0.2">
      <c r="L10">
        <v>2008</v>
      </c>
      <c r="M10">
        <v>4.99E-2</v>
      </c>
      <c r="N10">
        <v>0.12570000000000001</v>
      </c>
      <c r="O10">
        <v>0</v>
      </c>
      <c r="P10">
        <v>0</v>
      </c>
      <c r="Q10">
        <v>0</v>
      </c>
      <c r="R10">
        <v>0.54849999999999999</v>
      </c>
      <c r="S10">
        <v>0.20899999999999999</v>
      </c>
      <c r="T10">
        <v>6.6900000000000001E-2</v>
      </c>
      <c r="U10">
        <v>1</v>
      </c>
    </row>
    <row r="11" spans="1:21" x14ac:dyDescent="0.2">
      <c r="L11">
        <v>2009</v>
      </c>
      <c r="M11">
        <v>6.1785713999999999E-2</v>
      </c>
      <c r="N11">
        <v>0.1283</v>
      </c>
      <c r="O11">
        <v>0</v>
      </c>
      <c r="P11">
        <v>0</v>
      </c>
      <c r="Q11">
        <v>2.4714285999999999E-2</v>
      </c>
      <c r="R11">
        <v>0.52700000000000002</v>
      </c>
      <c r="S11">
        <v>0.20100000000000001</v>
      </c>
      <c r="T11">
        <v>5.7200000000000001E-2</v>
      </c>
      <c r="U11">
        <v>1</v>
      </c>
    </row>
    <row r="12" spans="1:21" x14ac:dyDescent="0.2">
      <c r="L12">
        <v>2010</v>
      </c>
      <c r="M12">
        <v>2.8947059000000001E-2</v>
      </c>
      <c r="N12">
        <v>0.1129</v>
      </c>
      <c r="O12">
        <v>0</v>
      </c>
      <c r="P12">
        <v>0</v>
      </c>
      <c r="Q12">
        <v>4.1352940999999997E-2</v>
      </c>
      <c r="R12">
        <v>0.52439999999999998</v>
      </c>
      <c r="S12">
        <v>0.2392</v>
      </c>
      <c r="T12">
        <v>5.3199999999999997E-2</v>
      </c>
      <c r="U12">
        <v>1</v>
      </c>
    </row>
    <row r="13" spans="1:21" x14ac:dyDescent="0.2">
      <c r="L13">
        <v>2011</v>
      </c>
      <c r="M13">
        <v>5.44375E-2</v>
      </c>
      <c r="N13">
        <v>0.1048</v>
      </c>
      <c r="O13">
        <v>0</v>
      </c>
      <c r="P13">
        <v>0</v>
      </c>
      <c r="Q13">
        <v>3.2662499999999997E-2</v>
      </c>
      <c r="R13">
        <v>0.54949999999999999</v>
      </c>
      <c r="S13">
        <v>0.19439999999999999</v>
      </c>
      <c r="T13">
        <v>6.4199999999999993E-2</v>
      </c>
      <c r="U13">
        <v>1</v>
      </c>
    </row>
    <row r="14" spans="1:21" x14ac:dyDescent="0.2">
      <c r="L14">
        <v>2012</v>
      </c>
      <c r="M14">
        <v>5.4050000000000001E-2</v>
      </c>
      <c r="N14">
        <v>0.12089999999999999</v>
      </c>
      <c r="O14">
        <v>0</v>
      </c>
      <c r="P14">
        <v>0</v>
      </c>
      <c r="Q14">
        <v>5.4050000000000001E-2</v>
      </c>
      <c r="R14">
        <v>0.5323</v>
      </c>
      <c r="S14">
        <v>0.1799</v>
      </c>
      <c r="T14">
        <v>5.8799999999999998E-2</v>
      </c>
      <c r="U14">
        <v>1</v>
      </c>
    </row>
    <row r="15" spans="1:21" x14ac:dyDescent="0.2">
      <c r="L15">
        <v>2013</v>
      </c>
      <c r="M15">
        <v>5.9454544999999998E-2</v>
      </c>
      <c r="N15">
        <v>0.1195</v>
      </c>
      <c r="O15">
        <v>0</v>
      </c>
      <c r="P15">
        <v>0</v>
      </c>
      <c r="Q15">
        <v>4.9545455000000002E-2</v>
      </c>
      <c r="R15">
        <v>0.52790000000000004</v>
      </c>
      <c r="S15">
        <v>0.2019</v>
      </c>
      <c r="T15">
        <v>4.1700000000000001E-2</v>
      </c>
      <c r="U15">
        <v>1</v>
      </c>
    </row>
    <row r="16" spans="1:21" x14ac:dyDescent="0.2">
      <c r="L16">
        <v>2014</v>
      </c>
      <c r="M16">
        <v>5.9150000000000001E-2</v>
      </c>
      <c r="N16">
        <v>0.1123</v>
      </c>
      <c r="O16">
        <v>0</v>
      </c>
      <c r="P16">
        <v>0</v>
      </c>
      <c r="Q16">
        <v>5.9150000000000001E-2</v>
      </c>
      <c r="R16">
        <v>0.53520000000000001</v>
      </c>
      <c r="S16">
        <v>0.2049</v>
      </c>
      <c r="T16">
        <v>2.93E-2</v>
      </c>
      <c r="U16">
        <v>1</v>
      </c>
    </row>
    <row r="17" spans="12:21" x14ac:dyDescent="0.2">
      <c r="L17">
        <v>2015</v>
      </c>
      <c r="M17">
        <v>6.3049999999999995E-2</v>
      </c>
      <c r="N17">
        <v>0.1226</v>
      </c>
      <c r="O17">
        <v>0</v>
      </c>
      <c r="P17">
        <v>0</v>
      </c>
      <c r="Q17">
        <v>6.3049999999999995E-2</v>
      </c>
      <c r="R17">
        <v>0.53369999999999995</v>
      </c>
      <c r="S17">
        <v>0.1938</v>
      </c>
      <c r="T17">
        <v>2.3800000000000002E-2</v>
      </c>
      <c r="U17">
        <v>1</v>
      </c>
    </row>
    <row r="18" spans="12:21" x14ac:dyDescent="0.2">
      <c r="L18">
        <v>2016</v>
      </c>
      <c r="M18">
        <v>6.9500000000000006E-2</v>
      </c>
      <c r="N18">
        <v>0.14399999999999999</v>
      </c>
      <c r="O18">
        <v>0</v>
      </c>
      <c r="P18">
        <v>0</v>
      </c>
      <c r="Q18">
        <v>6.9500000000000006E-2</v>
      </c>
      <c r="R18">
        <v>0.54100000000000004</v>
      </c>
      <c r="S18">
        <v>0.158</v>
      </c>
      <c r="T18">
        <v>1.7999999999999999E-2</v>
      </c>
      <c r="U18">
        <v>1</v>
      </c>
    </row>
    <row r="19" spans="12:21" x14ac:dyDescent="0.2">
      <c r="L19">
        <v>2017</v>
      </c>
      <c r="M19">
        <v>5.5588235E-2</v>
      </c>
      <c r="N19">
        <v>0.127</v>
      </c>
      <c r="O19">
        <v>0</v>
      </c>
      <c r="P19">
        <v>0</v>
      </c>
      <c r="Q19">
        <v>7.9411764999999995E-2</v>
      </c>
      <c r="R19">
        <v>0.53300000000000003</v>
      </c>
      <c r="S19">
        <v>0.189</v>
      </c>
      <c r="T19">
        <v>1.6E-2</v>
      </c>
      <c r="U19">
        <v>1</v>
      </c>
    </row>
    <row r="20" spans="12:21" x14ac:dyDescent="0.2">
      <c r="L20">
        <v>2018</v>
      </c>
      <c r="M20">
        <v>6.3823529000000004E-2</v>
      </c>
      <c r="N20">
        <v>0.123</v>
      </c>
      <c r="O20">
        <v>0</v>
      </c>
      <c r="P20">
        <v>0</v>
      </c>
      <c r="Q20">
        <v>9.1176470999999995E-2</v>
      </c>
      <c r="R20">
        <v>0.50700000000000001</v>
      </c>
      <c r="S20">
        <v>0.19700000000000001</v>
      </c>
      <c r="T20">
        <v>1.7999999999999999E-2</v>
      </c>
      <c r="U20">
        <v>1</v>
      </c>
    </row>
    <row r="21" spans="12:21" x14ac:dyDescent="0.2">
      <c r="L21">
        <v>2019</v>
      </c>
      <c r="M21">
        <v>6.6705881999999994E-2</v>
      </c>
      <c r="N21">
        <v>0.12</v>
      </c>
      <c r="O21">
        <v>0</v>
      </c>
      <c r="P21">
        <v>0</v>
      </c>
      <c r="Q21">
        <v>9.5294117999999997E-2</v>
      </c>
      <c r="R21">
        <v>0.48699999999999999</v>
      </c>
      <c r="S21">
        <v>0.20499999999999999</v>
      </c>
      <c r="T21">
        <v>2.5999999999999999E-2</v>
      </c>
      <c r="U21">
        <v>1</v>
      </c>
    </row>
    <row r="22" spans="12:21" x14ac:dyDescent="0.2">
      <c r="L22">
        <v>2020</v>
      </c>
      <c r="M22">
        <v>7.3705882E-2</v>
      </c>
      <c r="N22">
        <v>0.12</v>
      </c>
      <c r="O22">
        <v>0</v>
      </c>
      <c r="P22">
        <v>0</v>
      </c>
      <c r="Q22">
        <v>0.10529411800000001</v>
      </c>
      <c r="R22">
        <v>0.48099999999999998</v>
      </c>
      <c r="S22">
        <v>0.19400000000000001</v>
      </c>
      <c r="T22">
        <v>2.5999999999999999E-2</v>
      </c>
      <c r="U22">
        <v>1</v>
      </c>
    </row>
    <row r="23" spans="12:21" x14ac:dyDescent="0.2">
      <c r="L23">
        <v>2021</v>
      </c>
      <c r="M23">
        <v>8.3588234999999997E-2</v>
      </c>
      <c r="N23">
        <v>0.10199999999999999</v>
      </c>
      <c r="O23">
        <v>0</v>
      </c>
      <c r="P23">
        <v>0</v>
      </c>
      <c r="Q23">
        <v>0.119411765</v>
      </c>
      <c r="R23">
        <v>0.48699999999999999</v>
      </c>
      <c r="S23">
        <v>0.192</v>
      </c>
      <c r="T23">
        <v>1.6E-2</v>
      </c>
      <c r="U23">
        <v>1</v>
      </c>
    </row>
    <row r="24" spans="12:21" x14ac:dyDescent="0.2">
      <c r="L24">
        <v>2022</v>
      </c>
      <c r="M24">
        <v>0.09</v>
      </c>
      <c r="N24">
        <v>0.1</v>
      </c>
      <c r="O24">
        <v>0</v>
      </c>
      <c r="P24">
        <v>0</v>
      </c>
      <c r="Q24">
        <v>0.1</v>
      </c>
      <c r="R24">
        <v>0.48</v>
      </c>
      <c r="S24">
        <v>0.17</v>
      </c>
      <c r="T24">
        <v>0.01</v>
      </c>
      <c r="U24">
        <v>1</v>
      </c>
    </row>
  </sheetData>
  <mergeCells count="4">
    <mergeCell ref="A2:A3"/>
    <mergeCell ref="A4:A5"/>
    <mergeCell ref="M1:R1"/>
    <mergeCell ref="S1:U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Investment Returns</vt:lpstr>
      <vt:lpstr>Mountain of Debt</vt:lpstr>
      <vt:lpstr>Unfunded Liability</vt:lpstr>
      <vt:lpstr>ADC vs Statutory</vt:lpstr>
      <vt:lpstr>Negative Amo</vt:lpstr>
      <vt:lpstr>Interest</vt:lpstr>
      <vt:lpstr>TRS_Gain-Loss</vt:lpstr>
      <vt:lpstr>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Truong Bui</cp:lastModifiedBy>
  <dcterms:created xsi:type="dcterms:W3CDTF">2019-02-28T15:45:45Z</dcterms:created>
  <dcterms:modified xsi:type="dcterms:W3CDTF">2023-05-11T12:24:27Z</dcterms:modified>
</cp:coreProperties>
</file>